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est-file01\DistShare$\2000 Western Region Office\WUTC\WIP Files\LeMay Companies\2022\General Rate Filings\Pacific Disposal Eff 03-01-2022\"/>
    </mc:Choice>
  </mc:AlternateContent>
  <bookViews>
    <workbookView xWindow="240" yWindow="300" windowWidth="15060" windowHeight="5865" tabRatio="921" firstSheet="1" activeTab="10"/>
  </bookViews>
  <sheets>
    <sheet name="Summary 2183" sheetId="26" r:id="rId1"/>
    <sheet name="Depreciation Pivot 2021" sheetId="46" r:id="rId2"/>
    <sheet name="Assets 2021" sheetId="47" r:id="rId3"/>
    <sheet name="2022 Bud Capital Input 2183" sheetId="49" r:id="rId4"/>
    <sheet name="2021 Bud Capital Input 2183" sheetId="51" r:id="rId5"/>
    <sheet name="2022 Bud Capital Input 2184" sheetId="50" r:id="rId6"/>
    <sheet name="Trucks 2183" sheetId="17" r:id="rId7"/>
    <sheet name="Containers 2183" sheetId="39" r:id="rId8"/>
    <sheet name="OTHER EQUIP 2183" sheetId="42" r:id="rId9"/>
    <sheet name="Orig Trucks 2183" sheetId="43" r:id="rId10"/>
    <sheet name="Orig OTHER EQUIP 2183" sheetId="44"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D" localSheetId="5">#REF!</definedName>
    <definedName name="\D">#REF!</definedName>
    <definedName name="\S" localSheetId="5">#REF!</definedName>
    <definedName name="\S">#REF!</definedName>
    <definedName name="\Y" localSheetId="5">#REF!</definedName>
    <definedName name="\Y">#REF!</definedName>
    <definedName name="_____________CYA1">[1]Hidden!$N$11</definedName>
    <definedName name="_____________CYA10">[1]Hidden!$E$11</definedName>
    <definedName name="_____________CYA11">[1]Hidden!$P$11</definedName>
    <definedName name="_____________CYA2">[1]Hidden!$M$11</definedName>
    <definedName name="_____________CYA3">[1]Hidden!$L$11</definedName>
    <definedName name="_____________CYA4">[1]Hidden!$K$11</definedName>
    <definedName name="_____________CYA5">[1]Hidden!$J$11</definedName>
    <definedName name="_____________CYA6">[1]Hidden!$I$11</definedName>
    <definedName name="_____________CYA7">[1]Hidden!$H$11</definedName>
    <definedName name="_____________CYA8">[1]Hidden!$G$11</definedName>
    <definedName name="_____________CYA9">[1]Hidden!$F$11</definedName>
    <definedName name="_____________LYA12">[1]Hidden!$O$11</definedName>
    <definedName name="____________CYA1">[1]Hidden!$N$11</definedName>
    <definedName name="____________CYA10">[1]Hidden!$E$11</definedName>
    <definedName name="____________CYA11">[1]Hidden!$P$11</definedName>
    <definedName name="____________CYA2">[1]Hidden!$M$11</definedName>
    <definedName name="____________CYA3">[1]Hidden!$L$11</definedName>
    <definedName name="____________CYA4">[1]Hidden!$K$11</definedName>
    <definedName name="____________CYA5">[1]Hidden!$J$11</definedName>
    <definedName name="____________CYA6">[1]Hidden!$I$11</definedName>
    <definedName name="____________CYA7">[1]Hidden!$H$11</definedName>
    <definedName name="____________CYA8">[1]Hidden!$G$11</definedName>
    <definedName name="____________CYA9">[1]Hidden!$F$11</definedName>
    <definedName name="____________LYA12">[1]Hidden!$O$11</definedName>
    <definedName name="___________CYA1">[1]Hidden!$N$11</definedName>
    <definedName name="___________CYA10">[1]Hidden!$E$11</definedName>
    <definedName name="___________CYA11">[1]Hidden!$P$11</definedName>
    <definedName name="___________CYA2">[1]Hidden!$M$11</definedName>
    <definedName name="___________CYA3">[1]Hidden!$L$11</definedName>
    <definedName name="___________CYA4">[1]Hidden!$K$11</definedName>
    <definedName name="___________CYA5">[1]Hidden!$J$11</definedName>
    <definedName name="___________CYA6">[1]Hidden!$I$11</definedName>
    <definedName name="___________CYA7">[1]Hidden!$H$11</definedName>
    <definedName name="___________CYA8">[1]Hidden!$G$11</definedName>
    <definedName name="___________CYA9">[1]Hidden!$F$11</definedName>
    <definedName name="___________LYA12">[1]Hidden!$O$11</definedName>
    <definedName name="__________CYA1">[1]Hidden!$N$11</definedName>
    <definedName name="__________CYA10">[1]Hidden!$E$11</definedName>
    <definedName name="__________CYA11">[1]Hidden!$P$11</definedName>
    <definedName name="__________CYA2">[1]Hidden!$M$11</definedName>
    <definedName name="__________CYA3">[1]Hidden!$L$11</definedName>
    <definedName name="__________CYA4">[1]Hidden!$K$11</definedName>
    <definedName name="__________CYA5">[1]Hidden!$J$11</definedName>
    <definedName name="__________CYA6">[1]Hidden!$I$11</definedName>
    <definedName name="__________CYA7">[1]Hidden!$H$11</definedName>
    <definedName name="__________CYA8">[1]Hidden!$G$11</definedName>
    <definedName name="__________CYA9">[1]Hidden!$F$11</definedName>
    <definedName name="__________LYA12">[1]Hidden!$O$11</definedName>
    <definedName name="_________CYA1">[1]Hidden!$N$11</definedName>
    <definedName name="_________CYA10">[1]Hidden!$E$11</definedName>
    <definedName name="_________CYA11">[1]Hidden!$P$11</definedName>
    <definedName name="_________CYA2">[1]Hidden!$M$11</definedName>
    <definedName name="_________CYA3">[1]Hidden!$L$11</definedName>
    <definedName name="_________CYA4">[1]Hidden!$K$11</definedName>
    <definedName name="_________CYA5">[1]Hidden!$J$11</definedName>
    <definedName name="_________CYA6">[1]Hidden!$I$11</definedName>
    <definedName name="_________CYA7">[1]Hidden!$H$11</definedName>
    <definedName name="_________CYA8">[1]Hidden!$G$11</definedName>
    <definedName name="_________CYA9">[1]Hidden!$F$11</definedName>
    <definedName name="_________LYA12">[1]Hidden!$O$11</definedName>
    <definedName name="________CYA1">[1]Hidden!$N$11</definedName>
    <definedName name="________CYA10">[1]Hidden!$E$11</definedName>
    <definedName name="________CYA11">[1]Hidden!$P$11</definedName>
    <definedName name="________CYA2">[1]Hidden!$M$11</definedName>
    <definedName name="________CYA3">[1]Hidden!$L$11</definedName>
    <definedName name="________CYA4">[1]Hidden!$K$11</definedName>
    <definedName name="________CYA5">[1]Hidden!$J$11</definedName>
    <definedName name="________CYA6">[1]Hidden!$I$11</definedName>
    <definedName name="________CYA7">[1]Hidden!$H$11</definedName>
    <definedName name="________CYA8">[1]Hidden!$G$11</definedName>
    <definedName name="________CYA9">[1]Hidden!$F$11</definedName>
    <definedName name="________LYA12">[1]Hidden!$O$11</definedName>
    <definedName name="_______CYA1">[1]Hidden!$N$11</definedName>
    <definedName name="_______CYA10">[1]Hidden!$E$11</definedName>
    <definedName name="_______CYA11">[1]Hidden!$P$11</definedName>
    <definedName name="_______CYA2">[1]Hidden!$M$11</definedName>
    <definedName name="_______CYA3">[1]Hidden!$L$11</definedName>
    <definedName name="_______CYA4">[1]Hidden!$K$11</definedName>
    <definedName name="_______CYA5">[1]Hidden!$J$11</definedName>
    <definedName name="_______CYA6">[1]Hidden!$I$11</definedName>
    <definedName name="_______CYA7">[1]Hidden!$H$11</definedName>
    <definedName name="_______CYA8">[1]Hidden!$G$11</definedName>
    <definedName name="_______CYA9">[1]Hidden!$F$11</definedName>
    <definedName name="_______LYA12">[1]Hidden!$O$11</definedName>
    <definedName name="______CYA1">[1]Hidden!$N$11</definedName>
    <definedName name="______CYA10">[1]Hidden!$E$11</definedName>
    <definedName name="______CYA11">[1]Hidden!$P$11</definedName>
    <definedName name="______CYA2">[1]Hidden!$M$11</definedName>
    <definedName name="______CYA3">[1]Hidden!$L$11</definedName>
    <definedName name="______CYA4">[1]Hidden!$K$11</definedName>
    <definedName name="______CYA5">[1]Hidden!$J$11</definedName>
    <definedName name="______CYA6">[1]Hidden!$I$11</definedName>
    <definedName name="______CYA7">[1]Hidden!$H$11</definedName>
    <definedName name="______CYA8">[1]Hidden!$G$11</definedName>
    <definedName name="______CYA9">[1]Hidden!$F$11</definedName>
    <definedName name="______LYA12">[1]Hidden!$O$11</definedName>
    <definedName name="_____CYA1">[1]Hidden!$N$11</definedName>
    <definedName name="_____CYA10">[1]Hidden!$E$11</definedName>
    <definedName name="_____CYA11">[1]Hidden!$P$11</definedName>
    <definedName name="_____CYA2">[1]Hidden!$M$11</definedName>
    <definedName name="_____CYA3">[1]Hidden!$L$11</definedName>
    <definedName name="_____CYA4">[1]Hidden!$K$11</definedName>
    <definedName name="_____CYA5">[1]Hidden!$J$11</definedName>
    <definedName name="_____CYA6">[1]Hidden!$I$11</definedName>
    <definedName name="_____CYA7">[1]Hidden!$H$11</definedName>
    <definedName name="_____CYA8">[1]Hidden!$G$11</definedName>
    <definedName name="_____CYA9">[1]Hidden!$F$11</definedName>
    <definedName name="_____LYA12">[1]Hidden!$O$11</definedName>
    <definedName name="____CYA1">[1]Hidden!$N$11</definedName>
    <definedName name="____CYA10">[1]Hidden!$E$11</definedName>
    <definedName name="____CYA11">[1]Hidden!$P$11</definedName>
    <definedName name="____CYA2">[1]Hidden!$M$11</definedName>
    <definedName name="____CYA3">[1]Hidden!$L$11</definedName>
    <definedName name="____CYA4">[1]Hidden!$K$11</definedName>
    <definedName name="____CYA5">[1]Hidden!$J$11</definedName>
    <definedName name="____CYA6">[1]Hidden!$I$11</definedName>
    <definedName name="____CYA7">[1]Hidden!$H$11</definedName>
    <definedName name="____CYA8">[1]Hidden!$G$11</definedName>
    <definedName name="____CYA9">[1]Hidden!$F$11</definedName>
    <definedName name="____LYA12">[1]Hidden!$O$11</definedName>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2">[1]Hidden!$O$11</definedName>
    <definedName name="_123Graph_g" hidden="1">'[2]#REF'!$F$9:$F$83</definedName>
    <definedName name="_132" hidden="1">[3]XXXXXX!$B$10:$B$10</definedName>
    <definedName name="_132Graph_h" localSheetId="5" hidden="1">#REF!</definedName>
    <definedName name="_132Graph_h" hidden="1">#REF!</definedName>
    <definedName name="_ACT1" localSheetId="5">[4]Hidden!#REF!</definedName>
    <definedName name="_ACT1">[4]Hidden!#REF!</definedName>
    <definedName name="_ACT2">[4]Hidden!#REF!</definedName>
    <definedName name="_ACT3">[4]Hidden!#REF!</definedName>
    <definedName name="_COS1" localSheetId="5">#REF!</definedName>
    <definedName name="_COS1">#REF!</definedName>
    <definedName name="_COS2" localSheetId="5">#REF!</definedName>
    <definedName name="_COS2">#REF!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Fill" localSheetId="5" hidden="1">#REF!</definedName>
    <definedName name="_Fill" hidden="1">#REF!</definedName>
    <definedName name="_xlnm._FilterDatabase" localSheetId="2" hidden="1">'Assets 2021'!$B$13:$AW$739</definedName>
    <definedName name="_xlnm._FilterDatabase" localSheetId="7" hidden="1">'Containers 2183'!$A$11:$R$11</definedName>
    <definedName name="_xlnm._FilterDatabase" localSheetId="10" hidden="1">'Orig OTHER EQUIP 2183'!$A$11:$AH$20</definedName>
    <definedName name="_xlnm._FilterDatabase" localSheetId="9" hidden="1">'Orig Trucks 2183'!$B$1:$B$5553</definedName>
    <definedName name="_xlnm._FilterDatabase" localSheetId="8" hidden="1">'OTHER EQUIP 2183'!$A$11:$T$23</definedName>
    <definedName name="_xlnm._FilterDatabase" localSheetId="6" hidden="1">'Trucks 2183'!$B$1:$B$5505</definedName>
    <definedName name="_Key1" localSheetId="5" hidden="1">#REF!</definedName>
    <definedName name="_Key1" hidden="1">#REF!</definedName>
    <definedName name="_Key2" hidden="1">'[2]#REF'!$D$12</definedName>
    <definedName name="_key5" hidden="1">[3]XXXXXX!$H$10</definedName>
    <definedName name="_LYA12">[1]Hidden!$O$11</definedName>
    <definedName name="_max" localSheetId="5" hidden="1">#REF!</definedName>
    <definedName name="_max" hidden="1">#REF!</definedName>
    <definedName name="_Mon" localSheetId="5" hidden="1">#REF!</definedName>
    <definedName name="_Mon" hidden="1">#REF!</definedName>
    <definedName name="_Order1" hidden="1">255</definedName>
    <definedName name="_Order2" hidden="1">255</definedName>
    <definedName name="_Order3" hidden="1">0</definedName>
    <definedName name="_Sort" localSheetId="5" hidden="1">#REF!</definedName>
    <definedName name="_Sort" hidden="1">#REF!</definedName>
    <definedName name="_Sort1" hidden="1">'[2]#REF'!$A$10:$Z$281</definedName>
    <definedName name="_sort3" hidden="1">[3]XXXXXX!$G$10:$J$11</definedName>
    <definedName name="a" localSheetId="5">#REF!</definedName>
    <definedName name="a">#REF!</definedName>
    <definedName name="Accounts" localSheetId="5">#REF!</definedName>
    <definedName name="Accounts">#REF!</definedName>
    <definedName name="ACCT" localSheetId="5">[4]Hidden!#REF!</definedName>
    <definedName name="ACCT">[4]Hidden!#REF!</definedName>
    <definedName name="ACCT.ConsolSum">[1]Hidden!$Q$11</definedName>
    <definedName name="ACT_CUR" localSheetId="5">[4]Hidden!#REF!</definedName>
    <definedName name="ACT_CUR">[4]Hidden!#REF!</definedName>
    <definedName name="ACT_YTD" localSheetId="5">[4]Hidden!#REF!</definedName>
    <definedName name="ACT_YTD">[4]Hidden!#REF!</definedName>
    <definedName name="afsdfsdfsd" localSheetId="5">#REF!</definedName>
    <definedName name="afsdfsdfsd">#REF!</definedName>
    <definedName name="AmountCount" localSheetId="5">#REF!</definedName>
    <definedName name="AmountCount">#REF!</definedName>
    <definedName name="AmountCount1" localSheetId="5">#REF!</definedName>
    <definedName name="AmountCount1">#REF!</definedName>
    <definedName name="AmountFrom">#REF!</definedName>
    <definedName name="AmountTo">#REF!</definedName>
    <definedName name="AmountTotal">#REF!</definedName>
    <definedName name="AmountTotal1">#REF!</definedName>
    <definedName name="BookRev">'[5]Pacific Regulated - Price Out'!$F$50</definedName>
    <definedName name="BookRev_com">'[5]Pacific Regulated - Price Out'!$F$214</definedName>
    <definedName name="BookRev_mfr">'[5]Pacific Regulated - Price Out'!$F$222</definedName>
    <definedName name="BookRev_ro">'[5]Pacific Regulated - Price Out'!$F$282</definedName>
    <definedName name="BookRev_rr">'[5]Pacific Regulated - Price Out'!$F$59</definedName>
    <definedName name="BookRev_yw">'[5]Pacific Regulated - Price Out'!$F$70</definedName>
    <definedName name="BREMAIR_COST_of_SERVICE_STUDY" localSheetId="5">#REF!</definedName>
    <definedName name="BREMAIR_COST_of_SERVICE_STUDY">#REF!</definedName>
    <definedName name="BUD_CUR" localSheetId="5">[4]Hidden!#REF!</definedName>
    <definedName name="BUD_CUR">[4]Hidden!#REF!</definedName>
    <definedName name="BUD_YTD">[4]Hidden!#REF!</definedName>
    <definedName name="CalRecyTons">'[6]Recycl Tons, Commodity Value'!$L$23</definedName>
    <definedName name="CheckTotals" localSheetId="5">#REF!</definedName>
    <definedName name="CheckTotals">#REF!</definedName>
    <definedName name="colgroup">[1]Orientation!$G$6</definedName>
    <definedName name="colsegment">[1]Orientation!$F$6</definedName>
    <definedName name="CommlStaffPriceOut" localSheetId="5">'[7]Price Out-Reg EASTSIDE-Resi'!#REF!</definedName>
    <definedName name="CommlStaffPriceOut">'[7]Price Out-Reg EASTSIDE-Resi'!#REF!</definedName>
    <definedName name="CRCTable" localSheetId="5">#REF!</definedName>
    <definedName name="CRCTable">#REF!</definedName>
    <definedName name="CRCTableOLD" localSheetId="5">#REF!</definedName>
    <definedName name="CRCTableOLD">#REF!</definedName>
    <definedName name="CriteriaType">[8]ControlPanel!$Z$2:$Z$5</definedName>
    <definedName name="CurrentMonth" localSheetId="5">#REF!</definedName>
    <definedName name="CurrentMonth">#REF!</definedName>
    <definedName name="Cutomers" localSheetId="5">#REF!</definedName>
    <definedName name="Cutomers">#REF!</definedName>
    <definedName name="_xlnm.Database" localSheetId="4">#REF!</definedName>
    <definedName name="_xlnm.Database" localSheetId="3">#REF!</definedName>
    <definedName name="_xlnm.Database" localSheetId="10">#REF!</definedName>
    <definedName name="_xlnm.Database" localSheetId="9">#REF!</definedName>
    <definedName name="_xlnm.Database">#REF!</definedName>
    <definedName name="Database1" localSheetId="4">#REF!</definedName>
    <definedName name="Database1" localSheetId="3">#REF!</definedName>
    <definedName name="Database1" localSheetId="10">#REF!</definedName>
    <definedName name="Database1" localSheetId="9">#REF!</definedName>
    <definedName name="Database1">#REF!</definedName>
    <definedName name="DateFrom">#REF!</definedName>
    <definedName name="DateTo">#REF!</definedName>
    <definedName name="DBxStaffPriceOut">'[7]Price Out-Reg EASTSIDE-Resi'!#REF!</definedName>
    <definedName name="DEPT">[4]Hidden!#REF!</definedName>
    <definedName name="DetailBudYear" localSheetId="4">'2021 Bud Capital Input 2183'!$H$24</definedName>
    <definedName name="DetailBudYear" localSheetId="5">'2022 Bud Capital Input 2184'!$H$24</definedName>
    <definedName name="DetailBudYear">'2022 Bud Capital Input 2183'!$H$24</definedName>
    <definedName name="DetailDistrict" localSheetId="4">'2021 Bud Capital Input 2183'!$H$23</definedName>
    <definedName name="DetailDistrict" localSheetId="5">'2022 Bud Capital Input 2184'!$H$23</definedName>
    <definedName name="DetailDistrict">'2022 Bud Capital Input 2183'!$H$23</definedName>
    <definedName name="Dist">[9]Data!$E$3</definedName>
    <definedName name="District" localSheetId="5">'[10]Yakima BS'!#REF!</definedName>
    <definedName name="District">'[10]Yakima BS'!#REF!</definedName>
    <definedName name="DistrictNum" localSheetId="5">#REF!</definedName>
    <definedName name="DistrictNum">#REF!</definedName>
    <definedName name="Districts" localSheetId="5">#REF!</definedName>
    <definedName name="Districts">#REF!</definedName>
    <definedName name="dOG" localSheetId="5">#REF!</definedName>
    <definedName name="dOG">#REF!</definedName>
    <definedName name="drlFilter">[1]Settings!$D$27</definedName>
    <definedName name="End" localSheetId="5">#REF!</definedName>
    <definedName name="End">#REF!</definedName>
    <definedName name="EntrieShownLimit" localSheetId="5">#REF!</definedName>
    <definedName name="EntrieShownLimit">#REF!</definedName>
    <definedName name="ExcludeIC" localSheetId="5">'[10]Yakima BS'!#REF!</definedName>
    <definedName name="ExcludeIC">'[10]Yakima BS'!#REF!</definedName>
    <definedName name="ExpensesPF1" localSheetId="5">#REF!</definedName>
    <definedName name="ExpensesPF1">#REF!</definedName>
    <definedName name="EXT" localSheetId="5">#REF!</definedName>
    <definedName name="EXT">#REF!</definedName>
    <definedName name="FBTable" localSheetId="5">#REF!</definedName>
    <definedName name="FBTable">#REF!</definedName>
    <definedName name="FBTableOld">#REF!</definedName>
    <definedName name="filter">[1]Settings!$B$14:$H$25</definedName>
    <definedName name="FromMonth" localSheetId="5">#REF!</definedName>
    <definedName name="FromMonth">#REF!</definedName>
    <definedName name="FundsApprPend" localSheetId="5">[9]Data!#REF!</definedName>
    <definedName name="FundsApprPend">[9]Data!#REF!</definedName>
    <definedName name="FundsBudUnbud">[9]Data!#REF!</definedName>
    <definedName name="GLMappingStart" localSheetId="5">#REF!</definedName>
    <definedName name="GLMappingStart">#REF!</definedName>
    <definedName name="GLMappingStart1" localSheetId="5">#REF!</definedName>
    <definedName name="GLMappingStart1">#REF!</definedName>
    <definedName name="Import_Range" localSheetId="5">[9]Data!#REF!</definedName>
    <definedName name="Import_Range">[9]Data!#REF!</definedName>
    <definedName name="IncomeStmnt" localSheetId="5">#REF!</definedName>
    <definedName name="IncomeStmnt">#REF!</definedName>
    <definedName name="INPUT" localSheetId="5">#REF!</definedName>
    <definedName name="INPUT">#REF!</definedName>
    <definedName name="INPUTc" localSheetId="5">#REF!</definedName>
    <definedName name="INPUTc">#REF!</definedName>
    <definedName name="Insurance">#REF!</definedName>
    <definedName name="Interject_LastPulledValues_BalanceRange" localSheetId="4">#REF!</definedName>
    <definedName name="Interject_LastPulledValues_BalanceRange" localSheetId="5">#REF!</definedName>
    <definedName name="Interject_LastPulledValues_BalanceRange">#REF!</definedName>
    <definedName name="Interject_LastPulledValues_DescriptionRange" localSheetId="4">#REF!</definedName>
    <definedName name="Interject_LastPulledValues_DescriptionRange" localSheetId="5">#REF!</definedName>
    <definedName name="Interject_LastPulledValues_DescriptionRange">#REF!</definedName>
    <definedName name="Interject_LastPulledValues_LastChangeGUID" localSheetId="4">#REF!</definedName>
    <definedName name="Interject_LastPulledValues_LastChangeGUID" localSheetId="5">#REF!</definedName>
    <definedName name="Interject_LastPulledValues_LastChangeGUID">#REF!</definedName>
    <definedName name="Interject_LastPulledValues_PreviousLastChangeGUID" localSheetId="4">#REF!</definedName>
    <definedName name="Interject_LastPulledValues_PreviousLastChangeGUID" localSheetId="5">#REF!</definedName>
    <definedName name="Interject_LastPulledValues_PreviousLastChangeGUID">#REF!</definedName>
    <definedName name="Invoice_Start">[9]Invoice_Drill!#REF!</definedName>
    <definedName name="JEDetail" localSheetId="5">#REF!</definedName>
    <definedName name="JEDetail">#REF!</definedName>
    <definedName name="JEDetail1" localSheetId="5">#REF!</definedName>
    <definedName name="JEDetail1">#REF!</definedName>
    <definedName name="JEType" localSheetId="5">#REF!</definedName>
    <definedName name="JEType">#REF!</definedName>
    <definedName name="JEType1">#REF!</definedName>
    <definedName name="lblBillAreaStatus">#REF!</definedName>
    <definedName name="lblBillCycleStatus">#REF!</definedName>
    <definedName name="lblCategoryStatus">#REF!</definedName>
    <definedName name="lblCompanyStatus">#REF!</definedName>
    <definedName name="lblDatabaseStatus">#REF!</definedName>
    <definedName name="lblPullStatus">#REF!</definedName>
    <definedName name="lllllllllllllllllllll">#REF!</definedName>
    <definedName name="LOB">[11]DropDownRanges!$B$4:$B$37</definedName>
    <definedName name="MainDataEnd" localSheetId="5">#REF!</definedName>
    <definedName name="MainDataEnd">#REF!</definedName>
    <definedName name="MainDataStart" localSheetId="5">#REF!</definedName>
    <definedName name="MainDataStart">#REF!</definedName>
    <definedName name="MapKeyStart" localSheetId="5">#REF!</definedName>
    <definedName name="MapKeyStart">#REF!</definedName>
    <definedName name="master_def">#REF!</definedName>
    <definedName name="MATRIX">#REF!</definedName>
    <definedName name="MemoAttachment">#REF!</definedName>
    <definedName name="MetaSet">[1]Orientation!$C$22</definedName>
    <definedName name="MFStaffPriceOut" localSheetId="5">'[7]Price Out-Reg EASTSIDE-Resi'!#REF!</definedName>
    <definedName name="MFStaffPriceOut">'[7]Price Out-Reg EASTSIDE-Resi'!#REF!</definedName>
    <definedName name="MILTON" localSheetId="5">#REF!</definedName>
    <definedName name="MILTON">#REF!</definedName>
    <definedName name="MonthList">'[9]Lookup Tables'!$A$1:$A$13</definedName>
    <definedName name="NewLob">[11]DropDownRanges!$B$4:$B$37</definedName>
    <definedName name="NewOnlyOrg">#N/A</definedName>
    <definedName name="NewSource">[11]DropDownRanges!$D$4:$D$7</definedName>
    <definedName name="nn" localSheetId="5">#REF!</definedName>
    <definedName name="nn">#REF!</definedName>
    <definedName name="NOTES" localSheetId="4">#REF!</definedName>
    <definedName name="NOTES" localSheetId="3">#REF!</definedName>
    <definedName name="NOTES" localSheetId="9">#REF!</definedName>
    <definedName name="NOTES" localSheetId="6">#REF!</definedName>
    <definedName name="NOTES">#REF!</definedName>
    <definedName name="NR">#REF!</definedName>
    <definedName name="OfficerSalary">#N/A</definedName>
    <definedName name="OffsetAcctBil">[12]JEexport!$L$10</definedName>
    <definedName name="OffsetAcctPmt">[12]JEexport!$L$9</definedName>
    <definedName name="Org11_13">#N/A</definedName>
    <definedName name="Org7_10">#N/A</definedName>
    <definedName name="p" localSheetId="5">#REF!</definedName>
    <definedName name="p">#REF!</definedName>
    <definedName name="PAGE_1" localSheetId="4">#REF!</definedName>
    <definedName name="PAGE_1" localSheetId="3">#REF!</definedName>
    <definedName name="PAGE_1" localSheetId="9">#REF!</definedName>
    <definedName name="PAGE_1" localSheetId="6">#REF!</definedName>
    <definedName name="PAGE_1">#REF!</definedName>
    <definedName name="Page16">#REF!</definedName>
    <definedName name="Page17">#REF!</definedName>
    <definedName name="Page18">#REF!</definedName>
    <definedName name="Page7a">#REF!</definedName>
    <definedName name="pBatchID">#REF!</definedName>
    <definedName name="pBillArea">#REF!</definedName>
    <definedName name="pBillCycle">#REF!</definedName>
    <definedName name="pCategory">#REF!</definedName>
    <definedName name="pCompany">#REF!</definedName>
    <definedName name="pCustomerNumber">#REF!</definedName>
    <definedName name="pDatabase">#REF!</definedName>
    <definedName name="pEndPostDate">#REF!</definedName>
    <definedName name="Period">#REF!</definedName>
    <definedName name="pMonth">#REF!</definedName>
    <definedName name="pOnlyShowLastTranx">#REF!</definedName>
    <definedName name="Posting">#REF!</definedName>
    <definedName name="primtbl">[1]Orientation!$C$23</definedName>
    <definedName name="_xlnm.Print_Area" localSheetId="4">'2021 Bud Capital Input 2183'!$E$22:$AN$60</definedName>
    <definedName name="_xlnm.Print_Area" localSheetId="3">'2022 Bud Capital Input 2183'!$E$23:$AL$73</definedName>
    <definedName name="_xlnm.Print_Area" localSheetId="5">'2022 Bud Capital Input 2184'!$E$22:$AN$55</definedName>
    <definedName name="_xlnm.Print_Area" localSheetId="2">'Assets 2021'!$A$5:$AW$102,'Assets 2021'!$B$103:$U$739</definedName>
    <definedName name="_xlnm.Print_Area" localSheetId="7">'Containers 2183'!$A$1:$R$513</definedName>
    <definedName name="_xlnm.Print_Area" localSheetId="10">'Orig OTHER EQUIP 2183'!$B$1:$AC$158</definedName>
    <definedName name="_xlnm.Print_Area" localSheetId="9">'Orig Trucks 2183'!$A$1:$AC$277</definedName>
    <definedName name="_xlnm.Print_Area" localSheetId="8">'OTHER EQUIP 2183'!$A$1:$T$162</definedName>
    <definedName name="_xlnm.Print_Area" localSheetId="0">'Summary 2183'!$A$1:$H$58,'Summary 2183'!$J$5:$Q$58,'Summary 2183'!$S$5:$Z$58,'Summary 2183'!$AB$5:$AI$58</definedName>
    <definedName name="_xlnm.Print_Area" localSheetId="6">'Trucks 2183'!$A$1:$S$207</definedName>
    <definedName name="_xlnm.Print_Area">#REF!</definedName>
    <definedName name="Print_Area_MI" localSheetId="5">#REF!</definedName>
    <definedName name="Print_Area_MI" localSheetId="9">'Orig Trucks 2183'!$C$1:$AC$193</definedName>
    <definedName name="Print_Area_MI" localSheetId="6">'Trucks 2183'!$C$1:$S$208</definedName>
    <definedName name="Print_Area_MI">#REF!</definedName>
    <definedName name="Print_Area_MIc" localSheetId="5">#REF!</definedName>
    <definedName name="Print_Area_MIc">#REF!</definedName>
    <definedName name="Print_Area1" localSheetId="3">#REF!</definedName>
    <definedName name="Print_Area1" localSheetId="10">#REF!</definedName>
    <definedName name="Print_Area1" localSheetId="9">#REF!</definedName>
    <definedName name="Print_Area1">#REF!</definedName>
    <definedName name="Print_Area2" localSheetId="4">#REF!</definedName>
    <definedName name="Print_Area2" localSheetId="3">#REF!</definedName>
    <definedName name="Print_Area2" localSheetId="10">#REF!</definedName>
    <definedName name="Print_Area2" localSheetId="9">#REF!</definedName>
    <definedName name="Print_Area2">#REF!</definedName>
    <definedName name="Print_Area3" localSheetId="4">#REF!</definedName>
    <definedName name="Print_Area3" localSheetId="3">#REF!</definedName>
    <definedName name="Print_Area3" localSheetId="10">#REF!</definedName>
    <definedName name="Print_Area3" localSheetId="9">#REF!</definedName>
    <definedName name="Print_Area3">#REF!</definedName>
    <definedName name="Print_Area5" localSheetId="4">#REF!</definedName>
    <definedName name="Print_Area5" localSheetId="3">#REF!</definedName>
    <definedName name="Print_Area5" localSheetId="10">#REF!</definedName>
    <definedName name="Print_Area5" localSheetId="9">#REF!</definedName>
    <definedName name="Print_Area5">#REF!</definedName>
    <definedName name="_xlnm.Print_Titles" localSheetId="2">'Assets 2021'!$5:$13</definedName>
    <definedName name="_xlnm.Print_Titles" localSheetId="7">'Containers 2183'!$9:$11</definedName>
    <definedName name="_xlnm.Print_Titles" localSheetId="10">'Orig OTHER EQUIP 2183'!$1:$11</definedName>
    <definedName name="_xlnm.Print_Titles" localSheetId="9">'Orig Trucks 2183'!$8:$11</definedName>
    <definedName name="_xlnm.Print_Titles" localSheetId="8">'OTHER EQUIP 2183'!$1:$11</definedName>
    <definedName name="_xlnm.Print_Titles" localSheetId="6">'Trucks 2183'!$8:$11</definedName>
    <definedName name="Print1" localSheetId="5">#REF!</definedName>
    <definedName name="Print1">#REF!</definedName>
    <definedName name="Print2" localSheetId="5">#REF!</definedName>
    <definedName name="Print2">#REF!</definedName>
    <definedName name="Print5" localSheetId="5">#REF!</definedName>
    <definedName name="Print5">#REF!</definedName>
    <definedName name="ProRev">'[5]Pacific Regulated - Price Out'!$M$49</definedName>
    <definedName name="ProRev_com">'[5]Pacific Regulated - Price Out'!$M$213</definedName>
    <definedName name="ProRev_mfr">'[5]Pacific Regulated - Price Out'!$M$221</definedName>
    <definedName name="ProRev_ro">'[5]Pacific Regulated - Price Out'!$M$281</definedName>
    <definedName name="ProRev_rr">'[5]Pacific Regulated - Price Out'!$M$58</definedName>
    <definedName name="ProRev_yw">'[5]Pacific Regulated - Price Out'!$M$69</definedName>
    <definedName name="pServer" localSheetId="5">#REF!</definedName>
    <definedName name="pServer">#REF!</definedName>
    <definedName name="pServiceCode" localSheetId="5">#REF!</definedName>
    <definedName name="pServiceCode">#REF!</definedName>
    <definedName name="pShowAllUnposted" localSheetId="5">#REF!</definedName>
    <definedName name="pShowAllUnposted">#REF!</definedName>
    <definedName name="pShowCustomerDetail">#REF!</definedName>
    <definedName name="pSortOption">#REF!</definedName>
    <definedName name="pStartPostDate">#REF!</definedName>
    <definedName name="pTransType">#REF!</definedName>
    <definedName name="RCW_81.04.080">#N/A</definedName>
    <definedName name="RecyDisposal">#N/A</definedName>
    <definedName name="Reg_Cust_Billed_Percent">'[13]Consolidated IS 2009 2010'!$AK$20</definedName>
    <definedName name="Reg_Cust_Percent">'[13]Consolidated IS 2009 2010'!$AC$20</definedName>
    <definedName name="Reg_Drive_Percent">'[13]Consolidated IS 2009 2010'!$AC$40</definedName>
    <definedName name="Reg_Haul_Rev_Percent">'[13]Consolidated IS 2009 2010'!$Z$18</definedName>
    <definedName name="Reg_Lab_Percent">'[13]Consolidated IS 2009 2010'!$AC$39</definedName>
    <definedName name="Reg_Steel_Cont_Percent">'[13]Consolidated IS 2009 2010'!$AE$120</definedName>
    <definedName name="RegulatedIS">'[13]2009 IS'!$A$12:$Q$655</definedName>
    <definedName name="RelatedSalary">#N/A</definedName>
    <definedName name="report_type">[1]Orientation!$C$24</definedName>
    <definedName name="ReportNames">[14]ControlPanel!$S$2:$S$16</definedName>
    <definedName name="ReportVersion">[1]Settings!$D$5</definedName>
    <definedName name="ReslStaffPriceOut" localSheetId="5">'[7]Price Out-Reg EASTSIDE-Resi'!#REF!</definedName>
    <definedName name="ReslStaffPriceOut">'[7]Price Out-Reg EASTSIDE-Resi'!#REF!</definedName>
    <definedName name="RetainedEarnings" localSheetId="5">#REF!</definedName>
    <definedName name="RetainedEarnings">#REF!</definedName>
    <definedName name="RevCust" localSheetId="5">'[15]RevenuesCust, pg 8'!#REF!</definedName>
    <definedName name="RevCust">'[15]RevenuesCust, pg 8'!#REF!</definedName>
    <definedName name="RevCustomer" localSheetId="5">#REF!</definedName>
    <definedName name="RevCustomer">#REF!</definedName>
    <definedName name="RevenuePF1" localSheetId="5">#REF!</definedName>
    <definedName name="RevenuePF1">#REF!</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effasfasdfsd" localSheetId="5">[16]Hidden!#REF!</definedName>
    <definedName name="seffasfasdfsd">[16]Hidden!#REF!</definedName>
    <definedName name="Sequential_Group">[1]Settings!$J$6</definedName>
    <definedName name="Sequential_Segment">[1]Settings!$I$6</definedName>
    <definedName name="Sequential_sort">[1]Settings!$I$10:$J$11</definedName>
    <definedName name="slope">'[17]LG Nonpublic 2018 V5.0'!$X$58</definedName>
    <definedName name="sortcol" localSheetId="5">#REF!</definedName>
    <definedName name="sortcol">#REF!</definedName>
    <definedName name="Source">[11]DropDownRanges!$D$4:$D$7</definedName>
    <definedName name="sSRCDate" localSheetId="4">#REF!</definedName>
    <definedName name="sSRCDate" localSheetId="3">'[18]Feb''12 FAR Data'!#REF!</definedName>
    <definedName name="sSRCDate" localSheetId="5">'[18]Feb''12 FAR Data'!#REF!</definedName>
    <definedName name="sSRCDate" localSheetId="10">#REF!</definedName>
    <definedName name="sSRCDate" localSheetId="9">#REF!</definedName>
    <definedName name="sSRCDate">#REF!</definedName>
    <definedName name="SubSystems" localSheetId="5">#REF!</definedName>
    <definedName name="SubSystems">#REF!</definedName>
    <definedName name="SubtypeToTruckType" localSheetId="4">[19]TruckCenterReference!$C$33:$D$83</definedName>
    <definedName name="SubtypeToTruckType">[19]TruckCenterReference!$C$37:$D$87</definedName>
    <definedName name="Supplemental_filter">[1]Settings!$C$31</definedName>
    <definedName name="SWDisposal">#N/A</definedName>
    <definedName name="System">[20]BS_Close!$V$8</definedName>
    <definedName name="Systems" localSheetId="5">#REF!</definedName>
    <definedName name="Systems">#REF!</definedName>
    <definedName name="TemplateEnd" localSheetId="5">#REF!</definedName>
    <definedName name="TemplateEnd">#REF!</definedName>
    <definedName name="TemplateStart" localSheetId="5">#REF!</definedName>
    <definedName name="TemplateStart">#REF!</definedName>
    <definedName name="TheTable">#REF!</definedName>
    <definedName name="TheTableOLD">#REF!</definedName>
    <definedName name="timeseries">[1]Orientation!$B$6:$C$13</definedName>
    <definedName name="ToMonth" localSheetId="5">#REF!</definedName>
    <definedName name="ToMonth">#REF!</definedName>
    <definedName name="Tons" localSheetId="5">#REF!</definedName>
    <definedName name="Tons">#REF!</definedName>
    <definedName name="Total_Comm">'[6]Tariff Rate Sheet'!$L$214</definedName>
    <definedName name="Total_DB">'[6]Tariff Rate Sheet'!$L$278</definedName>
    <definedName name="Total_Resi">'[6]Tariff Rate Sheet'!$L$107</definedName>
    <definedName name="Transactions" localSheetId="5">#REF!</definedName>
    <definedName name="Transactions">#REF!</definedName>
    <definedName name="UnregulatedIS">'[13]2010 IS'!$A$12:$Q$654</definedName>
    <definedName name="VendorCode" localSheetId="5">#REF!</definedName>
    <definedName name="VendorCode">#REF!</definedName>
    <definedName name="Version" localSheetId="5">[9]Data!#REF!</definedName>
    <definedName name="Version">[9]Data!#REF!</definedName>
    <definedName name="wrn.PrintReview." localSheetId="5" hidden="1">{#N/A,#N/A,TRUE,"SUMM";#N/A,#N/A,TRUE,"Rev";#N/A,#N/A,TRUE,"Dir_Costs";#N/A,#N/A,TRUE,"G and A Costs";#N/A,#N/A,TRUE,"Itemize";#N/A,#N/A,TRUE,"Cust_Count1";#N/A,#N/A,TRUE,"Cust_Count2";#N/A,#N/A,TRUE,"Rev_Breakdown";#N/A,#N/A,TRUE,"Truck Hours";#N/A,#N/A,TRUE,"Labor Hours";#N/A,#N/A,TRUE,"Container Breakdown";#N/A,#N/A,TRUE,"Cart Breakdown"}</definedName>
    <definedName name="wrn.PrintReview." hidden="1">{#N/A,#N/A,TRUE,"SUMM";#N/A,#N/A,TRUE,"Rev";#N/A,#N/A,TRUE,"Dir_Costs";#N/A,#N/A,TRUE,"G and A Costs";#N/A,#N/A,TRUE,"Itemize";#N/A,#N/A,TRUE,"Cust_Count1";#N/A,#N/A,TRUE,"Cust_Count2";#N/A,#N/A,TRUE,"Rev_Breakdown";#N/A,#N/A,TRUE,"Truck Hours";#N/A,#N/A,TRUE,"Labor Hours";#N/A,#N/A,TRUE,"Container Breakdown";#N/A,#N/A,TRUE,"Cart Breakdown"}</definedName>
    <definedName name="wrn.PrintReview2" localSheetId="5" hidden="1">{#N/A,#N/A,TRUE,"SUMM";#N/A,#N/A,TRUE,"Rev";#N/A,#N/A,TRUE,"Dir_Costs";#N/A,#N/A,TRUE,"G and A Costs";#N/A,#N/A,TRUE,"Itemize";#N/A,#N/A,TRUE,"Cust_Count1";#N/A,#N/A,TRUE,"Cust_Count2";#N/A,#N/A,TRUE,"Rev_Breakdown";#N/A,#N/A,TRUE,"Truck Hours";#N/A,#N/A,TRUE,"Labor Hours";#N/A,#N/A,TRUE,"Container Breakdown";#N/A,#N/A,TRUE,"Cart Breakdown"}</definedName>
    <definedName name="wrn.PrintReview2" hidden="1">{#N/A,#N/A,TRUE,"SUMM";#N/A,#N/A,TRUE,"Rev";#N/A,#N/A,TRUE,"Dir_Costs";#N/A,#N/A,TRUE,"G and A Costs";#N/A,#N/A,TRUE,"Itemize";#N/A,#N/A,TRUE,"Cust_Count1";#N/A,#N/A,TRUE,"Cust_Count2";#N/A,#N/A,TRUE,"Rev_Breakdown";#N/A,#N/A,TRUE,"Truck Hours";#N/A,#N/A,TRUE,"Labor Hours";#N/A,#N/A,TRUE,"Container Breakdown";#N/A,#N/A,TRUE,"Cart Breakdown"}</definedName>
    <definedName name="wrn.PrnPg1_Pg11." localSheetId="5" hidden="1">{"Page1",#N/A,TRUE,"SUMM";"Page2",#N/A,TRUE,"Rev";"Page3",#N/A,TRUE,"Dir_Costs";"Page4",#N/A,TRUE,"G and A Costs";"Page5",#N/A,TRUE,"Itemize";"Page6",#N/A,TRUE,"Cust_Count1";"Page7",#N/A,TRUE,"Cust_Count2";"Page8",#N/A,TRUE,"Rev_Breakdown";"Page9",#N/A,TRUE,"Truck Hours";"Page10",#N/A,TRUE,"Labor Hours";"Page11",#N/A,TRUE,"Container Breakdown"}</definedName>
    <definedName name="wrn.PrnPg1_Pg11." hidden="1">{"Page1",#N/A,TRUE,"SUMM";"Page2",#N/A,TRUE,"Rev";"Page3",#N/A,TRUE,"Dir_Costs";"Page4",#N/A,TRUE,"G and A Costs";"Page5",#N/A,TRUE,"Itemize";"Page6",#N/A,TRUE,"Cust_Count1";"Page7",#N/A,TRUE,"Cust_Count2";"Page8",#N/A,TRUE,"Rev_Breakdown";"Page9",#N/A,TRUE,"Truck Hours";"Page10",#N/A,TRUE,"Labor Hours";"Page11",#N/A,TRUE,"Container Breakdown"}</definedName>
    <definedName name="wrn.test." localSheetId="5" hidden="1">{"Page1",#N/A,TRUE,"SUMM";"Page2",#N/A,TRUE,"Rev";"Page3",#N/A,TRUE,"Dir_Costs"}</definedName>
    <definedName name="wrn.test." hidden="1">{"Page1",#N/A,TRUE,"SUMM";"Page2",#N/A,TRUE,"Rev";"Page3",#N/A,TRUE,"Dir_Costs"}</definedName>
    <definedName name="WTable" localSheetId="5">#REF!</definedName>
    <definedName name="WTable">#REF!</definedName>
    <definedName name="WTableOld" localSheetId="5">#REF!</definedName>
    <definedName name="WTableOld">#REF!</definedName>
    <definedName name="ww" localSheetId="5">#REF!</definedName>
    <definedName name="ww">#REF!</definedName>
    <definedName name="xperiod">[1]Orientation!$G$15</definedName>
    <definedName name="xtabin" localSheetId="5">[4]Hidden!#REF!</definedName>
    <definedName name="xtabin">[4]Hidden!#REF!</definedName>
    <definedName name="xx" localSheetId="5">#REF!</definedName>
    <definedName name="xx">#REF!</definedName>
    <definedName name="xxx" localSheetId="5">#REF!</definedName>
    <definedName name="xxx">#REF!</definedName>
    <definedName name="xxxx" localSheetId="5">#REF!</definedName>
    <definedName name="xxxx">#REF!</definedName>
    <definedName name="y_inter1">'[17]LG Nonpublic 2018 V5.0'!$W$55</definedName>
    <definedName name="y_inter2">'[17]LG Nonpublic 2018 V5.0'!$W$56</definedName>
    <definedName name="y_inter3">'[17]LG Nonpublic 2018 V5.0'!$Y$55</definedName>
    <definedName name="y_inter4">'[17]LG Nonpublic 2018 V5.0'!$Y$56</definedName>
    <definedName name="YearMonth" localSheetId="5">'[10]Yakima BS'!#REF!</definedName>
    <definedName name="YearMonth">'[10]Yakima BS'!#REF!</definedName>
    <definedName name="YWMedWasteDisp">#N/A</definedName>
    <definedName name="yy" localSheetId="5">#REF!</definedName>
    <definedName name="yy">#REF!</definedName>
  </definedNames>
  <calcPr calcId="162913"/>
  <pivotCaches>
    <pivotCache cacheId="18" r:id="rId36"/>
    <pivotCache cacheId="19" r:id="rId37"/>
  </pivotCaches>
</workbook>
</file>

<file path=xl/calcChain.xml><?xml version="1.0" encoding="utf-8"?>
<calcChain xmlns="http://schemas.openxmlformats.org/spreadsheetml/2006/main">
  <c r="N68" i="49" l="1"/>
  <c r="M68" i="49" l="1"/>
  <c r="N72" i="49" l="1"/>
  <c r="M72" i="49"/>
  <c r="O72" i="49" s="1"/>
  <c r="P72" i="49" s="1"/>
  <c r="AC58" i="51"/>
  <c r="AB58" i="51"/>
  <c r="AA58" i="51"/>
  <c r="Z58" i="51"/>
  <c r="Y58" i="51"/>
  <c r="X58" i="51"/>
  <c r="W58" i="51"/>
  <c r="V58" i="51"/>
  <c r="U58" i="51"/>
  <c r="T58" i="51"/>
  <c r="S58" i="51"/>
  <c r="R58" i="51"/>
  <c r="BD56" i="51"/>
  <c r="AZ56" i="51"/>
  <c r="AX56" i="51"/>
  <c r="AV56" i="51"/>
  <c r="AU56" i="51"/>
  <c r="AS56" i="51"/>
  <c r="AR56" i="51"/>
  <c r="AQ56" i="51"/>
  <c r="AY56" i="51" s="1"/>
  <c r="AE56" i="51"/>
  <c r="B56" i="51"/>
  <c r="A56" i="51"/>
  <c r="BD55" i="51"/>
  <c r="AZ55" i="51"/>
  <c r="AX55" i="51"/>
  <c r="AV55" i="51"/>
  <c r="AS55" i="51"/>
  <c r="AQ55" i="51"/>
  <c r="BB55" i="51" s="1"/>
  <c r="BC55" i="51" s="1"/>
  <c r="AE55" i="51"/>
  <c r="B55" i="51"/>
  <c r="A55" i="51"/>
  <c r="BD54" i="51"/>
  <c r="AZ54" i="51"/>
  <c r="AY54" i="51"/>
  <c r="AX54" i="51"/>
  <c r="AV54" i="51"/>
  <c r="AU54" i="51"/>
  <c r="AS54" i="51"/>
  <c r="AR54" i="51"/>
  <c r="AQ54" i="51"/>
  <c r="BB54" i="51" s="1"/>
  <c r="BC54" i="51" s="1"/>
  <c r="AE54" i="51"/>
  <c r="B54" i="51"/>
  <c r="A54" i="51"/>
  <c r="BD53" i="51"/>
  <c r="AZ53" i="51"/>
  <c r="AX53" i="51"/>
  <c r="AV53" i="51"/>
  <c r="AU53" i="51"/>
  <c r="AS53" i="51"/>
  <c r="AR53" i="51"/>
  <c r="AQ53" i="51"/>
  <c r="BB53" i="51" s="1"/>
  <c r="BC53" i="51" s="1"/>
  <c r="AE53" i="51"/>
  <c r="B53" i="51"/>
  <c r="A53" i="51"/>
  <c r="BD52" i="51"/>
  <c r="AZ52" i="51"/>
  <c r="AX52" i="51"/>
  <c r="AV52" i="51"/>
  <c r="AU52" i="51"/>
  <c r="AS52" i="51"/>
  <c r="AR52" i="51"/>
  <c r="AQ52" i="51"/>
  <c r="AY52" i="51" s="1"/>
  <c r="AE52" i="51"/>
  <c r="B52" i="51"/>
  <c r="A52" i="51"/>
  <c r="AX51" i="51"/>
  <c r="AQ51" i="51"/>
  <c r="BB51" i="51" s="1"/>
  <c r="BC51" i="51" s="1"/>
  <c r="BD51" i="51" s="1"/>
  <c r="AE51" i="51"/>
  <c r="B51" i="51"/>
  <c r="A51" i="51"/>
  <c r="AY50" i="51"/>
  <c r="AX50" i="51"/>
  <c r="AZ50" i="51" s="1"/>
  <c r="AU50" i="51"/>
  <c r="AV50" i="51" s="1"/>
  <c r="AR50" i="51"/>
  <c r="AS50" i="51" s="1"/>
  <c r="AQ50" i="51"/>
  <c r="BB50" i="51" s="1"/>
  <c r="BC50" i="51" s="1"/>
  <c r="BD50" i="51" s="1"/>
  <c r="AE50" i="51"/>
  <c r="B50" i="51"/>
  <c r="A50" i="51"/>
  <c r="AX49" i="51"/>
  <c r="AU49" i="51"/>
  <c r="AV49" i="51" s="1"/>
  <c r="AR49" i="51"/>
  <c r="AS49" i="51" s="1"/>
  <c r="AQ49" i="51"/>
  <c r="BB49" i="51" s="1"/>
  <c r="BC49" i="51" s="1"/>
  <c r="BD49" i="51" s="1"/>
  <c r="AE49" i="51"/>
  <c r="B49" i="51"/>
  <c r="A49" i="51"/>
  <c r="AX48" i="51"/>
  <c r="AU48" i="51"/>
  <c r="AV48" i="51" s="1"/>
  <c r="AR48" i="51"/>
  <c r="AS48" i="51" s="1"/>
  <c r="AQ48" i="51"/>
  <c r="AY48" i="51" s="1"/>
  <c r="AZ48" i="51" s="1"/>
  <c r="AE48" i="51"/>
  <c r="B48" i="51"/>
  <c r="A48" i="51"/>
  <c r="AX47" i="51"/>
  <c r="AQ47" i="51"/>
  <c r="AR47" i="51" s="1"/>
  <c r="AS47" i="51" s="1"/>
  <c r="AE47" i="51"/>
  <c r="B47" i="51"/>
  <c r="A47" i="51"/>
  <c r="BD46" i="51"/>
  <c r="AZ46" i="51"/>
  <c r="AY46" i="51"/>
  <c r="AX46" i="51"/>
  <c r="AV46" i="51"/>
  <c r="AU46" i="51"/>
  <c r="AS46" i="51"/>
  <c r="AR46" i="51"/>
  <c r="AQ46" i="51"/>
  <c r="BB46" i="51" s="1"/>
  <c r="BC46" i="51" s="1"/>
  <c r="AE46" i="51"/>
  <c r="B46" i="51"/>
  <c r="A46" i="51"/>
  <c r="BD45" i="51"/>
  <c r="AZ45" i="51"/>
  <c r="AY45" i="51"/>
  <c r="AX45" i="51"/>
  <c r="AV45" i="51"/>
  <c r="AU45" i="51"/>
  <c r="AS45" i="51"/>
  <c r="AR45" i="51"/>
  <c r="AQ45" i="51"/>
  <c r="BB45" i="51" s="1"/>
  <c r="BC45" i="51" s="1"/>
  <c r="AE45" i="51"/>
  <c r="B45" i="51"/>
  <c r="A45" i="51"/>
  <c r="BD44" i="51"/>
  <c r="AZ44" i="51"/>
  <c r="AX44" i="51"/>
  <c r="AV44" i="51"/>
  <c r="AU44" i="51"/>
  <c r="AS44" i="51"/>
  <c r="AR44" i="51"/>
  <c r="AQ44" i="51"/>
  <c r="AY44" i="51" s="1"/>
  <c r="AE44" i="51"/>
  <c r="B44" i="51"/>
  <c r="A44" i="51"/>
  <c r="BD43" i="51"/>
  <c r="AZ43" i="51"/>
  <c r="AX43" i="51"/>
  <c r="AV43" i="51"/>
  <c r="AS43" i="51"/>
  <c r="AQ43" i="51"/>
  <c r="AU43" i="51" s="1"/>
  <c r="AE43" i="51"/>
  <c r="B43" i="51"/>
  <c r="A43" i="51"/>
  <c r="BD42" i="51"/>
  <c r="AZ42" i="51"/>
  <c r="AY42" i="51"/>
  <c r="AX42" i="51"/>
  <c r="AV42" i="51"/>
  <c r="AU42" i="51"/>
  <c r="AS42" i="51"/>
  <c r="AR42" i="51"/>
  <c r="AQ42" i="51"/>
  <c r="BB42" i="51" s="1"/>
  <c r="BC42" i="51" s="1"/>
  <c r="AE42" i="51"/>
  <c r="B42" i="51"/>
  <c r="A42" i="51"/>
  <c r="BD41" i="51"/>
  <c r="AZ41" i="51"/>
  <c r="AY41" i="51"/>
  <c r="AX41" i="51"/>
  <c r="AV41" i="51"/>
  <c r="AU41" i="51"/>
  <c r="AS41" i="51"/>
  <c r="AR41" i="51"/>
  <c r="AQ41" i="51"/>
  <c r="BB41" i="51" s="1"/>
  <c r="BC41" i="51" s="1"/>
  <c r="AE41" i="51"/>
  <c r="B41" i="51"/>
  <c r="A41" i="51"/>
  <c r="BD40" i="51"/>
  <c r="AZ40" i="51"/>
  <c r="AX40" i="51"/>
  <c r="AV40" i="51"/>
  <c r="AU40" i="51"/>
  <c r="AS40" i="51"/>
  <c r="AR40" i="51"/>
  <c r="AQ40" i="51"/>
  <c r="AY40" i="51" s="1"/>
  <c r="AE40" i="51"/>
  <c r="B40" i="51"/>
  <c r="A40" i="51"/>
  <c r="BD39" i="51"/>
  <c r="BB39" i="51"/>
  <c r="BC39" i="51" s="1"/>
  <c r="AZ39" i="51"/>
  <c r="AX39" i="51"/>
  <c r="AV39" i="51"/>
  <c r="AS39" i="51"/>
  <c r="AQ39" i="51"/>
  <c r="AU39" i="51" s="1"/>
  <c r="AE39" i="51"/>
  <c r="B39" i="51"/>
  <c r="A39" i="51"/>
  <c r="BD38" i="51"/>
  <c r="AZ38" i="51"/>
  <c r="AY38" i="51"/>
  <c r="AX38" i="51"/>
  <c r="AV38" i="51"/>
  <c r="AU38" i="51"/>
  <c r="AS38" i="51"/>
  <c r="AR38" i="51"/>
  <c r="AQ38" i="51"/>
  <c r="BB38" i="51" s="1"/>
  <c r="BC38" i="51" s="1"/>
  <c r="AE38" i="51"/>
  <c r="B38" i="51"/>
  <c r="A38" i="51"/>
  <c r="BD37" i="51"/>
  <c r="AZ37" i="51"/>
  <c r="AY37" i="51"/>
  <c r="AX37" i="51"/>
  <c r="AV37" i="51"/>
  <c r="AU37" i="51"/>
  <c r="AS37" i="51"/>
  <c r="AR37" i="51"/>
  <c r="AQ37" i="51"/>
  <c r="BB37" i="51" s="1"/>
  <c r="BC37" i="51" s="1"/>
  <c r="AE37" i="51"/>
  <c r="B37" i="51"/>
  <c r="A37" i="51"/>
  <c r="BD36" i="51"/>
  <c r="AZ36" i="51"/>
  <c r="AX36" i="51"/>
  <c r="AV36" i="51"/>
  <c r="AU36" i="51"/>
  <c r="AS36" i="51"/>
  <c r="AR36" i="51"/>
  <c r="AQ36" i="51"/>
  <c r="AY36" i="51" s="1"/>
  <c r="AE36" i="51"/>
  <c r="B36" i="51"/>
  <c r="A36" i="51"/>
  <c r="BD35" i="51"/>
  <c r="AZ35" i="51"/>
  <c r="AX35" i="51"/>
  <c r="AV35" i="51"/>
  <c r="AS35" i="51"/>
  <c r="AQ35" i="51"/>
  <c r="BB35" i="51" s="1"/>
  <c r="BC35" i="51" s="1"/>
  <c r="AE35" i="51"/>
  <c r="B35" i="51"/>
  <c r="A35" i="51"/>
  <c r="BD34" i="51"/>
  <c r="AZ34" i="51"/>
  <c r="AY34" i="51"/>
  <c r="AX34" i="51"/>
  <c r="AV34" i="51"/>
  <c r="AU34" i="51"/>
  <c r="AS34" i="51"/>
  <c r="AR34" i="51"/>
  <c r="AQ34" i="51"/>
  <c r="BB34" i="51" s="1"/>
  <c r="BC34" i="51" s="1"/>
  <c r="AE34" i="51"/>
  <c r="B34" i="51"/>
  <c r="A34" i="51"/>
  <c r="BD33" i="51"/>
  <c r="AZ33" i="51"/>
  <c r="AY33" i="51"/>
  <c r="AX33" i="51"/>
  <c r="AV33" i="51"/>
  <c r="AU33" i="51"/>
  <c r="AS33" i="51"/>
  <c r="AR33" i="51"/>
  <c r="AQ33" i="51"/>
  <c r="BB33" i="51" s="1"/>
  <c r="BC33" i="51" s="1"/>
  <c r="AE33" i="51"/>
  <c r="B33" i="51"/>
  <c r="A33" i="51"/>
  <c r="BD32" i="51"/>
  <c r="AZ32" i="51"/>
  <c r="AX32" i="51"/>
  <c r="AV32" i="51"/>
  <c r="AU32" i="51"/>
  <c r="AS32" i="51"/>
  <c r="AR32" i="51"/>
  <c r="AQ32" i="51"/>
  <c r="AY32" i="51" s="1"/>
  <c r="AE32" i="51"/>
  <c r="B32" i="51"/>
  <c r="A32" i="51"/>
  <c r="BD31" i="51"/>
  <c r="AZ31" i="51"/>
  <c r="AX31" i="51"/>
  <c r="AV31" i="51"/>
  <c r="AS31" i="51"/>
  <c r="AQ31" i="51"/>
  <c r="AU31" i="51" s="1"/>
  <c r="AE31" i="51"/>
  <c r="B31" i="51"/>
  <c r="A31" i="51"/>
  <c r="BD30" i="51"/>
  <c r="AZ30" i="51"/>
  <c r="AY30" i="51"/>
  <c r="AX30" i="51"/>
  <c r="AV30" i="51"/>
  <c r="AU30" i="51"/>
  <c r="AS30" i="51"/>
  <c r="AR30" i="51"/>
  <c r="AQ30" i="51"/>
  <c r="BB30" i="51" s="1"/>
  <c r="BC30" i="51" s="1"/>
  <c r="AE30" i="51"/>
  <c r="AE58" i="51" s="1"/>
  <c r="B30" i="51"/>
  <c r="A30" i="51"/>
  <c r="B18" i="51" s="1"/>
  <c r="B19" i="51" s="1"/>
  <c r="BD6" i="51"/>
  <c r="AZ6" i="51"/>
  <c r="AY6" i="51"/>
  <c r="AX6" i="51"/>
  <c r="AV6" i="51"/>
  <c r="AU6" i="51"/>
  <c r="AS6" i="51"/>
  <c r="AR6" i="51"/>
  <c r="AQ6" i="51"/>
  <c r="BB6" i="51" s="1"/>
  <c r="BC6" i="51" s="1"/>
  <c r="AE6" i="51"/>
  <c r="B6" i="51"/>
  <c r="A6" i="51"/>
  <c r="F10" i="51"/>
  <c r="F13" i="51"/>
  <c r="L8" i="51"/>
  <c r="F15" i="51"/>
  <c r="F9" i="51"/>
  <c r="F11" i="51"/>
  <c r="L9" i="51"/>
  <c r="F12" i="51"/>
  <c r="Q72" i="49" l="1"/>
  <c r="BB31" i="51"/>
  <c r="BC31" i="51" s="1"/>
  <c r="AY31" i="51"/>
  <c r="BB32" i="51"/>
  <c r="BC32" i="51" s="1"/>
  <c r="AY35" i="51"/>
  <c r="BB36" i="51"/>
  <c r="BC36" i="51" s="1"/>
  <c r="AY39" i="51"/>
  <c r="BB40" i="51"/>
  <c r="BC40" i="51" s="1"/>
  <c r="AY43" i="51"/>
  <c r="BB44" i="51"/>
  <c r="BC44" i="51" s="1"/>
  <c r="AY47" i="51"/>
  <c r="AZ47" i="51" s="1"/>
  <c r="BB48" i="51"/>
  <c r="BC48" i="51" s="1"/>
  <c r="BD48" i="51" s="1"/>
  <c r="AY51" i="51"/>
  <c r="AZ51" i="51" s="1"/>
  <c r="BB52" i="51"/>
  <c r="BC52" i="51" s="1"/>
  <c r="AY55" i="51"/>
  <c r="BB56" i="51"/>
  <c r="BC56" i="51" s="1"/>
  <c r="AR43" i="51"/>
  <c r="AR55" i="51"/>
  <c r="AY49" i="51"/>
  <c r="AZ49" i="51" s="1"/>
  <c r="AY53" i="51"/>
  <c r="BB47" i="51"/>
  <c r="BC47" i="51" s="1"/>
  <c r="BD47" i="51" s="1"/>
  <c r="AR35" i="51"/>
  <c r="AR39" i="51"/>
  <c r="AU35" i="51"/>
  <c r="AU47" i="51"/>
  <c r="AV47" i="51" s="1"/>
  <c r="AU51" i="51"/>
  <c r="AV51" i="51" s="1"/>
  <c r="AU55" i="51"/>
  <c r="BB43" i="51"/>
  <c r="BC43" i="51" s="1"/>
  <c r="AR31" i="51"/>
  <c r="AR51" i="51"/>
  <c r="AS51" i="51" s="1"/>
  <c r="AG51" i="26" l="1"/>
  <c r="L51" i="26"/>
  <c r="C49" i="26"/>
  <c r="C51" i="26"/>
  <c r="N71" i="49"/>
  <c r="M71" i="49"/>
  <c r="O71" i="49" s="1"/>
  <c r="P71" i="49" s="1"/>
  <c r="Q71" i="49" s="1"/>
  <c r="N70" i="49"/>
  <c r="M70" i="49"/>
  <c r="O70" i="49" s="1"/>
  <c r="AC53" i="50"/>
  <c r="AB53" i="50"/>
  <c r="AA53" i="50"/>
  <c r="Z53" i="50"/>
  <c r="Y53" i="50"/>
  <c r="X53" i="50"/>
  <c r="W53" i="50"/>
  <c r="V53" i="50"/>
  <c r="U53" i="50"/>
  <c r="T53" i="50"/>
  <c r="S53" i="50"/>
  <c r="R53" i="50"/>
  <c r="BD51" i="50"/>
  <c r="BB51" i="50"/>
  <c r="BC51" i="50" s="1"/>
  <c r="AZ51" i="50"/>
  <c r="AY51" i="50"/>
  <c r="AX51" i="50"/>
  <c r="AV51" i="50"/>
  <c r="AU51" i="50"/>
  <c r="AS51" i="50"/>
  <c r="AR51" i="50"/>
  <c r="AQ51" i="50"/>
  <c r="AE51" i="50"/>
  <c r="B51" i="50"/>
  <c r="A51" i="50"/>
  <c r="BD50" i="50"/>
  <c r="BB50" i="50"/>
  <c r="BC50" i="50" s="1"/>
  <c r="AZ50" i="50"/>
  <c r="AY50" i="50"/>
  <c r="AX50" i="50"/>
  <c r="AV50" i="50"/>
  <c r="AU50" i="50"/>
  <c r="AS50" i="50"/>
  <c r="AR50" i="50"/>
  <c r="AQ50" i="50"/>
  <c r="AE50" i="50"/>
  <c r="B50" i="50"/>
  <c r="A50" i="50"/>
  <c r="BD49" i="50"/>
  <c r="BB49" i="50"/>
  <c r="BC49" i="50" s="1"/>
  <c r="AZ49" i="50"/>
  <c r="AY49" i="50"/>
  <c r="AX49" i="50"/>
  <c r="AV49" i="50"/>
  <c r="AU49" i="50"/>
  <c r="AS49" i="50"/>
  <c r="AR49" i="50"/>
  <c r="AQ49" i="50"/>
  <c r="AE49" i="50"/>
  <c r="B49" i="50"/>
  <c r="A49" i="50"/>
  <c r="BD48" i="50"/>
  <c r="BB48" i="50"/>
  <c r="BC48" i="50" s="1"/>
  <c r="AZ48" i="50"/>
  <c r="AY48" i="50"/>
  <c r="AX48" i="50"/>
  <c r="AV48" i="50"/>
  <c r="AU48" i="50"/>
  <c r="AS48" i="50"/>
  <c r="AR48" i="50"/>
  <c r="AQ48" i="50"/>
  <c r="AE48" i="50"/>
  <c r="B48" i="50"/>
  <c r="A48" i="50"/>
  <c r="BD47" i="50"/>
  <c r="BB47" i="50"/>
  <c r="BC47" i="50" s="1"/>
  <c r="AZ47" i="50"/>
  <c r="AY47" i="50"/>
  <c r="AX47" i="50"/>
  <c r="AV47" i="50"/>
  <c r="AU47" i="50"/>
  <c r="AS47" i="50"/>
  <c r="AR47" i="50"/>
  <c r="AQ47" i="50"/>
  <c r="AE47" i="50"/>
  <c r="B47" i="50"/>
  <c r="A47" i="50"/>
  <c r="BD46" i="50"/>
  <c r="BC46" i="50"/>
  <c r="BB46" i="50"/>
  <c r="AZ46" i="50"/>
  <c r="AY46" i="50"/>
  <c r="AX46" i="50"/>
  <c r="AV46" i="50"/>
  <c r="AU46" i="50"/>
  <c r="AS46" i="50"/>
  <c r="AR46" i="50"/>
  <c r="AQ46" i="50"/>
  <c r="AE46" i="50"/>
  <c r="B46" i="50"/>
  <c r="A46" i="50"/>
  <c r="BD45" i="50"/>
  <c r="BB45" i="50"/>
  <c r="BC45" i="50" s="1"/>
  <c r="AZ45" i="50"/>
  <c r="AY45" i="50"/>
  <c r="AX45" i="50"/>
  <c r="AV45" i="50"/>
  <c r="AU45" i="50"/>
  <c r="AS45" i="50"/>
  <c r="AR45" i="50"/>
  <c r="AQ45" i="50"/>
  <c r="AE45" i="50"/>
  <c r="B45" i="50"/>
  <c r="A45" i="50"/>
  <c r="BD44" i="50"/>
  <c r="BB44" i="50"/>
  <c r="BC44" i="50" s="1"/>
  <c r="AZ44" i="50"/>
  <c r="AY44" i="50"/>
  <c r="AX44" i="50"/>
  <c r="AV44" i="50"/>
  <c r="AU44" i="50"/>
  <c r="AS44" i="50"/>
  <c r="AR44" i="50"/>
  <c r="AQ44" i="50"/>
  <c r="AE44" i="50"/>
  <c r="B44" i="50"/>
  <c r="A44" i="50"/>
  <c r="BD43" i="50"/>
  <c r="BB43" i="50"/>
  <c r="BC43" i="50" s="1"/>
  <c r="AZ43" i="50"/>
  <c r="AY43" i="50"/>
  <c r="AX43" i="50"/>
  <c r="AV43" i="50"/>
  <c r="AU43" i="50"/>
  <c r="AS43" i="50"/>
  <c r="AR43" i="50"/>
  <c r="AQ43" i="50"/>
  <c r="AE43" i="50"/>
  <c r="B43" i="50"/>
  <c r="A43" i="50"/>
  <c r="BD42" i="50"/>
  <c r="BB42" i="50"/>
  <c r="BC42" i="50" s="1"/>
  <c r="AZ42" i="50"/>
  <c r="AY42" i="50"/>
  <c r="AX42" i="50"/>
  <c r="AV42" i="50"/>
  <c r="AU42" i="50"/>
  <c r="AS42" i="50"/>
  <c r="AR42" i="50"/>
  <c r="AQ42" i="50"/>
  <c r="AE42" i="50"/>
  <c r="B42" i="50"/>
  <c r="A42" i="50"/>
  <c r="BD41" i="50"/>
  <c r="BB41" i="50"/>
  <c r="BC41" i="50" s="1"/>
  <c r="AZ41" i="50"/>
  <c r="AY41" i="50"/>
  <c r="AX41" i="50"/>
  <c r="AV41" i="50"/>
  <c r="AU41" i="50"/>
  <c r="AS41" i="50"/>
  <c r="AR41" i="50"/>
  <c r="AQ41" i="50"/>
  <c r="AE41" i="50"/>
  <c r="B41" i="50"/>
  <c r="A41" i="50"/>
  <c r="BD40" i="50"/>
  <c r="BB40" i="50"/>
  <c r="BC40" i="50" s="1"/>
  <c r="AZ40" i="50"/>
  <c r="AY40" i="50"/>
  <c r="AX40" i="50"/>
  <c r="AV40" i="50"/>
  <c r="AU40" i="50"/>
  <c r="AS40" i="50"/>
  <c r="AR40" i="50"/>
  <c r="AQ40" i="50"/>
  <c r="AE40" i="50"/>
  <c r="B40" i="50"/>
  <c r="A40" i="50"/>
  <c r="BD39" i="50"/>
  <c r="BB39" i="50"/>
  <c r="BC39" i="50" s="1"/>
  <c r="AZ39" i="50"/>
  <c r="AY39" i="50"/>
  <c r="AX39" i="50"/>
  <c r="AV39" i="50"/>
  <c r="AU39" i="50"/>
  <c r="AS39" i="50"/>
  <c r="AR39" i="50"/>
  <c r="AQ39" i="50"/>
  <c r="AE39" i="50"/>
  <c r="B39" i="50"/>
  <c r="A39" i="50"/>
  <c r="BD38" i="50"/>
  <c r="BB38" i="50"/>
  <c r="BC38" i="50" s="1"/>
  <c r="AZ38" i="50"/>
  <c r="AY38" i="50"/>
  <c r="AX38" i="50"/>
  <c r="AV38" i="50"/>
  <c r="AU38" i="50"/>
  <c r="AS38" i="50"/>
  <c r="AR38" i="50"/>
  <c r="AQ38" i="50"/>
  <c r="AE38" i="50"/>
  <c r="B38" i="50"/>
  <c r="A38" i="50"/>
  <c r="BD37" i="50"/>
  <c r="BB37" i="50"/>
  <c r="BC37" i="50" s="1"/>
  <c r="AZ37" i="50"/>
  <c r="AY37" i="50"/>
  <c r="AX37" i="50"/>
  <c r="AV37" i="50"/>
  <c r="AU37" i="50"/>
  <c r="AS37" i="50"/>
  <c r="AR37" i="50"/>
  <c r="AQ37" i="50"/>
  <c r="AE37" i="50"/>
  <c r="B37" i="50"/>
  <c r="A37" i="50"/>
  <c r="BD36" i="50"/>
  <c r="BB36" i="50"/>
  <c r="BC36" i="50" s="1"/>
  <c r="AZ36" i="50"/>
  <c r="AY36" i="50"/>
  <c r="AX36" i="50"/>
  <c r="AV36" i="50"/>
  <c r="AU36" i="50"/>
  <c r="AS36" i="50"/>
  <c r="AR36" i="50"/>
  <c r="AQ36" i="50"/>
  <c r="AE36" i="50"/>
  <c r="B36" i="50"/>
  <c r="A36" i="50"/>
  <c r="BD35" i="50"/>
  <c r="BB35" i="50"/>
  <c r="BC35" i="50" s="1"/>
  <c r="AZ35" i="50"/>
  <c r="AY35" i="50"/>
  <c r="AX35" i="50"/>
  <c r="AV35" i="50"/>
  <c r="AU35" i="50"/>
  <c r="AS35" i="50"/>
  <c r="AR35" i="50"/>
  <c r="AQ35" i="50"/>
  <c r="AE35" i="50"/>
  <c r="B35" i="50"/>
  <c r="A35" i="50"/>
  <c r="BD34" i="50"/>
  <c r="BB34" i="50"/>
  <c r="BC34" i="50" s="1"/>
  <c r="AZ34" i="50"/>
  <c r="AY34" i="50"/>
  <c r="AX34" i="50"/>
  <c r="AV34" i="50"/>
  <c r="AU34" i="50"/>
  <c r="AS34" i="50"/>
  <c r="AR34" i="50"/>
  <c r="AQ34" i="50"/>
  <c r="AE34" i="50"/>
  <c r="B34" i="50"/>
  <c r="A34" i="50"/>
  <c r="BD33" i="50"/>
  <c r="BB33" i="50"/>
  <c r="BC33" i="50" s="1"/>
  <c r="AZ33" i="50"/>
  <c r="AY33" i="50"/>
  <c r="AX33" i="50"/>
  <c r="AV33" i="50"/>
  <c r="AU33" i="50"/>
  <c r="AS33" i="50"/>
  <c r="AR33" i="50"/>
  <c r="AQ33" i="50"/>
  <c r="AE33" i="50"/>
  <c r="B33" i="50"/>
  <c r="A33" i="50"/>
  <c r="BD32" i="50"/>
  <c r="BB32" i="50"/>
  <c r="BC32" i="50" s="1"/>
  <c r="AZ32" i="50"/>
  <c r="AY32" i="50"/>
  <c r="AX32" i="50"/>
  <c r="AV32" i="50"/>
  <c r="AU32" i="50"/>
  <c r="AS32" i="50"/>
  <c r="AR32" i="50"/>
  <c r="AQ32" i="50"/>
  <c r="AE32" i="50"/>
  <c r="B32" i="50"/>
  <c r="A32" i="50"/>
  <c r="B18" i="50" s="1"/>
  <c r="B19" i="50" s="1"/>
  <c r="BD31" i="50"/>
  <c r="BB31" i="50"/>
  <c r="BC31" i="50" s="1"/>
  <c r="AZ31" i="50"/>
  <c r="AY31" i="50"/>
  <c r="AX31" i="50"/>
  <c r="AV31" i="50"/>
  <c r="AU31" i="50"/>
  <c r="AS31" i="50"/>
  <c r="AR31" i="50"/>
  <c r="AQ31" i="50"/>
  <c r="AM31" i="50"/>
  <c r="AE31" i="50"/>
  <c r="B31" i="50"/>
  <c r="A31" i="50"/>
  <c r="BD30" i="50"/>
  <c r="BB30" i="50"/>
  <c r="BC30" i="50" s="1"/>
  <c r="AZ30" i="50"/>
  <c r="AY30" i="50"/>
  <c r="AX30" i="50"/>
  <c r="AV30" i="50"/>
  <c r="AU30" i="50"/>
  <c r="AS30" i="50"/>
  <c r="AR30" i="50"/>
  <c r="AQ30" i="50"/>
  <c r="AM30" i="50"/>
  <c r="AE30" i="50"/>
  <c r="AE53" i="50" s="1"/>
  <c r="B30" i="50"/>
  <c r="A30" i="50"/>
  <c r="BD6" i="50"/>
  <c r="BB6" i="50"/>
  <c r="BC6" i="50" s="1"/>
  <c r="AZ6" i="50"/>
  <c r="AY6" i="50"/>
  <c r="AX6" i="50"/>
  <c r="AV6" i="50"/>
  <c r="AU6" i="50"/>
  <c r="AS6" i="50"/>
  <c r="AR6" i="50"/>
  <c r="AQ6" i="50"/>
  <c r="AE6" i="50"/>
  <c r="B6" i="50"/>
  <c r="A6" i="50"/>
  <c r="M69" i="49"/>
  <c r="O69" i="49" s="1"/>
  <c r="F10" i="50"/>
  <c r="F13" i="50"/>
  <c r="F11" i="50"/>
  <c r="F9" i="50"/>
  <c r="L8" i="50"/>
  <c r="F12" i="50"/>
  <c r="F15" i="50"/>
  <c r="L9" i="50"/>
  <c r="P70" i="49" l="1"/>
  <c r="W51" i="26"/>
  <c r="AF51" i="26" s="1"/>
  <c r="T51" i="26"/>
  <c r="T45" i="26"/>
  <c r="V45" i="26" s="1"/>
  <c r="P69" i="49"/>
  <c r="W45" i="26"/>
  <c r="X55" i="26"/>
  <c r="AG33" i="26"/>
  <c r="U53" i="26"/>
  <c r="U49" i="26"/>
  <c r="U41" i="26"/>
  <c r="U39" i="26"/>
  <c r="U37" i="26"/>
  <c r="U31" i="26"/>
  <c r="U29" i="26"/>
  <c r="U27" i="26"/>
  <c r="U25" i="26"/>
  <c r="U23" i="26"/>
  <c r="U18" i="26"/>
  <c r="U16" i="26"/>
  <c r="U14" i="26"/>
  <c r="C33" i="26"/>
  <c r="L33" i="26"/>
  <c r="N67" i="49"/>
  <c r="N66" i="49"/>
  <c r="AC61" i="49"/>
  <c r="AB61" i="49"/>
  <c r="AA61" i="49"/>
  <c r="Z61" i="49"/>
  <c r="Y61" i="49"/>
  <c r="X61" i="49"/>
  <c r="W61" i="49"/>
  <c r="V61" i="49"/>
  <c r="U61" i="49"/>
  <c r="T61" i="49"/>
  <c r="S61" i="49"/>
  <c r="R61" i="49"/>
  <c r="BD59" i="49"/>
  <c r="AZ59" i="49"/>
  <c r="AX59" i="49"/>
  <c r="AV59" i="49"/>
  <c r="AS59" i="49"/>
  <c r="AQ59" i="49"/>
  <c r="BB59" i="49" s="1"/>
  <c r="BC59" i="49" s="1"/>
  <c r="AE59" i="49"/>
  <c r="B59" i="49"/>
  <c r="A59" i="49"/>
  <c r="BD58" i="49"/>
  <c r="AZ58" i="49"/>
  <c r="AX58" i="49"/>
  <c r="AV58" i="49"/>
  <c r="AS58" i="49"/>
  <c r="AQ58" i="49"/>
  <c r="AY58" i="49" s="1"/>
  <c r="AE58" i="49"/>
  <c r="B58" i="49"/>
  <c r="A58" i="49" s="1"/>
  <c r="BD57" i="49"/>
  <c r="AZ57" i="49"/>
  <c r="AX57" i="49"/>
  <c r="AV57" i="49"/>
  <c r="AS57" i="49"/>
  <c r="AQ57" i="49"/>
  <c r="BB57" i="49" s="1"/>
  <c r="BC57" i="49" s="1"/>
  <c r="AE57" i="49"/>
  <c r="B57" i="49"/>
  <c r="A57" i="49" s="1"/>
  <c r="BD56" i="49"/>
  <c r="AZ56" i="49"/>
  <c r="AX56" i="49"/>
  <c r="AV56" i="49"/>
  <c r="AS56" i="49"/>
  <c r="AQ56" i="49"/>
  <c r="BB56" i="49" s="1"/>
  <c r="BC56" i="49" s="1"/>
  <c r="AE56" i="49"/>
  <c r="B56" i="49"/>
  <c r="A56" i="49" s="1"/>
  <c r="BD55" i="49"/>
  <c r="AZ55" i="49"/>
  <c r="AX55" i="49"/>
  <c r="AV55" i="49"/>
  <c r="AS55" i="49"/>
  <c r="AQ55" i="49"/>
  <c r="BB55" i="49" s="1"/>
  <c r="BC55" i="49" s="1"/>
  <c r="AE55" i="49"/>
  <c r="B55" i="49"/>
  <c r="A55" i="49" s="1"/>
  <c r="BD54" i="49"/>
  <c r="AZ54" i="49"/>
  <c r="AX54" i="49"/>
  <c r="AV54" i="49"/>
  <c r="AS54" i="49"/>
  <c r="AQ54" i="49"/>
  <c r="AY54" i="49" s="1"/>
  <c r="AE54" i="49"/>
  <c r="B54" i="49"/>
  <c r="A54" i="49" s="1"/>
  <c r="BD53" i="49"/>
  <c r="AZ53" i="49"/>
  <c r="AX53" i="49"/>
  <c r="AV53" i="49"/>
  <c r="AS53" i="49"/>
  <c r="AQ53" i="49"/>
  <c r="BB53" i="49" s="1"/>
  <c r="BC53" i="49" s="1"/>
  <c r="AE53" i="49"/>
  <c r="B53" i="49"/>
  <c r="A53" i="49" s="1"/>
  <c r="BD52" i="49"/>
  <c r="AZ52" i="49"/>
  <c r="AX52" i="49"/>
  <c r="AV52" i="49"/>
  <c r="AS52" i="49"/>
  <c r="AQ52" i="49"/>
  <c r="BB52" i="49" s="1"/>
  <c r="BC52" i="49" s="1"/>
  <c r="AE52" i="49"/>
  <c r="B52" i="49"/>
  <c r="A52" i="49"/>
  <c r="BD51" i="49"/>
  <c r="AZ51" i="49"/>
  <c r="AX51" i="49"/>
  <c r="AV51" i="49"/>
  <c r="AS51" i="49"/>
  <c r="AQ51" i="49"/>
  <c r="BB51" i="49" s="1"/>
  <c r="BC51" i="49" s="1"/>
  <c r="AE51" i="49"/>
  <c r="B51" i="49"/>
  <c r="A51" i="49" s="1"/>
  <c r="BD50" i="49"/>
  <c r="AZ50" i="49"/>
  <c r="AX50" i="49"/>
  <c r="AV50" i="49"/>
  <c r="AS50" i="49"/>
  <c r="AQ50" i="49"/>
  <c r="AY50" i="49" s="1"/>
  <c r="AE50" i="49"/>
  <c r="B50" i="49"/>
  <c r="A50" i="49" s="1"/>
  <c r="BD49" i="49"/>
  <c r="AZ49" i="49"/>
  <c r="AX49" i="49"/>
  <c r="AV49" i="49"/>
  <c r="AS49" i="49"/>
  <c r="AQ49" i="49"/>
  <c r="BB49" i="49" s="1"/>
  <c r="BC49" i="49" s="1"/>
  <c r="AE49" i="49"/>
  <c r="B49" i="49"/>
  <c r="A49" i="49" s="1"/>
  <c r="BD48" i="49"/>
  <c r="AZ48" i="49"/>
  <c r="AX48" i="49"/>
  <c r="AV48" i="49"/>
  <c r="AS48" i="49"/>
  <c r="AQ48" i="49"/>
  <c r="BB48" i="49" s="1"/>
  <c r="BC48" i="49" s="1"/>
  <c r="AE48" i="49"/>
  <c r="B48" i="49"/>
  <c r="A48" i="49" s="1"/>
  <c r="BD47" i="49"/>
  <c r="AZ47" i="49"/>
  <c r="AX47" i="49"/>
  <c r="AV47" i="49"/>
  <c r="AS47" i="49"/>
  <c r="AQ47" i="49"/>
  <c r="BB47" i="49" s="1"/>
  <c r="BC47" i="49" s="1"/>
  <c r="AE47" i="49"/>
  <c r="B47" i="49"/>
  <c r="A47" i="49" s="1"/>
  <c r="BD46" i="49"/>
  <c r="AZ46" i="49"/>
  <c r="AX46" i="49"/>
  <c r="AV46" i="49"/>
  <c r="AS46" i="49"/>
  <c r="AQ46" i="49"/>
  <c r="AY46" i="49" s="1"/>
  <c r="AE46" i="49"/>
  <c r="B46" i="49"/>
  <c r="A46" i="49"/>
  <c r="BD45" i="49"/>
  <c r="AZ45" i="49"/>
  <c r="AX45" i="49"/>
  <c r="AV45" i="49"/>
  <c r="AS45" i="49"/>
  <c r="AQ45" i="49"/>
  <c r="BB45" i="49" s="1"/>
  <c r="BC45" i="49" s="1"/>
  <c r="AE45" i="49"/>
  <c r="B45" i="49"/>
  <c r="A45" i="49" s="1"/>
  <c r="BD44" i="49"/>
  <c r="AZ44" i="49"/>
  <c r="AX44" i="49"/>
  <c r="AV44" i="49"/>
  <c r="AS44" i="49"/>
  <c r="AQ44" i="49"/>
  <c r="BB44" i="49" s="1"/>
  <c r="BC44" i="49" s="1"/>
  <c r="AE44" i="49"/>
  <c r="B44" i="49"/>
  <c r="A44" i="49" s="1"/>
  <c r="BD43" i="49"/>
  <c r="AZ43" i="49"/>
  <c r="AX43" i="49"/>
  <c r="AV43" i="49"/>
  <c r="AS43" i="49"/>
  <c r="AQ43" i="49"/>
  <c r="BB43" i="49" s="1"/>
  <c r="BC43" i="49" s="1"/>
  <c r="AE43" i="49"/>
  <c r="B43" i="49"/>
  <c r="A43" i="49" s="1"/>
  <c r="BD42" i="49"/>
  <c r="AZ42" i="49"/>
  <c r="AX42" i="49"/>
  <c r="AV42" i="49"/>
  <c r="AS42" i="49"/>
  <c r="AQ42" i="49"/>
  <c r="AY42" i="49" s="1"/>
  <c r="AE42" i="49"/>
  <c r="B42" i="49"/>
  <c r="A42" i="49"/>
  <c r="BD41" i="49"/>
  <c r="AZ41" i="49"/>
  <c r="AX41" i="49"/>
  <c r="AV41" i="49"/>
  <c r="AS41" i="49"/>
  <c r="AQ41" i="49"/>
  <c r="BB41" i="49" s="1"/>
  <c r="BC41" i="49" s="1"/>
  <c r="AE41" i="49"/>
  <c r="B41" i="49"/>
  <c r="A41" i="49" s="1"/>
  <c r="BD40" i="49"/>
  <c r="AZ40" i="49"/>
  <c r="AX40" i="49"/>
  <c r="AV40" i="49"/>
  <c r="AS40" i="49"/>
  <c r="AQ40" i="49"/>
  <c r="BB40" i="49" s="1"/>
  <c r="BC40" i="49" s="1"/>
  <c r="AE40" i="49"/>
  <c r="B40" i="49"/>
  <c r="A40" i="49" s="1"/>
  <c r="BD39" i="49"/>
  <c r="AZ39" i="49"/>
  <c r="AX39" i="49"/>
  <c r="AV39" i="49"/>
  <c r="AU39" i="49"/>
  <c r="AS39" i="49"/>
  <c r="AQ39" i="49"/>
  <c r="BB39" i="49" s="1"/>
  <c r="BC39" i="49" s="1"/>
  <c r="AE39" i="49"/>
  <c r="B39" i="49"/>
  <c r="A39" i="49" s="1"/>
  <c r="BD38" i="49"/>
  <c r="AZ38" i="49"/>
  <c r="AX38" i="49"/>
  <c r="AV38" i="49"/>
  <c r="AS38" i="49"/>
  <c r="AQ38" i="49"/>
  <c r="AY38" i="49" s="1"/>
  <c r="AE38" i="49"/>
  <c r="T33" i="26" s="1"/>
  <c r="B38" i="49"/>
  <c r="A38" i="49" s="1"/>
  <c r="AX37" i="49"/>
  <c r="AQ37" i="49"/>
  <c r="BB37" i="49" s="1"/>
  <c r="BC37" i="49" s="1"/>
  <c r="BD37" i="49" s="1"/>
  <c r="AM37" i="49"/>
  <c r="AE37" i="49"/>
  <c r="B37" i="49"/>
  <c r="A37" i="49" s="1"/>
  <c r="AX36" i="49"/>
  <c r="AQ36" i="49"/>
  <c r="AU36" i="49" s="1"/>
  <c r="AV36" i="49" s="1"/>
  <c r="AM36" i="49"/>
  <c r="AE36" i="49"/>
  <c r="M67" i="49" s="1"/>
  <c r="B36" i="49"/>
  <c r="A36" i="49"/>
  <c r="AX35" i="49"/>
  <c r="AQ35" i="49"/>
  <c r="BB35" i="49" s="1"/>
  <c r="AE35" i="49"/>
  <c r="B35" i="49"/>
  <c r="A35" i="49" s="1"/>
  <c r="AX34" i="49"/>
  <c r="AU34" i="49"/>
  <c r="AV34" i="49" s="1"/>
  <c r="AQ34" i="49"/>
  <c r="BB34" i="49" s="1"/>
  <c r="AE34" i="49"/>
  <c r="B34" i="49"/>
  <c r="A34" i="49" s="1"/>
  <c r="AX33" i="49"/>
  <c r="AQ33" i="49"/>
  <c r="AY33" i="49" s="1"/>
  <c r="AM33" i="49"/>
  <c r="AE33" i="49"/>
  <c r="B33" i="49"/>
  <c r="A33" i="49" s="1"/>
  <c r="AX32" i="49"/>
  <c r="AQ32" i="49"/>
  <c r="AR32" i="49" s="1"/>
  <c r="AS32" i="49" s="1"/>
  <c r="AM32" i="49"/>
  <c r="AE32" i="49"/>
  <c r="B32" i="49"/>
  <c r="A32" i="49" s="1"/>
  <c r="AX31" i="49"/>
  <c r="AQ31" i="49"/>
  <c r="AU31" i="49" s="1"/>
  <c r="AV31" i="49" s="1"/>
  <c r="AM31" i="49"/>
  <c r="AE31" i="49"/>
  <c r="B31" i="49"/>
  <c r="A31" i="49" s="1"/>
  <c r="BD30" i="49"/>
  <c r="AZ30" i="49"/>
  <c r="AX30" i="49"/>
  <c r="AV30" i="49"/>
  <c r="AS30" i="49"/>
  <c r="AQ30" i="49"/>
  <c r="AU30" i="49" s="1"/>
  <c r="AE30" i="49"/>
  <c r="B30" i="49"/>
  <c r="A30" i="49" s="1"/>
  <c r="BD6" i="49"/>
  <c r="AZ6" i="49"/>
  <c r="AX6" i="49"/>
  <c r="AV6" i="49"/>
  <c r="AS6" i="49"/>
  <c r="AQ6" i="49"/>
  <c r="AU6" i="49" s="1"/>
  <c r="AE6" i="49"/>
  <c r="B6" i="49"/>
  <c r="A6" i="49" s="1"/>
  <c r="Q29" i="26"/>
  <c r="P29" i="26"/>
  <c r="P35" i="26" s="1"/>
  <c r="O29" i="26"/>
  <c r="N29" i="26"/>
  <c r="K29" i="26"/>
  <c r="M29" i="26" s="1"/>
  <c r="Q45" i="26"/>
  <c r="P45" i="26"/>
  <c r="O45" i="26"/>
  <c r="N45" i="26"/>
  <c r="K45" i="26"/>
  <c r="M45" i="26" s="1"/>
  <c r="Q37" i="26"/>
  <c r="P37" i="26"/>
  <c r="P55" i="26" s="1"/>
  <c r="O37" i="26"/>
  <c r="N37" i="26"/>
  <c r="N55" i="26" s="1"/>
  <c r="K37" i="26"/>
  <c r="M37" i="26" s="1"/>
  <c r="Q31" i="26"/>
  <c r="P31" i="26"/>
  <c r="O31" i="26"/>
  <c r="N31" i="26"/>
  <c r="K31" i="26"/>
  <c r="M31" i="26" s="1"/>
  <c r="Q25" i="26"/>
  <c r="Q23" i="26"/>
  <c r="P25" i="26"/>
  <c r="P23" i="26"/>
  <c r="O25" i="26"/>
  <c r="O23" i="26"/>
  <c r="N23" i="26"/>
  <c r="N25" i="26"/>
  <c r="K25" i="26"/>
  <c r="M25" i="26" s="1"/>
  <c r="K23" i="26"/>
  <c r="M23" i="26" s="1"/>
  <c r="F10" i="49"/>
  <c r="F13" i="49"/>
  <c r="F9" i="49"/>
  <c r="F11" i="49"/>
  <c r="F15" i="49"/>
  <c r="L8" i="49"/>
  <c r="L9" i="49"/>
  <c r="F12" i="49"/>
  <c r="AR57" i="49" l="1"/>
  <c r="AY57" i="49"/>
  <c r="BC35" i="49"/>
  <c r="BD35" i="49" s="1"/>
  <c r="AY37" i="49"/>
  <c r="AZ37" i="49" s="1"/>
  <c r="AU52" i="49"/>
  <c r="AY36" i="49"/>
  <c r="AZ36" i="49" s="1"/>
  <c r="AU47" i="49"/>
  <c r="AY32" i="49"/>
  <c r="AZ32" i="49" s="1"/>
  <c r="AY35" i="49"/>
  <c r="BB36" i="49"/>
  <c r="BC36" i="49" s="1"/>
  <c r="BD36" i="49" s="1"/>
  <c r="AU41" i="49"/>
  <c r="AR48" i="49"/>
  <c r="AU55" i="49"/>
  <c r="AR56" i="49"/>
  <c r="AU44" i="49"/>
  <c r="AU49" i="49"/>
  <c r="AR40" i="49"/>
  <c r="AR53" i="49"/>
  <c r="AR59" i="49"/>
  <c r="M66" i="49"/>
  <c r="O66" i="49" s="1"/>
  <c r="AY41" i="49"/>
  <c r="AR43" i="49"/>
  <c r="AY44" i="49"/>
  <c r="AY49" i="49"/>
  <c r="AR51" i="49"/>
  <c r="AY52" i="49"/>
  <c r="AU56" i="49"/>
  <c r="AY6" i="49"/>
  <c r="AU40" i="49"/>
  <c r="AU45" i="49"/>
  <c r="AU48" i="49"/>
  <c r="AU53" i="49"/>
  <c r="AU51" i="49"/>
  <c r="AU43" i="49"/>
  <c r="AY30" i="49"/>
  <c r="AY31" i="49"/>
  <c r="BC34" i="49"/>
  <c r="BD34" i="49" s="1"/>
  <c r="AR35" i="49"/>
  <c r="AS35" i="49" s="1"/>
  <c r="AR41" i="49"/>
  <c r="AR49" i="49"/>
  <c r="AR52" i="49"/>
  <c r="AY56" i="49"/>
  <c r="AR45" i="49"/>
  <c r="AR37" i="49"/>
  <c r="AS37" i="49" s="1"/>
  <c r="AR44" i="49"/>
  <c r="AR34" i="49"/>
  <c r="AS34" i="49" s="1"/>
  <c r="AU35" i="49"/>
  <c r="AV35" i="49" s="1"/>
  <c r="AU37" i="49"/>
  <c r="AV37" i="49" s="1"/>
  <c r="AR39" i="49"/>
  <c r="AY40" i="49"/>
  <c r="AY45" i="49"/>
  <c r="AR47" i="49"/>
  <c r="AY48" i="49"/>
  <c r="AY53" i="49"/>
  <c r="AR55" i="49"/>
  <c r="AU57" i="49"/>
  <c r="U45" i="26"/>
  <c r="AC51" i="26"/>
  <c r="V51" i="26"/>
  <c r="AE51" i="26" s="1"/>
  <c r="Q70" i="49"/>
  <c r="Z51" i="26" s="1"/>
  <c r="AI51" i="26" s="1"/>
  <c r="Y51" i="26"/>
  <c r="AH51" i="26" s="1"/>
  <c r="AZ31" i="49"/>
  <c r="O35" i="26"/>
  <c r="Q55" i="26"/>
  <c r="M35" i="26"/>
  <c r="N35" i="26"/>
  <c r="M55" i="26"/>
  <c r="K35" i="26"/>
  <c r="Q35" i="26"/>
  <c r="O55" i="26"/>
  <c r="K55" i="26"/>
  <c r="AZ35" i="49"/>
  <c r="Q69" i="49"/>
  <c r="Z45" i="26" s="1"/>
  <c r="Y45" i="26"/>
  <c r="AZ33" i="49"/>
  <c r="AC33" i="26"/>
  <c r="V33" i="26"/>
  <c r="AE33" i="26" s="1"/>
  <c r="V43" i="26"/>
  <c r="U43" i="26" s="1"/>
  <c r="O67" i="49"/>
  <c r="P67" i="49" s="1"/>
  <c r="Q67" i="49" s="1"/>
  <c r="B18" i="49"/>
  <c r="B19" i="49" s="1"/>
  <c r="O68" i="49"/>
  <c r="BB42" i="49"/>
  <c r="BC42" i="49" s="1"/>
  <c r="BB46" i="49"/>
  <c r="BC46" i="49" s="1"/>
  <c r="BB50" i="49"/>
  <c r="BC50" i="49" s="1"/>
  <c r="BB54" i="49"/>
  <c r="BC54" i="49" s="1"/>
  <c r="BB58" i="49"/>
  <c r="BC58" i="49" s="1"/>
  <c r="AR46" i="49"/>
  <c r="AR50" i="49"/>
  <c r="AR54" i="49"/>
  <c r="AR58" i="49"/>
  <c r="AU59" i="49"/>
  <c r="BB32" i="49"/>
  <c r="BC32" i="49" s="1"/>
  <c r="BD32" i="49" s="1"/>
  <c r="AU42" i="49"/>
  <c r="AU58" i="49"/>
  <c r="BB33" i="49"/>
  <c r="BC33" i="49" s="1"/>
  <c r="BD33" i="49" s="1"/>
  <c r="AR38" i="49"/>
  <c r="AR42" i="49"/>
  <c r="BB31" i="49"/>
  <c r="BC31" i="49" s="1"/>
  <c r="BD31" i="49" s="1"/>
  <c r="AU38" i="49"/>
  <c r="AU46" i="49"/>
  <c r="AU50" i="49"/>
  <c r="AU54" i="49"/>
  <c r="AR6" i="49"/>
  <c r="AR30" i="49"/>
  <c r="AU32" i="49"/>
  <c r="AV32" i="49" s="1"/>
  <c r="AY34" i="49"/>
  <c r="AZ34" i="49" s="1"/>
  <c r="AR36" i="49"/>
  <c r="AS36" i="49" s="1"/>
  <c r="AY39" i="49"/>
  <c r="AY43" i="49"/>
  <c r="AY47" i="49"/>
  <c r="AY51" i="49"/>
  <c r="AY55" i="49"/>
  <c r="AY59" i="49"/>
  <c r="BB38" i="49"/>
  <c r="BC38" i="49" s="1"/>
  <c r="AR31" i="49"/>
  <c r="AS31" i="49" s="1"/>
  <c r="AE61" i="49"/>
  <c r="AR33" i="49"/>
  <c r="AS33" i="49" s="1"/>
  <c r="BB6" i="49"/>
  <c r="BC6" i="49" s="1"/>
  <c r="BB30" i="49"/>
  <c r="BC30" i="49" s="1"/>
  <c r="AU33" i="49"/>
  <c r="AV33" i="49" s="1"/>
  <c r="W10" i="26" l="1"/>
  <c r="O73" i="49"/>
  <c r="T10" i="26"/>
  <c r="V10" i="26" s="1"/>
  <c r="M73" i="49"/>
  <c r="AD51" i="26"/>
  <c r="U51" i="26"/>
  <c r="U33" i="26"/>
  <c r="V55" i="26"/>
  <c r="P68" i="49"/>
  <c r="W33" i="26"/>
  <c r="AF33" i="26" s="1"/>
  <c r="P66" i="49"/>
  <c r="Y10" i="26" s="1"/>
  <c r="AD33" i="26"/>
  <c r="Q14" i="26"/>
  <c r="P14" i="26"/>
  <c r="O14" i="26"/>
  <c r="N14" i="26"/>
  <c r="K14" i="26"/>
  <c r="M14" i="26" s="1"/>
  <c r="L14" i="26" s="1"/>
  <c r="L53" i="26"/>
  <c r="L49" i="26"/>
  <c r="L47" i="26"/>
  <c r="L45" i="26"/>
  <c r="L43" i="26"/>
  <c r="L41" i="26"/>
  <c r="L39" i="26"/>
  <c r="L37" i="26"/>
  <c r="L31" i="26"/>
  <c r="L29" i="26"/>
  <c r="L27" i="26"/>
  <c r="L25" i="26"/>
  <c r="L23" i="26"/>
  <c r="L18" i="26"/>
  <c r="L16" i="26"/>
  <c r="Q10" i="26"/>
  <c r="P10" i="26"/>
  <c r="O10" i="26"/>
  <c r="N10" i="26"/>
  <c r="K10" i="26"/>
  <c r="V739" i="47"/>
  <c r="V738" i="47"/>
  <c r="V737" i="47"/>
  <c r="V736" i="47"/>
  <c r="V735" i="47"/>
  <c r="V734" i="47"/>
  <c r="V733" i="47"/>
  <c r="V732" i="47"/>
  <c r="V731" i="47"/>
  <c r="V730" i="47"/>
  <c r="V729" i="47"/>
  <c r="V728" i="47"/>
  <c r="V727" i="47"/>
  <c r="V726" i="47"/>
  <c r="V725" i="47"/>
  <c r="V724" i="47"/>
  <c r="V723" i="47"/>
  <c r="V722" i="47"/>
  <c r="V721" i="47"/>
  <c r="V720" i="47"/>
  <c r="V719" i="47"/>
  <c r="V718" i="47"/>
  <c r="V717" i="47"/>
  <c r="V716" i="47"/>
  <c r="V715" i="47"/>
  <c r="V714" i="47"/>
  <c r="V713" i="47"/>
  <c r="V712" i="47"/>
  <c r="V711" i="47"/>
  <c r="V710" i="47"/>
  <c r="V709" i="47"/>
  <c r="V708" i="47"/>
  <c r="V707" i="47"/>
  <c r="V706" i="47"/>
  <c r="V705" i="47"/>
  <c r="V704" i="47"/>
  <c r="V703" i="47"/>
  <c r="V702" i="47"/>
  <c r="V701" i="47"/>
  <c r="V700" i="47"/>
  <c r="V699" i="47"/>
  <c r="V698" i="47"/>
  <c r="V697" i="47"/>
  <c r="V696" i="47"/>
  <c r="V695" i="47"/>
  <c r="V694" i="47"/>
  <c r="V693" i="47"/>
  <c r="V692" i="47"/>
  <c r="V691" i="47"/>
  <c r="V690" i="47"/>
  <c r="V689" i="47"/>
  <c r="V688" i="47"/>
  <c r="V687" i="47"/>
  <c r="V686" i="47"/>
  <c r="V685" i="47"/>
  <c r="V684" i="47"/>
  <c r="V683" i="47"/>
  <c r="V682" i="47"/>
  <c r="V681" i="47"/>
  <c r="V680" i="47"/>
  <c r="V679" i="47"/>
  <c r="V678" i="47"/>
  <c r="V677" i="47"/>
  <c r="V676" i="47"/>
  <c r="V675" i="47"/>
  <c r="V674" i="47"/>
  <c r="V673" i="47"/>
  <c r="V672" i="47"/>
  <c r="V671" i="47"/>
  <c r="V670" i="47"/>
  <c r="V669" i="47"/>
  <c r="V668" i="47"/>
  <c r="V667" i="47"/>
  <c r="V666" i="47"/>
  <c r="V665" i="47"/>
  <c r="V664" i="47"/>
  <c r="V663" i="47"/>
  <c r="V662" i="47"/>
  <c r="V661" i="47"/>
  <c r="V660" i="47"/>
  <c r="V659" i="47"/>
  <c r="V658" i="47"/>
  <c r="V657" i="47"/>
  <c r="V656" i="47"/>
  <c r="V655" i="47"/>
  <c r="V654" i="47"/>
  <c r="V653" i="47"/>
  <c r="V652" i="47"/>
  <c r="V651" i="47"/>
  <c r="V650" i="47"/>
  <c r="V649" i="47"/>
  <c r="V648" i="47"/>
  <c r="V647" i="47"/>
  <c r="V646" i="47"/>
  <c r="V645" i="47"/>
  <c r="V644" i="47"/>
  <c r="V643" i="47"/>
  <c r="V642" i="47"/>
  <c r="V641" i="47"/>
  <c r="V640" i="47"/>
  <c r="V639" i="47"/>
  <c r="V638" i="47"/>
  <c r="V637" i="47"/>
  <c r="V636" i="47"/>
  <c r="V635" i="47"/>
  <c r="V634" i="47"/>
  <c r="V633" i="47"/>
  <c r="V632" i="47"/>
  <c r="V631" i="47"/>
  <c r="V630" i="47"/>
  <c r="V629" i="47"/>
  <c r="V628" i="47"/>
  <c r="V627" i="47"/>
  <c r="V626" i="47"/>
  <c r="V625" i="47"/>
  <c r="V624" i="47"/>
  <c r="V623" i="47"/>
  <c r="V622" i="47"/>
  <c r="V621" i="47"/>
  <c r="V620" i="47"/>
  <c r="V619" i="47"/>
  <c r="V618" i="47"/>
  <c r="V617" i="47"/>
  <c r="V616" i="47"/>
  <c r="V615" i="47"/>
  <c r="V614" i="47"/>
  <c r="V613" i="47"/>
  <c r="V612" i="47"/>
  <c r="V611" i="47"/>
  <c r="V610" i="47"/>
  <c r="V609" i="47"/>
  <c r="V608" i="47"/>
  <c r="V607" i="47"/>
  <c r="V606" i="47"/>
  <c r="V605" i="47"/>
  <c r="V604" i="47"/>
  <c r="V603" i="47"/>
  <c r="V602" i="47"/>
  <c r="V601" i="47"/>
  <c r="V600" i="47"/>
  <c r="V599" i="47"/>
  <c r="V598" i="47"/>
  <c r="V597" i="47"/>
  <c r="V596" i="47"/>
  <c r="V595" i="47"/>
  <c r="V594" i="47"/>
  <c r="V593" i="47"/>
  <c r="V592" i="47"/>
  <c r="V591" i="47"/>
  <c r="V590" i="47"/>
  <c r="V589" i="47"/>
  <c r="V588" i="47"/>
  <c r="V587" i="47"/>
  <c r="V586" i="47"/>
  <c r="V585" i="47"/>
  <c r="V584" i="47"/>
  <c r="V583" i="47"/>
  <c r="V582" i="47"/>
  <c r="V581" i="47"/>
  <c r="V580" i="47"/>
  <c r="V579" i="47"/>
  <c r="V578" i="47"/>
  <c r="V577" i="47"/>
  <c r="V576" i="47"/>
  <c r="V575" i="47"/>
  <c r="V574" i="47"/>
  <c r="V573" i="47"/>
  <c r="V572" i="47"/>
  <c r="V571" i="47"/>
  <c r="V570" i="47"/>
  <c r="V569" i="47"/>
  <c r="V568" i="47"/>
  <c r="V567" i="47"/>
  <c r="V566" i="47"/>
  <c r="V565" i="47"/>
  <c r="V564" i="47"/>
  <c r="V563" i="47"/>
  <c r="V562" i="47"/>
  <c r="V561" i="47"/>
  <c r="V560" i="47"/>
  <c r="V559" i="47"/>
  <c r="V558" i="47"/>
  <c r="V557" i="47"/>
  <c r="V556" i="47"/>
  <c r="V555" i="47"/>
  <c r="V554" i="47"/>
  <c r="V553" i="47"/>
  <c r="V552" i="47"/>
  <c r="V551" i="47"/>
  <c r="V550" i="47"/>
  <c r="V549" i="47"/>
  <c r="V548" i="47"/>
  <c r="V547" i="47"/>
  <c r="V546" i="47"/>
  <c r="V545" i="47"/>
  <c r="V544" i="47"/>
  <c r="V543" i="47"/>
  <c r="V542" i="47"/>
  <c r="V541" i="47"/>
  <c r="V540" i="47"/>
  <c r="V539" i="47"/>
  <c r="V538" i="47"/>
  <c r="V537" i="47"/>
  <c r="V536" i="47"/>
  <c r="V535" i="47"/>
  <c r="V534" i="47"/>
  <c r="V533" i="47"/>
  <c r="V532" i="47"/>
  <c r="V531" i="47"/>
  <c r="V530" i="47"/>
  <c r="V529" i="47"/>
  <c r="V528" i="47"/>
  <c r="V527" i="47"/>
  <c r="V526" i="47"/>
  <c r="V525" i="47"/>
  <c r="V524" i="47"/>
  <c r="V523" i="47"/>
  <c r="V522" i="47"/>
  <c r="V521" i="47"/>
  <c r="V520" i="47"/>
  <c r="V519" i="47"/>
  <c r="V518" i="47"/>
  <c r="V517" i="47"/>
  <c r="V516" i="47"/>
  <c r="V515" i="47"/>
  <c r="V514" i="47"/>
  <c r="V513" i="47"/>
  <c r="V512" i="47"/>
  <c r="V511" i="47"/>
  <c r="V510" i="47"/>
  <c r="V509" i="47"/>
  <c r="V508" i="47"/>
  <c r="V507" i="47"/>
  <c r="V506" i="47"/>
  <c r="V505" i="47"/>
  <c r="V504" i="47"/>
  <c r="V503" i="47"/>
  <c r="V502" i="47"/>
  <c r="V501" i="47"/>
  <c r="V500" i="47"/>
  <c r="V499" i="47"/>
  <c r="V498" i="47"/>
  <c r="V497" i="47"/>
  <c r="V496" i="47"/>
  <c r="V495" i="47"/>
  <c r="V494" i="47"/>
  <c r="V493" i="47"/>
  <c r="V492" i="47"/>
  <c r="V491" i="47"/>
  <c r="V490" i="47"/>
  <c r="V489" i="47"/>
  <c r="V488" i="47"/>
  <c r="V487" i="47"/>
  <c r="V486" i="47"/>
  <c r="V485" i="47"/>
  <c r="V484" i="47"/>
  <c r="V483" i="47"/>
  <c r="V482" i="47"/>
  <c r="V481" i="47"/>
  <c r="V480" i="47"/>
  <c r="V479" i="47"/>
  <c r="V478" i="47"/>
  <c r="V477" i="47"/>
  <c r="V476" i="47"/>
  <c r="V475" i="47"/>
  <c r="V474" i="47"/>
  <c r="V473" i="47"/>
  <c r="V472" i="47"/>
  <c r="V471" i="47"/>
  <c r="V470" i="47"/>
  <c r="V469" i="47"/>
  <c r="V468" i="47"/>
  <c r="V467" i="47"/>
  <c r="V466" i="47"/>
  <c r="V465" i="47"/>
  <c r="V464" i="47"/>
  <c r="V463" i="47"/>
  <c r="V462" i="47"/>
  <c r="V461" i="47"/>
  <c r="V460" i="47"/>
  <c r="V459" i="47"/>
  <c r="V458" i="47"/>
  <c r="V457" i="47"/>
  <c r="V456" i="47"/>
  <c r="V455" i="47"/>
  <c r="V454" i="47"/>
  <c r="V453" i="47"/>
  <c r="V452" i="47"/>
  <c r="V451" i="47"/>
  <c r="V450" i="47"/>
  <c r="V449" i="47"/>
  <c r="V448" i="47"/>
  <c r="V447" i="47"/>
  <c r="V446" i="47"/>
  <c r="V445" i="47"/>
  <c r="V444" i="47"/>
  <c r="V443" i="47"/>
  <c r="V442" i="47"/>
  <c r="V441" i="47"/>
  <c r="V440" i="47"/>
  <c r="V439" i="47"/>
  <c r="V438" i="47"/>
  <c r="V437" i="47"/>
  <c r="V436" i="47"/>
  <c r="V435" i="47"/>
  <c r="V434" i="47"/>
  <c r="V433" i="47"/>
  <c r="V432" i="47"/>
  <c r="V431" i="47"/>
  <c r="V430" i="47"/>
  <c r="V429" i="47"/>
  <c r="V428" i="47"/>
  <c r="V427" i="47"/>
  <c r="V426" i="47"/>
  <c r="V425" i="47"/>
  <c r="V424" i="47"/>
  <c r="V423" i="47"/>
  <c r="V422" i="47"/>
  <c r="V421" i="47"/>
  <c r="V420" i="47"/>
  <c r="V419" i="47"/>
  <c r="V418" i="47"/>
  <c r="V417" i="47"/>
  <c r="V416" i="47"/>
  <c r="V415" i="47"/>
  <c r="V414" i="47"/>
  <c r="V413" i="47"/>
  <c r="V412" i="47"/>
  <c r="V411" i="47"/>
  <c r="V410" i="47"/>
  <c r="V409" i="47"/>
  <c r="V408" i="47"/>
  <c r="V407" i="47"/>
  <c r="V406" i="47"/>
  <c r="V405" i="47"/>
  <c r="V404" i="47"/>
  <c r="V403" i="47"/>
  <c r="V402" i="47"/>
  <c r="V401" i="47"/>
  <c r="V400" i="47"/>
  <c r="V399" i="47"/>
  <c r="V398" i="47"/>
  <c r="V397" i="47"/>
  <c r="V396" i="47"/>
  <c r="V395" i="47"/>
  <c r="V394" i="47"/>
  <c r="V393" i="47"/>
  <c r="V392" i="47"/>
  <c r="V391" i="47"/>
  <c r="V390" i="47"/>
  <c r="V389" i="47"/>
  <c r="V388" i="47"/>
  <c r="V387" i="47"/>
  <c r="V386" i="47"/>
  <c r="V385" i="47"/>
  <c r="V384" i="47"/>
  <c r="V383" i="47"/>
  <c r="V382" i="47"/>
  <c r="V381" i="47"/>
  <c r="V380" i="47"/>
  <c r="V379" i="47"/>
  <c r="V378" i="47"/>
  <c r="V377" i="47"/>
  <c r="V376" i="47"/>
  <c r="V375" i="47"/>
  <c r="V374" i="47"/>
  <c r="V373" i="47"/>
  <c r="V372" i="47"/>
  <c r="V371" i="47"/>
  <c r="V370" i="47"/>
  <c r="V369" i="47"/>
  <c r="V368" i="47"/>
  <c r="V367" i="47"/>
  <c r="V366" i="47"/>
  <c r="V365" i="47"/>
  <c r="V364" i="47"/>
  <c r="V363" i="47"/>
  <c r="V362" i="47"/>
  <c r="V361" i="47"/>
  <c r="V360" i="47"/>
  <c r="V359" i="47"/>
  <c r="V358" i="47"/>
  <c r="V357" i="47"/>
  <c r="V356" i="47"/>
  <c r="V355" i="47"/>
  <c r="V354" i="47"/>
  <c r="V353" i="47"/>
  <c r="V352" i="47"/>
  <c r="V351" i="47"/>
  <c r="V350" i="47"/>
  <c r="V349" i="47"/>
  <c r="V348" i="47"/>
  <c r="V347" i="47"/>
  <c r="V346" i="47"/>
  <c r="V345" i="47"/>
  <c r="V344" i="47"/>
  <c r="V343" i="47"/>
  <c r="V342" i="47"/>
  <c r="V341" i="47"/>
  <c r="V340" i="47"/>
  <c r="V339" i="47"/>
  <c r="V338" i="47"/>
  <c r="V337" i="47"/>
  <c r="V336" i="47"/>
  <c r="V335" i="47"/>
  <c r="V334" i="47"/>
  <c r="V333" i="47"/>
  <c r="V332" i="47"/>
  <c r="V331" i="47"/>
  <c r="V330" i="47"/>
  <c r="V329" i="47"/>
  <c r="V328" i="47"/>
  <c r="V327" i="47"/>
  <c r="V326" i="47"/>
  <c r="V325" i="47"/>
  <c r="V324" i="47"/>
  <c r="V323" i="47"/>
  <c r="V322" i="47"/>
  <c r="V321" i="47"/>
  <c r="V320" i="47"/>
  <c r="V319" i="47"/>
  <c r="V318" i="47"/>
  <c r="V317" i="47"/>
  <c r="V316" i="47"/>
  <c r="V315" i="47"/>
  <c r="V314" i="47"/>
  <c r="V313" i="47"/>
  <c r="V312" i="47"/>
  <c r="V311" i="47"/>
  <c r="V310" i="47"/>
  <c r="V309" i="47"/>
  <c r="V308" i="47"/>
  <c r="V307" i="47"/>
  <c r="V306" i="47"/>
  <c r="V305" i="47"/>
  <c r="V304" i="47"/>
  <c r="V303" i="47"/>
  <c r="V302" i="47"/>
  <c r="V301" i="47"/>
  <c r="V300" i="47"/>
  <c r="V299" i="47"/>
  <c r="V298" i="47"/>
  <c r="V297" i="47"/>
  <c r="V296" i="47"/>
  <c r="V295" i="47"/>
  <c r="V294" i="47"/>
  <c r="V293" i="47"/>
  <c r="V292" i="47"/>
  <c r="V291" i="47"/>
  <c r="V290" i="47"/>
  <c r="V289" i="47"/>
  <c r="V288" i="47"/>
  <c r="V287" i="47"/>
  <c r="V286" i="47"/>
  <c r="V285" i="47"/>
  <c r="V284" i="47"/>
  <c r="V283" i="47"/>
  <c r="V282" i="47"/>
  <c r="V281" i="47"/>
  <c r="V280" i="47"/>
  <c r="V279" i="47"/>
  <c r="V278" i="47"/>
  <c r="V277" i="47"/>
  <c r="V276" i="47"/>
  <c r="V275" i="47"/>
  <c r="V274" i="47"/>
  <c r="V273" i="47"/>
  <c r="V272" i="47"/>
  <c r="V271" i="47"/>
  <c r="V270" i="47"/>
  <c r="V269" i="47"/>
  <c r="V268" i="47"/>
  <c r="V267" i="47"/>
  <c r="V266" i="47"/>
  <c r="V265" i="47"/>
  <c r="V264" i="47"/>
  <c r="V263" i="47"/>
  <c r="V262" i="47"/>
  <c r="V261" i="47"/>
  <c r="V260" i="47"/>
  <c r="V259" i="47"/>
  <c r="V258" i="47"/>
  <c r="V257" i="47"/>
  <c r="V256" i="47"/>
  <c r="V255" i="47"/>
  <c r="V254" i="47"/>
  <c r="V253" i="47"/>
  <c r="V252" i="47"/>
  <c r="V251" i="47"/>
  <c r="V250" i="47"/>
  <c r="V249" i="47"/>
  <c r="V248" i="47"/>
  <c r="V247" i="47"/>
  <c r="V246" i="47"/>
  <c r="V245" i="47"/>
  <c r="V244" i="47"/>
  <c r="V243" i="47"/>
  <c r="V242" i="47"/>
  <c r="V241" i="47"/>
  <c r="V240" i="47"/>
  <c r="V239" i="47"/>
  <c r="V238" i="47"/>
  <c r="V237" i="47"/>
  <c r="V236" i="47"/>
  <c r="V235" i="47"/>
  <c r="V234" i="47"/>
  <c r="V233" i="47"/>
  <c r="V232" i="47"/>
  <c r="V231" i="47"/>
  <c r="V230" i="47"/>
  <c r="V229" i="47"/>
  <c r="V228" i="47"/>
  <c r="V227" i="47"/>
  <c r="V226" i="47"/>
  <c r="V225" i="47"/>
  <c r="V224" i="47"/>
  <c r="V223" i="47"/>
  <c r="V222" i="47"/>
  <c r="V221" i="47"/>
  <c r="V220" i="47"/>
  <c r="V219" i="47"/>
  <c r="V218" i="47"/>
  <c r="V217" i="47"/>
  <c r="V216" i="47"/>
  <c r="V215" i="47"/>
  <c r="V214" i="47"/>
  <c r="V213" i="47"/>
  <c r="V212" i="47"/>
  <c r="V211" i="47"/>
  <c r="V210" i="47"/>
  <c r="V209" i="47"/>
  <c r="V208" i="47"/>
  <c r="V207" i="47"/>
  <c r="V206" i="47"/>
  <c r="V205" i="47"/>
  <c r="V204" i="47"/>
  <c r="V203" i="47"/>
  <c r="V202" i="47"/>
  <c r="V201" i="47"/>
  <c r="V200" i="47"/>
  <c r="V199" i="47"/>
  <c r="V198" i="47"/>
  <c r="V197" i="47"/>
  <c r="V196" i="47"/>
  <c r="V195" i="47"/>
  <c r="V194" i="47"/>
  <c r="V193" i="47"/>
  <c r="V192" i="47"/>
  <c r="V191" i="47"/>
  <c r="V190" i="47"/>
  <c r="V189" i="47"/>
  <c r="V188" i="47"/>
  <c r="V187" i="47"/>
  <c r="V186" i="47"/>
  <c r="V185" i="47"/>
  <c r="V184" i="47"/>
  <c r="V183" i="47"/>
  <c r="V182" i="47"/>
  <c r="V181" i="47"/>
  <c r="V180" i="47"/>
  <c r="V179" i="47"/>
  <c r="V178" i="47"/>
  <c r="V177" i="47"/>
  <c r="V176" i="47"/>
  <c r="V175" i="47"/>
  <c r="V174" i="47"/>
  <c r="V173" i="47"/>
  <c r="V172" i="47"/>
  <c r="V171" i="47"/>
  <c r="V170" i="47"/>
  <c r="V169" i="47"/>
  <c r="V168" i="47"/>
  <c r="V167" i="47"/>
  <c r="V166" i="47"/>
  <c r="V165" i="47"/>
  <c r="V164" i="47"/>
  <c r="V163" i="47"/>
  <c r="V162" i="47"/>
  <c r="V161" i="47"/>
  <c r="V160" i="47"/>
  <c r="V159" i="47"/>
  <c r="V158" i="47"/>
  <c r="V157" i="47"/>
  <c r="V156" i="47"/>
  <c r="V155" i="47"/>
  <c r="V154" i="47"/>
  <c r="V153" i="47"/>
  <c r="V152" i="47"/>
  <c r="V151" i="47"/>
  <c r="V150" i="47"/>
  <c r="V149" i="47"/>
  <c r="V148" i="47"/>
  <c r="V147" i="47"/>
  <c r="V146" i="47"/>
  <c r="V145" i="47"/>
  <c r="V144" i="47"/>
  <c r="V143" i="47"/>
  <c r="V142" i="47"/>
  <c r="V141" i="47"/>
  <c r="V140" i="47"/>
  <c r="V139" i="47"/>
  <c r="V138" i="47"/>
  <c r="V137" i="47"/>
  <c r="V136" i="47"/>
  <c r="V135" i="47"/>
  <c r="V134" i="47"/>
  <c r="V133" i="47"/>
  <c r="V132" i="47"/>
  <c r="V131" i="47"/>
  <c r="V130" i="47"/>
  <c r="V129" i="47"/>
  <c r="V128" i="47"/>
  <c r="V127" i="47"/>
  <c r="V126" i="47"/>
  <c r="V125" i="47"/>
  <c r="V124" i="47"/>
  <c r="V123" i="47"/>
  <c r="V122" i="47"/>
  <c r="V121" i="47"/>
  <c r="V120" i="47"/>
  <c r="V119" i="47"/>
  <c r="V118" i="47"/>
  <c r="V117" i="47"/>
  <c r="V116" i="47"/>
  <c r="V115" i="47"/>
  <c r="V114" i="47"/>
  <c r="V113" i="47"/>
  <c r="V112" i="47"/>
  <c r="V111" i="47"/>
  <c r="V110" i="47"/>
  <c r="V109" i="47"/>
  <c r="V108" i="47"/>
  <c r="V107" i="47"/>
  <c r="V106" i="47"/>
  <c r="V105" i="47"/>
  <c r="V104" i="47"/>
  <c r="V103" i="47"/>
  <c r="AQ102" i="47"/>
  <c r="AR102" i="47" s="1"/>
  <c r="AN102" i="47"/>
  <c r="AO102" i="47" s="1"/>
  <c r="AM102" i="47"/>
  <c r="AK102" i="47"/>
  <c r="V102" i="47"/>
  <c r="AQ101" i="47"/>
  <c r="AR101" i="47" s="1"/>
  <c r="AN101" i="47"/>
  <c r="AO101" i="47" s="1"/>
  <c r="AM101" i="47"/>
  <c r="V101" i="47"/>
  <c r="AQ100" i="47"/>
  <c r="AR100" i="47" s="1"/>
  <c r="AN100" i="47"/>
  <c r="AO100" i="47" s="1"/>
  <c r="AM100" i="47"/>
  <c r="V100" i="47"/>
  <c r="AQ99" i="47"/>
  <c r="AR99" i="47" s="1"/>
  <c r="AN99" i="47"/>
  <c r="AO99" i="47" s="1"/>
  <c r="AM99" i="47"/>
  <c r="AK99" i="47"/>
  <c r="V99" i="47"/>
  <c r="AQ98" i="47"/>
  <c r="AR98" i="47" s="1"/>
  <c r="AN98" i="47"/>
  <c r="AO98" i="47" s="1"/>
  <c r="AM98" i="47"/>
  <c r="AK98" i="47"/>
  <c r="V98" i="47"/>
  <c r="AQ97" i="47"/>
  <c r="AR97" i="47" s="1"/>
  <c r="AN97" i="47"/>
  <c r="AO97" i="47" s="1"/>
  <c r="AP97" i="47" s="1"/>
  <c r="AS97" i="47" s="1"/>
  <c r="AT97" i="47" s="1"/>
  <c r="AU97" i="47" s="1"/>
  <c r="AV97" i="47" s="1"/>
  <c r="AM97" i="47"/>
  <c r="AK97" i="47"/>
  <c r="V97" i="47"/>
  <c r="AQ96" i="47"/>
  <c r="AR96" i="47" s="1"/>
  <c r="AN96" i="47"/>
  <c r="AO96" i="47" s="1"/>
  <c r="AM96" i="47"/>
  <c r="AK96" i="47"/>
  <c r="V96" i="47"/>
  <c r="AQ95" i="47"/>
  <c r="AR95" i="47" s="1"/>
  <c r="AN95" i="47"/>
  <c r="AO95" i="47" s="1"/>
  <c r="AM95" i="47"/>
  <c r="AK95" i="47"/>
  <c r="V95" i="47"/>
  <c r="AQ94" i="47"/>
  <c r="AR94" i="47" s="1"/>
  <c r="AN94" i="47"/>
  <c r="AO94" i="47" s="1"/>
  <c r="AM94" i="47"/>
  <c r="V94" i="47"/>
  <c r="AQ93" i="47"/>
  <c r="AR93" i="47" s="1"/>
  <c r="AN93" i="47"/>
  <c r="AO93" i="47" s="1"/>
  <c r="AM93" i="47"/>
  <c r="V93" i="47"/>
  <c r="AQ92" i="47"/>
  <c r="AR92" i="47" s="1"/>
  <c r="AN92" i="47"/>
  <c r="AO92" i="47" s="1"/>
  <c r="AM92" i="47"/>
  <c r="AK92" i="47"/>
  <c r="V92" i="47"/>
  <c r="AQ91" i="47"/>
  <c r="AR91" i="47" s="1"/>
  <c r="AN91" i="47"/>
  <c r="AO91" i="47" s="1"/>
  <c r="AM91" i="47"/>
  <c r="AK91" i="47"/>
  <c r="V91" i="47"/>
  <c r="AQ90" i="47"/>
  <c r="AR90" i="47" s="1"/>
  <c r="AN90" i="47"/>
  <c r="AO90" i="47" s="1"/>
  <c r="AM90" i="47"/>
  <c r="AK90" i="47"/>
  <c r="V90" i="47"/>
  <c r="AQ89" i="47"/>
  <c r="AR89" i="47" s="1"/>
  <c r="AN89" i="47"/>
  <c r="AO89" i="47" s="1"/>
  <c r="AM89" i="47"/>
  <c r="V89" i="47"/>
  <c r="AQ88" i="47"/>
  <c r="AR88" i="47" s="1"/>
  <c r="AN88" i="47"/>
  <c r="AO88" i="47" s="1"/>
  <c r="AM88" i="47"/>
  <c r="AK88" i="47"/>
  <c r="V88" i="47"/>
  <c r="AQ87" i="47"/>
  <c r="AR87" i="47" s="1"/>
  <c r="AN87" i="47"/>
  <c r="AO87" i="47" s="1"/>
  <c r="AM87" i="47"/>
  <c r="V87" i="47"/>
  <c r="AQ86" i="47"/>
  <c r="AR86" i="47" s="1"/>
  <c r="AN86" i="47"/>
  <c r="AO86" i="47" s="1"/>
  <c r="AM86" i="47"/>
  <c r="V86" i="47"/>
  <c r="AQ85" i="47"/>
  <c r="AR85" i="47" s="1"/>
  <c r="AN85" i="47"/>
  <c r="AO85" i="47" s="1"/>
  <c r="AM85" i="47"/>
  <c r="V85" i="47"/>
  <c r="AQ84" i="47"/>
  <c r="AR84" i="47" s="1"/>
  <c r="AN84" i="47"/>
  <c r="AO84" i="47" s="1"/>
  <c r="AM84" i="47"/>
  <c r="V84" i="47"/>
  <c r="AQ83" i="47"/>
  <c r="AR83" i="47" s="1"/>
  <c r="AN83" i="47"/>
  <c r="AO83" i="47" s="1"/>
  <c r="AM83" i="47"/>
  <c r="V83" i="47"/>
  <c r="AQ82" i="47"/>
  <c r="AR82" i="47" s="1"/>
  <c r="AN82" i="47"/>
  <c r="AO82" i="47" s="1"/>
  <c r="AM82" i="47"/>
  <c r="V82" i="47"/>
  <c r="AQ81" i="47"/>
  <c r="AR81" i="47" s="1"/>
  <c r="AN81" i="47"/>
  <c r="AO81" i="47" s="1"/>
  <c r="AM81" i="47"/>
  <c r="V81" i="47"/>
  <c r="AQ80" i="47"/>
  <c r="AR80" i="47" s="1"/>
  <c r="AN80" i="47"/>
  <c r="AO80" i="47" s="1"/>
  <c r="AM80" i="47"/>
  <c r="V80" i="47"/>
  <c r="AQ79" i="47"/>
  <c r="AR79" i="47" s="1"/>
  <c r="AN79" i="47"/>
  <c r="AO79" i="47" s="1"/>
  <c r="AM79" i="47"/>
  <c r="V79" i="47"/>
  <c r="AQ78" i="47"/>
  <c r="AR78" i="47" s="1"/>
  <c r="AN78" i="47"/>
  <c r="AO78" i="47" s="1"/>
  <c r="AM78" i="47"/>
  <c r="AK78" i="47"/>
  <c r="V78" i="47"/>
  <c r="AQ77" i="47"/>
  <c r="AR77" i="47" s="1"/>
  <c r="AN77" i="47"/>
  <c r="AO77" i="47" s="1"/>
  <c r="AM77" i="47"/>
  <c r="V77" i="47"/>
  <c r="AQ76" i="47"/>
  <c r="AR76" i="47" s="1"/>
  <c r="AN76" i="47"/>
  <c r="AO76" i="47" s="1"/>
  <c r="AM76" i="47"/>
  <c r="V76" i="47"/>
  <c r="AQ75" i="47"/>
  <c r="AR75" i="47" s="1"/>
  <c r="AN75" i="47"/>
  <c r="AO75" i="47" s="1"/>
  <c r="AM75" i="47"/>
  <c r="V75" i="47"/>
  <c r="AQ74" i="47"/>
  <c r="AR74" i="47" s="1"/>
  <c r="AN74" i="47"/>
  <c r="AO74" i="47" s="1"/>
  <c r="AM74" i="47"/>
  <c r="V74" i="47"/>
  <c r="AQ73" i="47"/>
  <c r="AR73" i="47" s="1"/>
  <c r="AN73" i="47"/>
  <c r="AO73" i="47" s="1"/>
  <c r="AM73" i="47"/>
  <c r="V73" i="47"/>
  <c r="AQ72" i="47"/>
  <c r="AR72" i="47" s="1"/>
  <c r="AN72" i="47"/>
  <c r="AO72" i="47" s="1"/>
  <c r="AM72" i="47"/>
  <c r="AK72" i="47"/>
  <c r="V72" i="47"/>
  <c r="AQ71" i="47"/>
  <c r="AR71" i="47" s="1"/>
  <c r="AN71" i="47"/>
  <c r="AO71" i="47" s="1"/>
  <c r="AM71" i="47"/>
  <c r="V71" i="47"/>
  <c r="AQ70" i="47"/>
  <c r="AR70" i="47" s="1"/>
  <c r="AN70" i="47"/>
  <c r="AO70" i="47" s="1"/>
  <c r="AM70" i="47"/>
  <c r="V70" i="47"/>
  <c r="AQ69" i="47"/>
  <c r="AR69" i="47" s="1"/>
  <c r="AN69" i="47"/>
  <c r="AO69" i="47" s="1"/>
  <c r="AM69" i="47"/>
  <c r="V69" i="47"/>
  <c r="AQ68" i="47"/>
  <c r="AR68" i="47" s="1"/>
  <c r="AN68" i="47"/>
  <c r="AO68" i="47" s="1"/>
  <c r="AM68" i="47"/>
  <c r="V68" i="47"/>
  <c r="AQ67" i="47"/>
  <c r="AR67" i="47" s="1"/>
  <c r="AN67" i="47"/>
  <c r="AO67" i="47" s="1"/>
  <c r="AM67" i="47"/>
  <c r="V67" i="47"/>
  <c r="AQ66" i="47"/>
  <c r="AR66" i="47" s="1"/>
  <c r="AN66" i="47"/>
  <c r="AO66" i="47" s="1"/>
  <c r="AM66" i="47"/>
  <c r="V66" i="47"/>
  <c r="AQ65" i="47"/>
  <c r="AR65" i="47" s="1"/>
  <c r="AN65" i="47"/>
  <c r="AO65" i="47" s="1"/>
  <c r="AM65" i="47"/>
  <c r="V65" i="47"/>
  <c r="AQ64" i="47"/>
  <c r="AR64" i="47" s="1"/>
  <c r="AN64" i="47"/>
  <c r="AO64" i="47" s="1"/>
  <c r="AM64" i="47"/>
  <c r="V64" i="47"/>
  <c r="AQ63" i="47"/>
  <c r="AR63" i="47" s="1"/>
  <c r="AN63" i="47"/>
  <c r="AO63" i="47" s="1"/>
  <c r="AM63" i="47"/>
  <c r="V63" i="47"/>
  <c r="AQ62" i="47"/>
  <c r="AR62" i="47" s="1"/>
  <c r="AN62" i="47"/>
  <c r="AO62" i="47" s="1"/>
  <c r="AP62" i="47" s="1"/>
  <c r="AS62" i="47" s="1"/>
  <c r="AT62" i="47" s="1"/>
  <c r="AU62" i="47" s="1"/>
  <c r="AV62" i="47" s="1"/>
  <c r="AM62" i="47"/>
  <c r="V62" i="47"/>
  <c r="AQ61" i="47"/>
  <c r="AR61" i="47" s="1"/>
  <c r="AN61" i="47"/>
  <c r="AO61" i="47" s="1"/>
  <c r="AM61" i="47"/>
  <c r="V61" i="47"/>
  <c r="AQ60" i="47"/>
  <c r="AR60" i="47" s="1"/>
  <c r="AN60" i="47"/>
  <c r="AO60" i="47" s="1"/>
  <c r="AP60" i="47" s="1"/>
  <c r="AS60" i="47" s="1"/>
  <c r="AT60" i="47" s="1"/>
  <c r="AU60" i="47" s="1"/>
  <c r="AV60" i="47" s="1"/>
  <c r="AM60" i="47"/>
  <c r="V60" i="47"/>
  <c r="AQ59" i="47"/>
  <c r="AR59" i="47" s="1"/>
  <c r="AN59" i="47"/>
  <c r="AO59" i="47" s="1"/>
  <c r="AM59" i="47"/>
  <c r="V59" i="47"/>
  <c r="AQ58" i="47"/>
  <c r="AR58" i="47" s="1"/>
  <c r="AN58" i="47"/>
  <c r="AO58" i="47" s="1"/>
  <c r="AM58" i="47"/>
  <c r="V58" i="47"/>
  <c r="AQ57" i="47"/>
  <c r="AR57" i="47" s="1"/>
  <c r="AN57" i="47"/>
  <c r="AO57" i="47" s="1"/>
  <c r="AM57" i="47"/>
  <c r="V57" i="47"/>
  <c r="AQ56" i="47"/>
  <c r="AR56" i="47" s="1"/>
  <c r="AN56" i="47"/>
  <c r="AO56" i="47" s="1"/>
  <c r="AM56" i="47"/>
  <c r="V56" i="47"/>
  <c r="AQ55" i="47"/>
  <c r="AR55" i="47" s="1"/>
  <c r="AN55" i="47"/>
  <c r="AO55" i="47" s="1"/>
  <c r="AM55" i="47"/>
  <c r="V55" i="47"/>
  <c r="AQ54" i="47"/>
  <c r="AR54" i="47" s="1"/>
  <c r="AN54" i="47"/>
  <c r="AO54" i="47" s="1"/>
  <c r="AM54" i="47"/>
  <c r="V54" i="47"/>
  <c r="AQ53" i="47"/>
  <c r="AR53" i="47" s="1"/>
  <c r="AN53" i="47"/>
  <c r="AO53" i="47" s="1"/>
  <c r="AM53" i="47"/>
  <c r="V53" i="47"/>
  <c r="AQ52" i="47"/>
  <c r="AR52" i="47" s="1"/>
  <c r="AN52" i="47"/>
  <c r="AO52" i="47" s="1"/>
  <c r="AM52" i="47"/>
  <c r="V52" i="47"/>
  <c r="AQ51" i="47"/>
  <c r="AR51" i="47" s="1"/>
  <c r="AN51" i="47"/>
  <c r="AO51" i="47" s="1"/>
  <c r="AM51" i="47"/>
  <c r="V51" i="47"/>
  <c r="AQ50" i="47"/>
  <c r="AR50" i="47" s="1"/>
  <c r="AN50" i="47"/>
  <c r="AO50" i="47" s="1"/>
  <c r="AM50" i="47"/>
  <c r="V50" i="47"/>
  <c r="AQ49" i="47"/>
  <c r="AR49" i="47" s="1"/>
  <c r="AN49" i="47"/>
  <c r="AO49" i="47" s="1"/>
  <c r="AM49" i="47"/>
  <c r="AK49" i="47"/>
  <c r="V49" i="47"/>
  <c r="AQ48" i="47"/>
  <c r="AR48" i="47" s="1"/>
  <c r="AN48" i="47"/>
  <c r="AO48" i="47" s="1"/>
  <c r="AM48" i="47"/>
  <c r="AK48" i="47"/>
  <c r="V48" i="47"/>
  <c r="AQ47" i="47"/>
  <c r="AR47" i="47" s="1"/>
  <c r="AN47" i="47"/>
  <c r="AO47" i="47" s="1"/>
  <c r="AM47" i="47"/>
  <c r="AK47" i="47"/>
  <c r="V47" i="47"/>
  <c r="AQ46" i="47"/>
  <c r="AR46" i="47" s="1"/>
  <c r="AN46" i="47"/>
  <c r="AO46" i="47" s="1"/>
  <c r="AP46" i="47" s="1"/>
  <c r="AS46" i="47" s="1"/>
  <c r="AT46" i="47" s="1"/>
  <c r="AU46" i="47" s="1"/>
  <c r="AV46" i="47" s="1"/>
  <c r="AM46" i="47"/>
  <c r="V46" i="47"/>
  <c r="AQ45" i="47"/>
  <c r="AR45" i="47" s="1"/>
  <c r="AN45" i="47"/>
  <c r="AO45" i="47" s="1"/>
  <c r="AM45" i="47"/>
  <c r="AK45" i="47"/>
  <c r="V45" i="47"/>
  <c r="AQ44" i="47"/>
  <c r="AR44" i="47" s="1"/>
  <c r="AN44" i="47"/>
  <c r="AO44" i="47" s="1"/>
  <c r="AM44" i="47"/>
  <c r="V44" i="47"/>
  <c r="AQ43" i="47"/>
  <c r="AR43" i="47" s="1"/>
  <c r="AN43" i="47"/>
  <c r="AO43" i="47" s="1"/>
  <c r="AM43" i="47"/>
  <c r="AK43" i="47"/>
  <c r="V43" i="47"/>
  <c r="AQ42" i="47"/>
  <c r="AR42" i="47" s="1"/>
  <c r="AN42" i="47"/>
  <c r="AO42" i="47" s="1"/>
  <c r="AM42" i="47"/>
  <c r="AK42" i="47"/>
  <c r="V42" i="47"/>
  <c r="AQ41" i="47"/>
  <c r="AR41" i="47" s="1"/>
  <c r="AN41" i="47"/>
  <c r="AO41" i="47" s="1"/>
  <c r="AM41" i="47"/>
  <c r="V41" i="47"/>
  <c r="AQ40" i="47"/>
  <c r="AR40" i="47" s="1"/>
  <c r="AN40" i="47"/>
  <c r="AO40" i="47" s="1"/>
  <c r="AM40" i="47"/>
  <c r="V40" i="47"/>
  <c r="AQ39" i="47"/>
  <c r="AR39" i="47" s="1"/>
  <c r="AN39" i="47"/>
  <c r="AO39" i="47" s="1"/>
  <c r="AM39" i="47"/>
  <c r="V39" i="47"/>
  <c r="AQ38" i="47"/>
  <c r="AR38" i="47" s="1"/>
  <c r="AN38" i="47"/>
  <c r="AO38" i="47" s="1"/>
  <c r="AM38" i="47"/>
  <c r="V38" i="47"/>
  <c r="AQ37" i="47"/>
  <c r="AR37" i="47" s="1"/>
  <c r="AN37" i="47"/>
  <c r="AO37" i="47" s="1"/>
  <c r="AM37" i="47"/>
  <c r="V37" i="47"/>
  <c r="AQ36" i="47"/>
  <c r="AR36" i="47" s="1"/>
  <c r="AN36" i="47"/>
  <c r="AO36" i="47" s="1"/>
  <c r="AM36" i="47"/>
  <c r="V36" i="47"/>
  <c r="AQ35" i="47"/>
  <c r="AR35" i="47" s="1"/>
  <c r="AN35" i="47"/>
  <c r="AO35" i="47" s="1"/>
  <c r="AM35" i="47"/>
  <c r="V35" i="47"/>
  <c r="AQ34" i="47"/>
  <c r="AR34" i="47" s="1"/>
  <c r="AN34" i="47"/>
  <c r="AO34" i="47" s="1"/>
  <c r="AM34" i="47"/>
  <c r="V34" i="47"/>
  <c r="AQ33" i="47"/>
  <c r="AR33" i="47" s="1"/>
  <c r="AN33" i="47"/>
  <c r="AO33" i="47" s="1"/>
  <c r="AM33" i="47"/>
  <c r="V33" i="47"/>
  <c r="AQ32" i="47"/>
  <c r="AR32" i="47" s="1"/>
  <c r="AN32" i="47"/>
  <c r="AO32" i="47" s="1"/>
  <c r="AM32" i="47"/>
  <c r="V32" i="47"/>
  <c r="AQ31" i="47"/>
  <c r="AR31" i="47" s="1"/>
  <c r="AN31" i="47"/>
  <c r="AO31" i="47" s="1"/>
  <c r="AM31" i="47"/>
  <c r="V31" i="47"/>
  <c r="AQ30" i="47"/>
  <c r="AR30" i="47" s="1"/>
  <c r="AN30" i="47"/>
  <c r="AO30" i="47" s="1"/>
  <c r="AM30" i="47"/>
  <c r="V30" i="47"/>
  <c r="AQ29" i="47"/>
  <c r="AR29" i="47" s="1"/>
  <c r="AN29" i="47"/>
  <c r="AO29" i="47" s="1"/>
  <c r="AM29" i="47"/>
  <c r="V29" i="47"/>
  <c r="AQ28" i="47"/>
  <c r="AR28" i="47" s="1"/>
  <c r="AN28" i="47"/>
  <c r="AO28" i="47" s="1"/>
  <c r="AM28" i="47"/>
  <c r="V28" i="47"/>
  <c r="AQ27" i="47"/>
  <c r="AR27" i="47" s="1"/>
  <c r="AN27" i="47"/>
  <c r="AO27" i="47" s="1"/>
  <c r="AM27" i="47"/>
  <c r="V27" i="47"/>
  <c r="AQ26" i="47"/>
  <c r="AR26" i="47" s="1"/>
  <c r="AN26" i="47"/>
  <c r="AO26" i="47" s="1"/>
  <c r="AM26" i="47"/>
  <c r="V26" i="47"/>
  <c r="AQ25" i="47"/>
  <c r="AR25" i="47" s="1"/>
  <c r="AN25" i="47"/>
  <c r="AO25" i="47" s="1"/>
  <c r="AM25" i="47"/>
  <c r="V25" i="47"/>
  <c r="AQ24" i="47"/>
  <c r="AR24" i="47" s="1"/>
  <c r="AN24" i="47"/>
  <c r="AO24" i="47" s="1"/>
  <c r="AM24" i="47"/>
  <c r="V24" i="47"/>
  <c r="AQ23" i="47"/>
  <c r="AR23" i="47" s="1"/>
  <c r="AN23" i="47"/>
  <c r="AO23" i="47" s="1"/>
  <c r="AM23" i="47"/>
  <c r="V23" i="47"/>
  <c r="AQ22" i="47"/>
  <c r="AR22" i="47" s="1"/>
  <c r="AN22" i="47"/>
  <c r="AO22" i="47" s="1"/>
  <c r="AM22" i="47"/>
  <c r="V22" i="47"/>
  <c r="AQ21" i="47"/>
  <c r="AR21" i="47" s="1"/>
  <c r="AN21" i="47"/>
  <c r="AO21" i="47" s="1"/>
  <c r="AM21" i="47"/>
  <c r="V21" i="47"/>
  <c r="AQ20" i="47"/>
  <c r="AR20" i="47" s="1"/>
  <c r="AN20" i="47"/>
  <c r="AO20" i="47" s="1"/>
  <c r="AM20" i="47"/>
  <c r="V20" i="47"/>
  <c r="AQ19" i="47"/>
  <c r="AR19" i="47" s="1"/>
  <c r="AN19" i="47"/>
  <c r="AO19" i="47" s="1"/>
  <c r="AM19" i="47"/>
  <c r="V19" i="47"/>
  <c r="AQ18" i="47"/>
  <c r="AR18" i="47" s="1"/>
  <c r="AN18" i="47"/>
  <c r="AO18" i="47" s="1"/>
  <c r="AM18" i="47"/>
  <c r="V18" i="47"/>
  <c r="AQ17" i="47"/>
  <c r="AR17" i="47" s="1"/>
  <c r="AN17" i="47"/>
  <c r="AO17" i="47" s="1"/>
  <c r="AM17" i="47"/>
  <c r="V17" i="47"/>
  <c r="AQ16" i="47"/>
  <c r="AR16" i="47" s="1"/>
  <c r="AN16" i="47"/>
  <c r="AO16" i="47" s="1"/>
  <c r="AM16" i="47"/>
  <c r="V16" i="47"/>
  <c r="AQ15" i="47"/>
  <c r="AR15" i="47" s="1"/>
  <c r="AN15" i="47"/>
  <c r="AO15" i="47" s="1"/>
  <c r="AM15" i="47"/>
  <c r="V15" i="47"/>
  <c r="AQ14" i="47"/>
  <c r="AR14" i="47" s="1"/>
  <c r="AN14" i="47"/>
  <c r="AO14" i="47" s="1"/>
  <c r="AM14" i="47"/>
  <c r="V14" i="47"/>
  <c r="AK8" i="47"/>
  <c r="I5" i="47"/>
  <c r="M3" i="47"/>
  <c r="M4" i="47" s="1"/>
  <c r="V2" i="47"/>
  <c r="E38" i="46"/>
  <c r="E36" i="46"/>
  <c r="E31" i="46"/>
  <c r="AB3" i="47"/>
  <c r="B3" i="47"/>
  <c r="X4" i="47"/>
  <c r="Y3" i="47"/>
  <c r="U4" i="47"/>
  <c r="S3" i="47"/>
  <c r="AP16" i="47" l="1"/>
  <c r="AS16" i="47" s="1"/>
  <c r="AT16" i="47" s="1"/>
  <c r="AU16" i="47" s="1"/>
  <c r="AV16" i="47" s="1"/>
  <c r="AP20" i="47"/>
  <c r="AS20" i="47" s="1"/>
  <c r="AT20" i="47" s="1"/>
  <c r="AU20" i="47" s="1"/>
  <c r="AV20" i="47" s="1"/>
  <c r="AP24" i="47"/>
  <c r="AS24" i="47" s="1"/>
  <c r="AT24" i="47" s="1"/>
  <c r="AU24" i="47" s="1"/>
  <c r="AV24" i="47" s="1"/>
  <c r="AP80" i="47"/>
  <c r="AS80" i="47" s="1"/>
  <c r="AT80" i="47" s="1"/>
  <c r="AU80" i="47" s="1"/>
  <c r="AV80" i="47" s="1"/>
  <c r="AP98" i="47"/>
  <c r="AS98" i="47" s="1"/>
  <c r="AT98" i="47" s="1"/>
  <c r="AU98" i="47" s="1"/>
  <c r="AV98" i="47" s="1"/>
  <c r="AP42" i="47"/>
  <c r="AP28" i="47"/>
  <c r="AS28" i="47" s="1"/>
  <c r="AT28" i="47" s="1"/>
  <c r="AU28" i="47" s="1"/>
  <c r="AV28" i="47" s="1"/>
  <c r="AP72" i="47"/>
  <c r="AS72" i="47" s="1"/>
  <c r="AT72" i="47" s="1"/>
  <c r="AU72" i="47" s="1"/>
  <c r="AV72" i="47" s="1"/>
  <c r="AP36" i="47"/>
  <c r="AS36" i="47" s="1"/>
  <c r="AT36" i="47" s="1"/>
  <c r="AU36" i="47" s="1"/>
  <c r="AV36" i="47" s="1"/>
  <c r="AP21" i="47"/>
  <c r="AS21" i="47" s="1"/>
  <c r="AT21" i="47" s="1"/>
  <c r="AU21" i="47" s="1"/>
  <c r="AV21" i="47" s="1"/>
  <c r="AP63" i="47"/>
  <c r="AS63" i="47" s="1"/>
  <c r="AT63" i="47" s="1"/>
  <c r="AU63" i="47" s="1"/>
  <c r="AV63" i="47" s="1"/>
  <c r="AP65" i="47"/>
  <c r="AS65" i="47" s="1"/>
  <c r="AT65" i="47" s="1"/>
  <c r="AU65" i="47" s="1"/>
  <c r="AV65" i="47" s="1"/>
  <c r="AP67" i="47"/>
  <c r="AS67" i="47" s="1"/>
  <c r="AT67" i="47" s="1"/>
  <c r="AU67" i="47" s="1"/>
  <c r="AV67" i="47" s="1"/>
  <c r="AP69" i="47"/>
  <c r="AS69" i="47" s="1"/>
  <c r="AT69" i="47" s="1"/>
  <c r="AU69" i="47" s="1"/>
  <c r="AV69" i="47" s="1"/>
  <c r="AP81" i="47"/>
  <c r="AS81" i="47" s="1"/>
  <c r="AT81" i="47" s="1"/>
  <c r="AU81" i="47" s="1"/>
  <c r="AV81" i="47" s="1"/>
  <c r="AP40" i="47"/>
  <c r="AS40" i="47" s="1"/>
  <c r="AT40" i="47" s="1"/>
  <c r="AU40" i="47" s="1"/>
  <c r="AV40" i="47" s="1"/>
  <c r="AP23" i="47"/>
  <c r="AS23" i="47" s="1"/>
  <c r="AT23" i="47" s="1"/>
  <c r="AU23" i="47" s="1"/>
  <c r="AV23" i="47" s="1"/>
  <c r="AP93" i="47"/>
  <c r="AS93" i="47" s="1"/>
  <c r="AT93" i="47" s="1"/>
  <c r="AU93" i="47" s="1"/>
  <c r="AV93" i="47" s="1"/>
  <c r="AP55" i="47"/>
  <c r="AS55" i="47" s="1"/>
  <c r="AT55" i="47" s="1"/>
  <c r="AU55" i="47" s="1"/>
  <c r="AV55" i="47" s="1"/>
  <c r="AP33" i="47"/>
  <c r="AS33" i="47" s="1"/>
  <c r="AT33" i="47" s="1"/>
  <c r="AU33" i="47" s="1"/>
  <c r="AV33" i="47" s="1"/>
  <c r="AP35" i="47"/>
  <c r="AS35" i="47" s="1"/>
  <c r="AT35" i="47" s="1"/>
  <c r="AU35" i="47" s="1"/>
  <c r="AV35" i="47" s="1"/>
  <c r="AP73" i="47"/>
  <c r="AS73" i="47" s="1"/>
  <c r="AT73" i="47" s="1"/>
  <c r="AU73" i="47" s="1"/>
  <c r="AV73" i="47" s="1"/>
  <c r="AP54" i="47"/>
  <c r="AS54" i="47" s="1"/>
  <c r="AT54" i="47" s="1"/>
  <c r="AU54" i="47" s="1"/>
  <c r="AV54" i="47" s="1"/>
  <c r="AP92" i="47"/>
  <c r="AS92" i="47" s="1"/>
  <c r="AT92" i="47" s="1"/>
  <c r="AU92" i="47" s="1"/>
  <c r="AV92" i="47" s="1"/>
  <c r="AP89" i="47"/>
  <c r="AS89" i="47" s="1"/>
  <c r="AT89" i="47" s="1"/>
  <c r="AU89" i="47" s="1"/>
  <c r="AV89" i="47" s="1"/>
  <c r="P73" i="49"/>
  <c r="W55" i="26"/>
  <c r="N20" i="26"/>
  <c r="N57" i="26" s="1"/>
  <c r="O20" i="26"/>
  <c r="O57" i="26" s="1"/>
  <c r="P20" i="26"/>
  <c r="P57" i="26" s="1"/>
  <c r="M10" i="26"/>
  <c r="M20" i="26" s="1"/>
  <c r="M57" i="26" s="1"/>
  <c r="K20" i="26"/>
  <c r="K57" i="26" s="1"/>
  <c r="Q20" i="26"/>
  <c r="Q57" i="26" s="1"/>
  <c r="L55" i="26"/>
  <c r="L35" i="26"/>
  <c r="U47" i="26"/>
  <c r="U55" i="26" s="1"/>
  <c r="Y33" i="26"/>
  <c r="AH33" i="26" s="1"/>
  <c r="Q68" i="49"/>
  <c r="Z33" i="26" s="1"/>
  <c r="AI33" i="26" s="1"/>
  <c r="Q66" i="49"/>
  <c r="Z10" i="26" s="1"/>
  <c r="D41" i="46"/>
  <c r="AP44" i="47"/>
  <c r="AS44" i="47" s="1"/>
  <c r="AT44" i="47" s="1"/>
  <c r="AU44" i="47" s="1"/>
  <c r="AV44" i="47" s="1"/>
  <c r="AP74" i="47"/>
  <c r="AS74" i="47" s="1"/>
  <c r="AT74" i="47" s="1"/>
  <c r="AU74" i="47" s="1"/>
  <c r="AV74" i="47" s="1"/>
  <c r="AP91" i="47"/>
  <c r="AS91" i="47" s="1"/>
  <c r="AT91" i="47" s="1"/>
  <c r="AU91" i="47" s="1"/>
  <c r="AV91" i="47" s="1"/>
  <c r="AP102" i="47"/>
  <c r="AS102" i="47" s="1"/>
  <c r="AT102" i="47" s="1"/>
  <c r="AU102" i="47" s="1"/>
  <c r="AV102" i="47" s="1"/>
  <c r="AP17" i="47"/>
  <c r="AS17" i="47" s="1"/>
  <c r="AT17" i="47" s="1"/>
  <c r="AU17" i="47" s="1"/>
  <c r="AV17" i="47" s="1"/>
  <c r="AP32" i="47"/>
  <c r="AS32" i="47" s="1"/>
  <c r="AT32" i="47" s="1"/>
  <c r="AU32" i="47" s="1"/>
  <c r="AV32" i="47" s="1"/>
  <c r="AP78" i="47"/>
  <c r="AS78" i="47" s="1"/>
  <c r="AT78" i="47" s="1"/>
  <c r="AU78" i="47" s="1"/>
  <c r="AV78" i="47" s="1"/>
  <c r="AP96" i="47"/>
  <c r="AS96" i="47" s="1"/>
  <c r="AT96" i="47" s="1"/>
  <c r="AU96" i="47" s="1"/>
  <c r="AV96" i="47" s="1"/>
  <c r="AP75" i="47"/>
  <c r="AS75" i="47" s="1"/>
  <c r="AT75" i="47" s="1"/>
  <c r="AU75" i="47" s="1"/>
  <c r="AV75" i="47" s="1"/>
  <c r="AP29" i="47"/>
  <c r="AS29" i="47" s="1"/>
  <c r="AT29" i="47" s="1"/>
  <c r="AU29" i="47" s="1"/>
  <c r="AV29" i="47" s="1"/>
  <c r="AP31" i="47"/>
  <c r="AS31" i="47" s="1"/>
  <c r="AT31" i="47" s="1"/>
  <c r="AU31" i="47" s="1"/>
  <c r="AV31" i="47" s="1"/>
  <c r="AP68" i="47"/>
  <c r="AS68" i="47" s="1"/>
  <c r="AT68" i="47" s="1"/>
  <c r="AU68" i="47" s="1"/>
  <c r="AV68" i="47" s="1"/>
  <c r="AP70" i="47"/>
  <c r="AS70" i="47" s="1"/>
  <c r="AT70" i="47" s="1"/>
  <c r="AU70" i="47" s="1"/>
  <c r="AV70" i="47" s="1"/>
  <c r="AP82" i="47"/>
  <c r="AS82" i="47" s="1"/>
  <c r="AT82" i="47" s="1"/>
  <c r="AU82" i="47" s="1"/>
  <c r="AV82" i="47" s="1"/>
  <c r="AP84" i="47"/>
  <c r="AS84" i="47" s="1"/>
  <c r="AT84" i="47" s="1"/>
  <c r="AU84" i="47" s="1"/>
  <c r="AV84" i="47" s="1"/>
  <c r="AS42" i="47"/>
  <c r="AT42" i="47" s="1"/>
  <c r="AU42" i="47" s="1"/>
  <c r="AV42" i="47" s="1"/>
  <c r="AP41" i="47"/>
  <c r="AS41" i="47" s="1"/>
  <c r="AT41" i="47" s="1"/>
  <c r="AU41" i="47" s="1"/>
  <c r="AV41" i="47" s="1"/>
  <c r="AP79" i="47"/>
  <c r="AS79" i="47" s="1"/>
  <c r="AT79" i="47" s="1"/>
  <c r="AU79" i="47" s="1"/>
  <c r="AV79" i="47" s="1"/>
  <c r="AP18" i="47"/>
  <c r="AS18" i="47" s="1"/>
  <c r="AT18" i="47" s="1"/>
  <c r="AU18" i="47" s="1"/>
  <c r="AV18" i="47" s="1"/>
  <c r="AP64" i="47"/>
  <c r="AS64" i="47" s="1"/>
  <c r="AT64" i="47" s="1"/>
  <c r="AU64" i="47" s="1"/>
  <c r="AV64" i="47" s="1"/>
  <c r="AP37" i="47"/>
  <c r="AS37" i="47" s="1"/>
  <c r="AT37" i="47" s="1"/>
  <c r="AU37" i="47" s="1"/>
  <c r="AV37" i="47" s="1"/>
  <c r="AP56" i="47"/>
  <c r="AS56" i="47" s="1"/>
  <c r="AT56" i="47" s="1"/>
  <c r="AU56" i="47" s="1"/>
  <c r="AV56" i="47" s="1"/>
  <c r="AP15" i="47"/>
  <c r="AS15" i="47" s="1"/>
  <c r="AT15" i="47" s="1"/>
  <c r="AU15" i="47" s="1"/>
  <c r="AV15" i="47" s="1"/>
  <c r="AP27" i="47"/>
  <c r="AS27" i="47" s="1"/>
  <c r="AT27" i="47" s="1"/>
  <c r="AU27" i="47" s="1"/>
  <c r="AV27" i="47" s="1"/>
  <c r="AP87" i="47"/>
  <c r="AS87" i="47" s="1"/>
  <c r="AT87" i="47" s="1"/>
  <c r="AU87" i="47" s="1"/>
  <c r="AV87" i="47" s="1"/>
  <c r="AP52" i="47"/>
  <c r="AS52" i="47" s="1"/>
  <c r="AT52" i="47" s="1"/>
  <c r="AU52" i="47" s="1"/>
  <c r="AV52" i="47" s="1"/>
  <c r="AP90" i="47"/>
  <c r="AS90" i="47" s="1"/>
  <c r="AT90" i="47" s="1"/>
  <c r="AU90" i="47" s="1"/>
  <c r="AV90" i="47" s="1"/>
  <c r="AP66" i="47"/>
  <c r="AS66" i="47" s="1"/>
  <c r="AT66" i="47" s="1"/>
  <c r="AU66" i="47" s="1"/>
  <c r="AV66" i="47" s="1"/>
  <c r="AP25" i="47"/>
  <c r="AS25" i="47" s="1"/>
  <c r="AT25" i="47" s="1"/>
  <c r="AU25" i="47" s="1"/>
  <c r="AV25" i="47" s="1"/>
  <c r="AP39" i="47"/>
  <c r="AS39" i="47" s="1"/>
  <c r="AT39" i="47" s="1"/>
  <c r="AU39" i="47" s="1"/>
  <c r="AV39" i="47" s="1"/>
  <c r="AP47" i="47"/>
  <c r="AS47" i="47" s="1"/>
  <c r="AT47" i="47" s="1"/>
  <c r="AU47" i="47" s="1"/>
  <c r="AV47" i="47" s="1"/>
  <c r="AP95" i="47"/>
  <c r="AS95" i="47" s="1"/>
  <c r="AT95" i="47" s="1"/>
  <c r="AU95" i="47" s="1"/>
  <c r="AV95" i="47" s="1"/>
  <c r="AP34" i="47"/>
  <c r="AS34" i="47" s="1"/>
  <c r="AT34" i="47" s="1"/>
  <c r="AU34" i="47" s="1"/>
  <c r="AV34" i="47" s="1"/>
  <c r="AP71" i="47"/>
  <c r="AS71" i="47" s="1"/>
  <c r="AT71" i="47" s="1"/>
  <c r="AU71" i="47" s="1"/>
  <c r="AV71" i="47" s="1"/>
  <c r="AP85" i="47"/>
  <c r="AS85" i="47" s="1"/>
  <c r="AT85" i="47" s="1"/>
  <c r="AU85" i="47" s="1"/>
  <c r="AV85" i="47" s="1"/>
  <c r="AP99" i="47"/>
  <c r="AS99" i="47" s="1"/>
  <c r="AT99" i="47" s="1"/>
  <c r="AU99" i="47" s="1"/>
  <c r="AV99" i="47" s="1"/>
  <c r="AP19" i="47"/>
  <c r="AS19" i="47" s="1"/>
  <c r="AT19" i="47" s="1"/>
  <c r="AU19" i="47" s="1"/>
  <c r="AV19" i="47" s="1"/>
  <c r="AP26" i="47"/>
  <c r="AS26" i="47" s="1"/>
  <c r="AT26" i="47" s="1"/>
  <c r="AU26" i="47" s="1"/>
  <c r="AV26" i="47" s="1"/>
  <c r="AP45" i="47"/>
  <c r="AS45" i="47" s="1"/>
  <c r="AT45" i="47" s="1"/>
  <c r="AU45" i="47" s="1"/>
  <c r="AV45" i="47" s="1"/>
  <c r="AP57" i="47"/>
  <c r="AS57" i="47" s="1"/>
  <c r="AT57" i="47" s="1"/>
  <c r="AU57" i="47" s="1"/>
  <c r="AV57" i="47" s="1"/>
  <c r="AP59" i="47"/>
  <c r="AS59" i="47" s="1"/>
  <c r="AT59" i="47" s="1"/>
  <c r="AU59" i="47" s="1"/>
  <c r="AV59" i="47" s="1"/>
  <c r="AP43" i="47"/>
  <c r="AS43" i="47" s="1"/>
  <c r="AT43" i="47" s="1"/>
  <c r="AU43" i="47" s="1"/>
  <c r="AV43" i="47" s="1"/>
  <c r="AP77" i="47"/>
  <c r="AS77" i="47" s="1"/>
  <c r="AT77" i="47" s="1"/>
  <c r="AU77" i="47" s="1"/>
  <c r="AV77" i="47" s="1"/>
  <c r="AP83" i="47"/>
  <c r="AS83" i="47" s="1"/>
  <c r="AT83" i="47" s="1"/>
  <c r="AU83" i="47" s="1"/>
  <c r="AV83" i="47" s="1"/>
  <c r="AP58" i="47"/>
  <c r="AS58" i="47" s="1"/>
  <c r="AT58" i="47" s="1"/>
  <c r="AU58" i="47" s="1"/>
  <c r="AV58" i="47" s="1"/>
  <c r="AP101" i="47"/>
  <c r="AS101" i="47" s="1"/>
  <c r="AT101" i="47" s="1"/>
  <c r="AU101" i="47" s="1"/>
  <c r="AV101" i="47" s="1"/>
  <c r="AP49" i="47"/>
  <c r="AS49" i="47" s="1"/>
  <c r="AT49" i="47" s="1"/>
  <c r="AU49" i="47" s="1"/>
  <c r="AV49" i="47" s="1"/>
  <c r="AP51" i="47"/>
  <c r="AS51" i="47" s="1"/>
  <c r="AT51" i="47" s="1"/>
  <c r="AU51" i="47" s="1"/>
  <c r="AV51" i="47" s="1"/>
  <c r="AP86" i="47"/>
  <c r="AS86" i="47" s="1"/>
  <c r="AT86" i="47" s="1"/>
  <c r="AU86" i="47" s="1"/>
  <c r="AV86" i="47" s="1"/>
  <c r="AP100" i="47"/>
  <c r="AS100" i="47" s="1"/>
  <c r="AT100" i="47" s="1"/>
  <c r="AU100" i="47" s="1"/>
  <c r="AV100" i="47" s="1"/>
  <c r="AP48" i="47"/>
  <c r="AS48" i="47" s="1"/>
  <c r="AT48" i="47" s="1"/>
  <c r="AU48" i="47" s="1"/>
  <c r="AV48" i="47" s="1"/>
  <c r="AP76" i="47"/>
  <c r="AS76" i="47" s="1"/>
  <c r="AT76" i="47" s="1"/>
  <c r="AU76" i="47" s="1"/>
  <c r="AV76" i="47" s="1"/>
  <c r="AP94" i="47"/>
  <c r="AS94" i="47" s="1"/>
  <c r="AT94" i="47" s="1"/>
  <c r="AU94" i="47" s="1"/>
  <c r="AV94" i="47" s="1"/>
  <c r="E40" i="46"/>
  <c r="E41" i="46" s="1"/>
  <c r="AP53" i="47"/>
  <c r="AS53" i="47" s="1"/>
  <c r="AT53" i="47" s="1"/>
  <c r="AU53" i="47" s="1"/>
  <c r="AV53" i="47" s="1"/>
  <c r="AP14" i="47"/>
  <c r="AS14" i="47" s="1"/>
  <c r="AT14" i="47" s="1"/>
  <c r="AU14" i="47" s="1"/>
  <c r="AV14" i="47" s="1"/>
  <c r="AP22" i="47"/>
  <c r="AS22" i="47" s="1"/>
  <c r="AT22" i="47" s="1"/>
  <c r="AU22" i="47" s="1"/>
  <c r="AV22" i="47" s="1"/>
  <c r="AP30" i="47"/>
  <c r="AS30" i="47" s="1"/>
  <c r="AT30" i="47" s="1"/>
  <c r="AU30" i="47" s="1"/>
  <c r="AV30" i="47" s="1"/>
  <c r="AP38" i="47"/>
  <c r="AS38" i="47" s="1"/>
  <c r="AT38" i="47" s="1"/>
  <c r="AU38" i="47" s="1"/>
  <c r="AV38" i="47" s="1"/>
  <c r="AP50" i="47"/>
  <c r="AS50" i="47" s="1"/>
  <c r="AT50" i="47" s="1"/>
  <c r="AU50" i="47" s="1"/>
  <c r="AV50" i="47" s="1"/>
  <c r="AP61" i="47"/>
  <c r="AS61" i="47" s="1"/>
  <c r="AT61" i="47" s="1"/>
  <c r="AU61" i="47" s="1"/>
  <c r="AV61" i="47" s="1"/>
  <c r="AP88" i="47"/>
  <c r="AS88" i="47" s="1"/>
  <c r="AT88" i="47" s="1"/>
  <c r="AU88" i="47" s="1"/>
  <c r="AV88" i="47" s="1"/>
  <c r="Q73" i="49" l="1"/>
  <c r="Y55" i="26"/>
  <c r="Z55" i="26"/>
  <c r="AH53" i="26"/>
  <c r="AG53" i="26"/>
  <c r="AF53" i="26"/>
  <c r="AC53" i="26"/>
  <c r="AI8" i="26"/>
  <c r="T20" i="26"/>
  <c r="U10" i="26"/>
  <c r="Z8" i="26"/>
  <c r="L12" i="26"/>
  <c r="Q8" i="26"/>
  <c r="N162" i="42"/>
  <c r="M162" i="42"/>
  <c r="D47" i="26"/>
  <c r="AE47" i="26" s="1"/>
  <c r="B47" i="26"/>
  <c r="AC47" i="26" s="1"/>
  <c r="D45" i="26"/>
  <c r="AE45" i="26" s="1"/>
  <c r="B45" i="26"/>
  <c r="AC45" i="26" s="1"/>
  <c r="P15" i="42"/>
  <c r="O15" i="42"/>
  <c r="N15" i="42"/>
  <c r="M15" i="42"/>
  <c r="P25" i="42"/>
  <c r="O25" i="42"/>
  <c r="N25" i="42"/>
  <c r="M25" i="42"/>
  <c r="C47" i="26" l="1"/>
  <c r="AD47" i="26"/>
  <c r="U12" i="26"/>
  <c r="V35" i="26"/>
  <c r="X35" i="26"/>
  <c r="W20" i="26"/>
  <c r="Y20" i="26"/>
  <c r="Y35" i="26"/>
  <c r="U20" i="26"/>
  <c r="AD45" i="26"/>
  <c r="X20" i="26"/>
  <c r="Z35" i="26"/>
  <c r="W35" i="26"/>
  <c r="Z20" i="26"/>
  <c r="AI53" i="26"/>
  <c r="Q58" i="26"/>
  <c r="AE53" i="26"/>
  <c r="AD53" i="26" s="1"/>
  <c r="V20" i="26"/>
  <c r="T35" i="26"/>
  <c r="T55" i="26"/>
  <c r="N58" i="26"/>
  <c r="P58" i="26"/>
  <c r="O58" i="26"/>
  <c r="L10" i="26"/>
  <c r="L20" i="26" s="1"/>
  <c r="L57" i="26" s="1"/>
  <c r="N160" i="42"/>
  <c r="O160" i="42"/>
  <c r="P160" i="42"/>
  <c r="N154" i="42"/>
  <c r="O154" i="42"/>
  <c r="P154" i="42"/>
  <c r="N50" i="42"/>
  <c r="O50" i="42"/>
  <c r="P50" i="42"/>
  <c r="W57" i="26" l="1"/>
  <c r="W58" i="26" s="1"/>
  <c r="Y57" i="26"/>
  <c r="Y58" i="26" s="1"/>
  <c r="Z57" i="26"/>
  <c r="Z58" i="26" s="1"/>
  <c r="V57" i="26"/>
  <c r="X57" i="26"/>
  <c r="T57" i="26"/>
  <c r="T58" i="26" s="1"/>
  <c r="U35" i="26"/>
  <c r="U57" i="26" s="1"/>
  <c r="K58" i="26"/>
  <c r="L409" i="39" l="1"/>
  <c r="M409" i="39" s="1"/>
  <c r="N409" i="39" s="1"/>
  <c r="I409" i="39"/>
  <c r="J409" i="39" s="1"/>
  <c r="L408" i="39"/>
  <c r="M408" i="39" s="1"/>
  <c r="N408" i="39" s="1"/>
  <c r="L406" i="39" l="1"/>
  <c r="M406" i="39" s="1"/>
  <c r="N406" i="39" s="1"/>
  <c r="I406" i="39"/>
  <c r="J406" i="39"/>
  <c r="L405" i="39"/>
  <c r="M405" i="39" s="1"/>
  <c r="N405" i="39" s="1"/>
  <c r="I405" i="39"/>
  <c r="J405" i="39" s="1"/>
  <c r="L407" i="39"/>
  <c r="M407" i="39" s="1"/>
  <c r="N407" i="39" s="1"/>
  <c r="I407" i="39"/>
  <c r="J407" i="39" s="1"/>
  <c r="M160" i="17" l="1"/>
  <c r="N160" i="17" s="1"/>
  <c r="O160" i="17" s="1"/>
  <c r="J160" i="17"/>
  <c r="K160" i="17" s="1"/>
  <c r="L180" i="39"/>
  <c r="M180" i="39" s="1"/>
  <c r="N180" i="39" s="1"/>
  <c r="L181" i="39"/>
  <c r="M181" i="39" s="1"/>
  <c r="N181" i="39" s="1"/>
  <c r="L182" i="39"/>
  <c r="L183" i="39"/>
  <c r="M183" i="39" s="1"/>
  <c r="N183" i="39" s="1"/>
  <c r="L184" i="39"/>
  <c r="M184" i="39" s="1"/>
  <c r="N184" i="39" s="1"/>
  <c r="L185" i="39"/>
  <c r="M185" i="39" s="1"/>
  <c r="N185" i="39" s="1"/>
  <c r="L186" i="39"/>
  <c r="M186" i="39" s="1"/>
  <c r="N186" i="39" s="1"/>
  <c r="L187" i="39"/>
  <c r="M187" i="39" s="1"/>
  <c r="N187" i="39" s="1"/>
  <c r="L188" i="39"/>
  <c r="M188" i="39" s="1"/>
  <c r="N188" i="39" s="1"/>
  <c r="L189" i="39"/>
  <c r="M189" i="39" s="1"/>
  <c r="N189" i="39" s="1"/>
  <c r="I180" i="39"/>
  <c r="J180" i="39" s="1"/>
  <c r="I181" i="39"/>
  <c r="J181" i="39" s="1"/>
  <c r="I182" i="39"/>
  <c r="J182" i="39" s="1"/>
  <c r="I183" i="39"/>
  <c r="J183" i="39" s="1"/>
  <c r="I184" i="39"/>
  <c r="J184" i="39" s="1"/>
  <c r="I185" i="39"/>
  <c r="J185" i="39" s="1"/>
  <c r="I186" i="39"/>
  <c r="J186" i="39" s="1"/>
  <c r="I187" i="39"/>
  <c r="J187" i="39"/>
  <c r="I188" i="39"/>
  <c r="J188" i="39" s="1"/>
  <c r="I189" i="39"/>
  <c r="J189" i="39" s="1"/>
  <c r="M159" i="17"/>
  <c r="N159" i="17" s="1"/>
  <c r="O159" i="17" s="1"/>
  <c r="J159" i="17"/>
  <c r="K159" i="17" s="1"/>
  <c r="I408" i="39"/>
  <c r="J408" i="39" s="1"/>
  <c r="L509" i="39"/>
  <c r="M509" i="39" s="1"/>
  <c r="N509" i="39" s="1"/>
  <c r="I509" i="39"/>
  <c r="J509" i="39" s="1"/>
  <c r="L451" i="39"/>
  <c r="M451" i="39" s="1"/>
  <c r="N451" i="39" s="1"/>
  <c r="I451" i="39"/>
  <c r="J451" i="39" s="1"/>
  <c r="L329" i="39"/>
  <c r="M329" i="39" s="1"/>
  <c r="N329" i="39" s="1"/>
  <c r="L330" i="39"/>
  <c r="M330" i="39" s="1"/>
  <c r="N330" i="39" s="1"/>
  <c r="L331" i="39"/>
  <c r="I329" i="39"/>
  <c r="J329" i="39" s="1"/>
  <c r="I330" i="39"/>
  <c r="J330" i="39" s="1"/>
  <c r="I331" i="39"/>
  <c r="J331" i="39" s="1"/>
  <c r="M73" i="17"/>
  <c r="N73" i="17" s="1"/>
  <c r="O73" i="17" s="1"/>
  <c r="M74" i="17"/>
  <c r="N74" i="17" s="1"/>
  <c r="O74" i="17" s="1"/>
  <c r="M75" i="17"/>
  <c r="N75" i="17" s="1"/>
  <c r="O75" i="17" s="1"/>
  <c r="M76" i="17"/>
  <c r="N76" i="17" s="1"/>
  <c r="O76" i="17" s="1"/>
  <c r="M77" i="17"/>
  <c r="N77" i="17" s="1"/>
  <c r="O77" i="17" s="1"/>
  <c r="M78" i="17"/>
  <c r="N78" i="17" s="1"/>
  <c r="O78" i="17" s="1"/>
  <c r="M79" i="17"/>
  <c r="N79" i="17" s="1"/>
  <c r="O79" i="17" s="1"/>
  <c r="J73" i="17"/>
  <c r="K73" i="17" s="1"/>
  <c r="J74" i="17"/>
  <c r="K74" i="17" s="1"/>
  <c r="J75" i="17"/>
  <c r="K75" i="17" s="1"/>
  <c r="J76" i="17"/>
  <c r="K76" i="17" s="1"/>
  <c r="J77" i="17"/>
  <c r="K77" i="17" s="1"/>
  <c r="J78" i="17"/>
  <c r="K78" i="17" s="1"/>
  <c r="J79" i="17"/>
  <c r="K79" i="17" s="1"/>
  <c r="M127" i="17"/>
  <c r="N127" i="17" s="1"/>
  <c r="O127" i="17" s="1"/>
  <c r="J127" i="17"/>
  <c r="K127" i="17" s="1"/>
  <c r="M126" i="17"/>
  <c r="N126" i="17" s="1"/>
  <c r="O126" i="17" s="1"/>
  <c r="J126" i="17"/>
  <c r="K126" i="17" s="1"/>
  <c r="M182" i="39" l="1"/>
  <c r="N182" i="39" s="1"/>
  <c r="M331" i="39"/>
  <c r="N331" i="39" s="1"/>
  <c r="M128" i="17"/>
  <c r="N128" i="17" s="1"/>
  <c r="O128" i="17" s="1"/>
  <c r="J128" i="17"/>
  <c r="K128" i="17"/>
  <c r="K123" i="42"/>
  <c r="L123" i="42" s="1"/>
  <c r="K124" i="42"/>
  <c r="L124" i="42" s="1"/>
  <c r="N122" i="42"/>
  <c r="O122" i="42"/>
  <c r="P122" i="42"/>
  <c r="N123" i="42"/>
  <c r="O123" i="42" s="1"/>
  <c r="P123" i="42" s="1"/>
  <c r="N124" i="42"/>
  <c r="O124" i="42" s="1"/>
  <c r="P124" i="42" s="1"/>
  <c r="K122" i="42"/>
  <c r="L122" i="42"/>
  <c r="N152" i="42" l="1"/>
  <c r="O152" i="42"/>
  <c r="P152" i="42" s="1"/>
  <c r="K152" i="42"/>
  <c r="L152" i="42" s="1"/>
  <c r="L328" i="39"/>
  <c r="M328" i="39" s="1"/>
  <c r="N328" i="39" s="1"/>
  <c r="I328" i="39"/>
  <c r="J328" i="39"/>
  <c r="L508" i="39"/>
  <c r="M508" i="39" s="1"/>
  <c r="N508" i="39" s="1"/>
  <c r="I508" i="39"/>
  <c r="J508" i="39" s="1"/>
  <c r="L507" i="39"/>
  <c r="M507" i="39" s="1"/>
  <c r="N507" i="39" s="1"/>
  <c r="I507" i="39"/>
  <c r="J507" i="39" s="1"/>
  <c r="L450" i="39"/>
  <c r="M450" i="39" s="1"/>
  <c r="N450" i="39" s="1"/>
  <c r="I450" i="39"/>
  <c r="J450" i="39" s="1"/>
  <c r="L327" i="39"/>
  <c r="M327" i="39" s="1"/>
  <c r="N327" i="39" s="1"/>
  <c r="I327" i="39"/>
  <c r="J327" i="39" s="1"/>
  <c r="L326" i="39"/>
  <c r="M326" i="39" s="1"/>
  <c r="N326" i="39" s="1"/>
  <c r="I326" i="39"/>
  <c r="J326" i="39" s="1"/>
  <c r="L325" i="39"/>
  <c r="M325" i="39" s="1"/>
  <c r="N325" i="39" s="1"/>
  <c r="I325" i="39"/>
  <c r="J325" i="39" s="1"/>
  <c r="L324" i="39"/>
  <c r="M324" i="39" s="1"/>
  <c r="N324" i="39" s="1"/>
  <c r="I324" i="39"/>
  <c r="J324" i="39" s="1"/>
  <c r="L449" i="39"/>
  <c r="M449" i="39" s="1"/>
  <c r="N449" i="39" s="1"/>
  <c r="I449" i="39"/>
  <c r="J449" i="39" s="1"/>
  <c r="L506" i="39"/>
  <c r="M506" i="39" s="1"/>
  <c r="N506" i="39" s="1"/>
  <c r="I506" i="39"/>
  <c r="J506" i="39" s="1"/>
  <c r="B323" i="39"/>
  <c r="K323" i="39"/>
  <c r="L323" i="39" s="1"/>
  <c r="M323" i="39" s="1"/>
  <c r="N323" i="39" s="1"/>
  <c r="I323" i="39"/>
  <c r="J323" i="39" s="1"/>
  <c r="L448" i="39"/>
  <c r="M448" i="39" s="1"/>
  <c r="N448" i="39" s="1"/>
  <c r="I448" i="39"/>
  <c r="J448" i="39" s="1"/>
  <c r="L505" i="39"/>
  <c r="M505" i="39" s="1"/>
  <c r="N505" i="39" s="1"/>
  <c r="I505" i="39"/>
  <c r="J505" i="39" s="1"/>
  <c r="L322" i="39" l="1"/>
  <c r="M322" i="39" s="1"/>
  <c r="N322" i="39" s="1"/>
  <c r="I322" i="39"/>
  <c r="J322" i="39" s="1"/>
  <c r="L387" i="39"/>
  <c r="M387" i="39" s="1"/>
  <c r="N387" i="39" s="1"/>
  <c r="I387" i="39"/>
  <c r="J387" i="39" s="1"/>
  <c r="L524" i="39"/>
  <c r="M524" i="39" s="1"/>
  <c r="N524" i="39" s="1"/>
  <c r="I524" i="39"/>
  <c r="J524" i="39" s="1"/>
  <c r="L404" i="39"/>
  <c r="M404" i="39" s="1"/>
  <c r="N404" i="39" s="1"/>
  <c r="I404" i="39"/>
  <c r="J404" i="39" s="1"/>
  <c r="L359" i="39"/>
  <c r="M359" i="39" s="1"/>
  <c r="N359" i="39" s="1"/>
  <c r="I359" i="39"/>
  <c r="J359" i="39" s="1"/>
  <c r="L179" i="39"/>
  <c r="M179" i="39" s="1"/>
  <c r="N179" i="39" s="1"/>
  <c r="I179" i="39"/>
  <c r="J179" i="39" s="1"/>
  <c r="L178" i="39"/>
  <c r="M178" i="39" s="1"/>
  <c r="N178" i="39" s="1"/>
  <c r="I178" i="39"/>
  <c r="J178" i="39" s="1"/>
  <c r="L177" i="39"/>
  <c r="M177" i="39" s="1"/>
  <c r="N177" i="39" s="1"/>
  <c r="I177" i="39"/>
  <c r="J177" i="39" s="1"/>
  <c r="L176" i="39"/>
  <c r="M176" i="39" s="1"/>
  <c r="N176" i="39" s="1"/>
  <c r="I176" i="39"/>
  <c r="J176" i="39" s="1"/>
  <c r="L175" i="39"/>
  <c r="M175" i="39" s="1"/>
  <c r="N175" i="39" s="1"/>
  <c r="I175" i="39"/>
  <c r="J175" i="39" s="1"/>
  <c r="L174" i="39"/>
  <c r="M174" i="39" s="1"/>
  <c r="N174" i="39" s="1"/>
  <c r="I174" i="39"/>
  <c r="J174" i="39" s="1"/>
  <c r="L173" i="39"/>
  <c r="M173" i="39" s="1"/>
  <c r="N173" i="39" s="1"/>
  <c r="I173" i="39"/>
  <c r="J173" i="39" s="1"/>
  <c r="L118" i="39"/>
  <c r="M118" i="39" s="1"/>
  <c r="N118" i="39" s="1"/>
  <c r="I118" i="39"/>
  <c r="J118" i="39"/>
  <c r="M121" i="42"/>
  <c r="N121" i="42"/>
  <c r="O121" i="42" s="1"/>
  <c r="P121" i="42" s="1"/>
  <c r="K121" i="42"/>
  <c r="L121" i="42"/>
  <c r="M202" i="17"/>
  <c r="N202" i="17" s="1"/>
  <c r="O202" i="17" s="1"/>
  <c r="J202" i="17"/>
  <c r="K202" i="17"/>
  <c r="M125" i="17"/>
  <c r="N125" i="17" s="1"/>
  <c r="O125" i="17" s="1"/>
  <c r="J125" i="17"/>
  <c r="K125" i="17" s="1"/>
  <c r="M124" i="17"/>
  <c r="N124" i="17" s="1"/>
  <c r="O124" i="17" s="1"/>
  <c r="M72" i="17"/>
  <c r="N72" i="17" s="1"/>
  <c r="O72" i="17" s="1"/>
  <c r="J124" i="17"/>
  <c r="K124" i="17" s="1"/>
  <c r="L123" i="17"/>
  <c r="J123" i="17"/>
  <c r="K123" i="17" s="1"/>
  <c r="M123" i="17" l="1"/>
  <c r="N123" i="17" s="1"/>
  <c r="O123" i="17" s="1"/>
  <c r="K6" i="39"/>
  <c r="K7" i="39" s="1"/>
  <c r="M102" i="42"/>
  <c r="M200" i="17"/>
  <c r="N200" i="17" s="1"/>
  <c r="O200" i="17" s="1"/>
  <c r="J200" i="17"/>
  <c r="K200" i="17" s="1"/>
  <c r="L66" i="17"/>
  <c r="M66" i="17" s="1"/>
  <c r="N66" i="17" s="1"/>
  <c r="O66" i="17" s="1"/>
  <c r="L65" i="17"/>
  <c r="M65" i="17" s="1"/>
  <c r="N65" i="17" s="1"/>
  <c r="O65" i="17" s="1"/>
  <c r="J72" i="17"/>
  <c r="K72" i="17" s="1"/>
  <c r="L71" i="17"/>
  <c r="M71" i="17" s="1"/>
  <c r="N71" i="17" s="1"/>
  <c r="O71" i="17" s="1"/>
  <c r="J71" i="17"/>
  <c r="K71" i="17" s="1"/>
  <c r="L70" i="17"/>
  <c r="M70" i="17" s="1"/>
  <c r="N70" i="17" s="1"/>
  <c r="O70" i="17" s="1"/>
  <c r="J70" i="17"/>
  <c r="K70" i="17" s="1"/>
  <c r="L69" i="17"/>
  <c r="M69" i="17" s="1"/>
  <c r="N69" i="17" s="1"/>
  <c r="O69" i="17" s="1"/>
  <c r="J69" i="17"/>
  <c r="K69" i="17" s="1"/>
  <c r="L122" i="17"/>
  <c r="M122" i="17" s="1"/>
  <c r="N122" i="17" s="1"/>
  <c r="O122" i="17" s="1"/>
  <c r="J122" i="17"/>
  <c r="K122" i="17" s="1"/>
  <c r="L121" i="17" l="1"/>
  <c r="M121" i="17" s="1"/>
  <c r="N121" i="17" s="1"/>
  <c r="O121" i="17" s="1"/>
  <c r="J121" i="17"/>
  <c r="K121" i="17" s="1"/>
  <c r="L68" i="17"/>
  <c r="M68" i="17" s="1"/>
  <c r="N68" i="17" s="1"/>
  <c r="O68" i="17" s="1"/>
  <c r="J68" i="17"/>
  <c r="K68" i="17" s="1"/>
  <c r="L67" i="17"/>
  <c r="M67" i="17" s="1"/>
  <c r="N67" i="17" s="1"/>
  <c r="O67" i="17" s="1"/>
  <c r="J67" i="17"/>
  <c r="K67" i="17" s="1"/>
  <c r="J66" i="17"/>
  <c r="K66" i="17" s="1"/>
  <c r="J65" i="17"/>
  <c r="K65" i="17" s="1"/>
  <c r="M120" i="42"/>
  <c r="M7" i="42" s="1"/>
  <c r="K120" i="42"/>
  <c r="L120" i="42"/>
  <c r="L172" i="39"/>
  <c r="M172" i="39" s="1"/>
  <c r="N172" i="39" s="1"/>
  <c r="L171" i="39"/>
  <c r="M171" i="39" s="1"/>
  <c r="N171" i="39" s="1"/>
  <c r="L170" i="39"/>
  <c r="M170" i="39" s="1"/>
  <c r="N170" i="39" s="1"/>
  <c r="L169" i="39"/>
  <c r="M169" i="39" s="1"/>
  <c r="N169" i="39" s="1"/>
  <c r="L168" i="39"/>
  <c r="M168" i="39" s="1"/>
  <c r="N168" i="39" s="1"/>
  <c r="L167" i="39"/>
  <c r="M167" i="39" s="1"/>
  <c r="N167" i="39" s="1"/>
  <c r="L166" i="39"/>
  <c r="M166" i="39" s="1"/>
  <c r="N166" i="39" s="1"/>
  <c r="L165" i="39"/>
  <c r="M165" i="39" s="1"/>
  <c r="N165" i="39" s="1"/>
  <c r="L164" i="39"/>
  <c r="M164" i="39" s="1"/>
  <c r="N164" i="39" s="1"/>
  <c r="I172" i="39"/>
  <c r="J172" i="39" s="1"/>
  <c r="I171" i="39"/>
  <c r="J171" i="39" s="1"/>
  <c r="I170" i="39"/>
  <c r="J170" i="39" s="1"/>
  <c r="I169" i="39"/>
  <c r="J169" i="39" s="1"/>
  <c r="I168" i="39"/>
  <c r="J168" i="39" s="1"/>
  <c r="I167" i="39"/>
  <c r="J167" i="39" s="1"/>
  <c r="I166" i="39"/>
  <c r="J166" i="39" s="1"/>
  <c r="I165" i="39"/>
  <c r="J165" i="39" s="1"/>
  <c r="I164" i="39"/>
  <c r="J164" i="39" s="1"/>
  <c r="L163" i="39"/>
  <c r="M163" i="39" s="1"/>
  <c r="N163" i="39" s="1"/>
  <c r="I163" i="39"/>
  <c r="J163" i="39" s="1"/>
  <c r="N120" i="42" l="1"/>
  <c r="O120" i="42" s="1"/>
  <c r="P120" i="42" s="1"/>
  <c r="L403" i="39"/>
  <c r="M403" i="39"/>
  <c r="N403" i="39" s="1"/>
  <c r="L402" i="39"/>
  <c r="M402" i="39" s="1"/>
  <c r="N402" i="39" s="1"/>
  <c r="I403" i="39"/>
  <c r="J403" i="39" s="1"/>
  <c r="I402" i="39"/>
  <c r="J402" i="39" s="1"/>
  <c r="L401" i="39"/>
  <c r="M401" i="39" s="1"/>
  <c r="N401" i="39" s="1"/>
  <c r="I401" i="39"/>
  <c r="J401" i="39" s="1"/>
  <c r="L447" i="39" l="1"/>
  <c r="M447" i="39" s="1"/>
  <c r="N447" i="39" s="1"/>
  <c r="I447" i="39"/>
  <c r="J447" i="39"/>
  <c r="L504" i="39"/>
  <c r="M504" i="39" s="1"/>
  <c r="N504" i="39" s="1"/>
  <c r="I504" i="39"/>
  <c r="J504" i="39" s="1"/>
  <c r="L321" i="39"/>
  <c r="M321" i="39" s="1"/>
  <c r="N321" i="39" s="1"/>
  <c r="L320" i="39"/>
  <c r="M320" i="39" s="1"/>
  <c r="N320" i="39" s="1"/>
  <c r="L319" i="39"/>
  <c r="M319" i="39" s="1"/>
  <c r="N319" i="39" s="1"/>
  <c r="I321" i="39"/>
  <c r="J321" i="39" s="1"/>
  <c r="I320" i="39"/>
  <c r="J320" i="39" s="1"/>
  <c r="I319" i="39"/>
  <c r="J319" i="39" s="1"/>
  <c r="L318" i="39"/>
  <c r="M318" i="39" s="1"/>
  <c r="N318" i="39" s="1"/>
  <c r="I318" i="39"/>
  <c r="J318" i="39" s="1"/>
  <c r="L317" i="39"/>
  <c r="M317" i="39" s="1"/>
  <c r="N317" i="39" s="1"/>
  <c r="L316" i="39"/>
  <c r="M316" i="39" s="1"/>
  <c r="N316" i="39" s="1"/>
  <c r="I317" i="39"/>
  <c r="J317" i="39" s="1"/>
  <c r="I316" i="39"/>
  <c r="J316" i="39" s="1"/>
  <c r="L120" i="17"/>
  <c r="J120" i="17"/>
  <c r="K120" i="17" s="1"/>
  <c r="M120" i="17" l="1"/>
  <c r="N120" i="17" s="1"/>
  <c r="O120" i="17" s="1"/>
  <c r="L8" i="17"/>
  <c r="M89" i="17"/>
  <c r="M8" i="17" l="1"/>
  <c r="L503" i="39" l="1"/>
  <c r="M503" i="39" s="1"/>
  <c r="N503" i="39" s="1"/>
  <c r="I503" i="39"/>
  <c r="J503" i="39" s="1"/>
  <c r="L502" i="39"/>
  <c r="M502" i="39" s="1"/>
  <c r="N502" i="39" s="1"/>
  <c r="I502" i="39"/>
  <c r="J502" i="39" s="1"/>
  <c r="L315" i="39" l="1"/>
  <c r="M315" i="39" s="1"/>
  <c r="N315" i="39" s="1"/>
  <c r="I315" i="39"/>
  <c r="J315" i="39" s="1"/>
  <c r="L446" i="39"/>
  <c r="M446" i="39" s="1"/>
  <c r="N446" i="39" s="1"/>
  <c r="I446" i="39"/>
  <c r="J446" i="39" s="1"/>
  <c r="M199" i="17" l="1"/>
  <c r="M198" i="17"/>
  <c r="M194" i="17"/>
  <c r="M192" i="17"/>
  <c r="M333" i="17"/>
  <c r="M191" i="17"/>
  <c r="M190" i="17"/>
  <c r="M299" i="17"/>
  <c r="M189" i="17"/>
  <c r="M188" i="17"/>
  <c r="M187" i="17"/>
  <c r="M186" i="17"/>
  <c r="M185" i="17"/>
  <c r="M184" i="17"/>
  <c r="M183" i="17"/>
  <c r="M182" i="17"/>
  <c r="M334" i="17"/>
  <c r="M332" i="17"/>
  <c r="L2" i="39" l="1"/>
  <c r="J176" i="17" l="1"/>
  <c r="K176" i="17" s="1"/>
  <c r="M160" i="42" l="1"/>
  <c r="B49" i="26" s="1"/>
  <c r="AC49" i="26" s="1"/>
  <c r="M119" i="17" l="1"/>
  <c r="N119" i="17" s="1"/>
  <c r="O119" i="17" s="1"/>
  <c r="J119" i="17"/>
  <c r="K119" i="17" s="1"/>
  <c r="L445" i="39" l="1"/>
  <c r="M445" i="39" s="1"/>
  <c r="N445" i="39" s="1"/>
  <c r="I445" i="39"/>
  <c r="J445" i="39" s="1"/>
  <c r="L501" i="39"/>
  <c r="M501" i="39" s="1"/>
  <c r="N501" i="39" s="1"/>
  <c r="I501" i="39"/>
  <c r="J501" i="39" s="1"/>
  <c r="L313" i="39"/>
  <c r="M313" i="39" s="1"/>
  <c r="N313" i="39" s="1"/>
  <c r="I313" i="39"/>
  <c r="J313" i="39" s="1"/>
  <c r="L312" i="39"/>
  <c r="M312" i="39" s="1"/>
  <c r="N312" i="39" s="1"/>
  <c r="I312" i="39"/>
  <c r="J312" i="39" s="1"/>
  <c r="L314" i="39"/>
  <c r="M314" i="39" s="1"/>
  <c r="N314" i="39" s="1"/>
  <c r="I314" i="39"/>
  <c r="J314" i="39" s="1"/>
  <c r="N102" i="42"/>
  <c r="O102" i="42" s="1"/>
  <c r="P102" i="42" s="1"/>
  <c r="K102" i="42"/>
  <c r="L102" i="42" s="1"/>
  <c r="N151" i="42"/>
  <c r="O151" i="42" s="1"/>
  <c r="P151" i="42" s="1"/>
  <c r="K151" i="42"/>
  <c r="L151" i="42" s="1"/>
  <c r="M201" i="17"/>
  <c r="N201" i="17" s="1"/>
  <c r="O201" i="17" s="1"/>
  <c r="J201" i="17"/>
  <c r="K201" i="17" s="1"/>
  <c r="K100" i="42" l="1"/>
  <c r="L100" i="42" s="1"/>
  <c r="K101" i="42"/>
  <c r="L101" i="42" s="1"/>
  <c r="N100" i="42"/>
  <c r="O100" i="42" s="1"/>
  <c r="P100" i="42" s="1"/>
  <c r="N101" i="42"/>
  <c r="O101" i="42" s="1"/>
  <c r="P101" i="42" s="1"/>
  <c r="K119" i="42"/>
  <c r="L119" i="42" s="1"/>
  <c r="N119" i="42"/>
  <c r="O119" i="42" s="1"/>
  <c r="P119" i="42" s="1"/>
  <c r="J158" i="17" l="1"/>
  <c r="K158" i="17" s="1"/>
  <c r="J118" i="17"/>
  <c r="K118" i="17" s="1"/>
  <c r="J64" i="17"/>
  <c r="K64" i="17" s="1"/>
  <c r="N118" i="42" l="1"/>
  <c r="O118" i="42" s="1"/>
  <c r="P118" i="42" s="1"/>
  <c r="K118" i="42"/>
  <c r="L118" i="42" s="1"/>
  <c r="N117" i="42"/>
  <c r="O117" i="42" s="1"/>
  <c r="P117" i="42" s="1"/>
  <c r="K117" i="42"/>
  <c r="L117" i="42" s="1"/>
  <c r="M116" i="42"/>
  <c r="L113" i="39"/>
  <c r="M113" i="39" s="1"/>
  <c r="N113" i="39" s="1"/>
  <c r="I113" i="39"/>
  <c r="J113" i="39" s="1"/>
  <c r="L115" i="39"/>
  <c r="M115" i="39" s="1"/>
  <c r="N115" i="39" s="1"/>
  <c r="I115" i="39"/>
  <c r="J115" i="39" s="1"/>
  <c r="L522" i="39"/>
  <c r="M522" i="39" s="1"/>
  <c r="N522" i="39" s="1"/>
  <c r="I522" i="39"/>
  <c r="J522" i="39" s="1"/>
  <c r="L523" i="39"/>
  <c r="M523" i="39" s="1"/>
  <c r="N523" i="39" s="1"/>
  <c r="I523" i="39"/>
  <c r="J523" i="39" s="1"/>
  <c r="L386" i="39"/>
  <c r="M386" i="39" s="1"/>
  <c r="N386" i="39" s="1"/>
  <c r="I386" i="39"/>
  <c r="J386" i="39" s="1"/>
  <c r="L385" i="39"/>
  <c r="M385" i="39" s="1"/>
  <c r="N385" i="39" s="1"/>
  <c r="I385" i="39"/>
  <c r="J385" i="39" s="1"/>
  <c r="L384" i="39"/>
  <c r="M384" i="39" s="1"/>
  <c r="N384" i="39" s="1"/>
  <c r="I384" i="39"/>
  <c r="J384" i="39" s="1"/>
  <c r="L383" i="39"/>
  <c r="M383" i="39" s="1"/>
  <c r="N383" i="39" s="1"/>
  <c r="I383" i="39"/>
  <c r="J383" i="39" s="1"/>
  <c r="L382" i="39"/>
  <c r="M382" i="39" s="1"/>
  <c r="N382" i="39" s="1"/>
  <c r="I382" i="39"/>
  <c r="J382" i="39" s="1"/>
  <c r="L381" i="39"/>
  <c r="M381" i="39" s="1"/>
  <c r="N381" i="39" s="1"/>
  <c r="I381" i="39"/>
  <c r="J381" i="39" s="1"/>
  <c r="L157" i="17" l="1"/>
  <c r="L56" i="17"/>
  <c r="L55" i="17"/>
  <c r="L58" i="17"/>
  <c r="L57" i="17"/>
  <c r="L49" i="17"/>
  <c r="L48" i="17"/>
  <c r="L47" i="17"/>
  <c r="L155" i="17"/>
  <c r="M155" i="17" s="1"/>
  <c r="N155" i="17" s="1"/>
  <c r="O155" i="17" s="1"/>
  <c r="J155" i="17"/>
  <c r="K155" i="17" s="1"/>
  <c r="L59" i="17"/>
  <c r="L54" i="17"/>
  <c r="L61" i="17"/>
  <c r="M61" i="17" s="1"/>
  <c r="N61" i="17" s="1"/>
  <c r="O61" i="17" s="1"/>
  <c r="J61" i="17"/>
  <c r="K61" i="17" s="1"/>
  <c r="L60" i="17"/>
  <c r="M60" i="17" s="1"/>
  <c r="N60" i="17" s="1"/>
  <c r="O60" i="17" s="1"/>
  <c r="L63" i="17"/>
  <c r="M63" i="17" s="1"/>
  <c r="N63" i="17" s="1"/>
  <c r="O63" i="17" s="1"/>
  <c r="J63" i="17"/>
  <c r="K63" i="17" s="1"/>
  <c r="L62" i="17"/>
  <c r="M62" i="17" s="1"/>
  <c r="N62" i="17" s="1"/>
  <c r="O62" i="17" s="1"/>
  <c r="J62" i="17"/>
  <c r="K62" i="17" s="1"/>
  <c r="L52" i="17"/>
  <c r="L51" i="17"/>
  <c r="L154" i="17"/>
  <c r="L156" i="17"/>
  <c r="J60" i="17"/>
  <c r="K60" i="17" s="1"/>
  <c r="L197" i="17"/>
  <c r="M197" i="17" s="1"/>
  <c r="L444" i="39" l="1"/>
  <c r="M444" i="39" s="1"/>
  <c r="N444" i="39" s="1"/>
  <c r="I444" i="39"/>
  <c r="J444" i="39" s="1"/>
  <c r="L308" i="39"/>
  <c r="M308" i="39" s="1"/>
  <c r="N308" i="39" s="1"/>
  <c r="I308" i="39" l="1"/>
  <c r="J308" i="39" s="1"/>
  <c r="L311" i="39"/>
  <c r="M311" i="39" s="1"/>
  <c r="N311" i="39" s="1"/>
  <c r="I311" i="39"/>
  <c r="J311" i="39" s="1"/>
  <c r="L500" i="39"/>
  <c r="M500" i="39" s="1"/>
  <c r="N500" i="39" s="1"/>
  <c r="I500" i="39"/>
  <c r="J500" i="39" s="1"/>
  <c r="L159" i="39"/>
  <c r="M159" i="39" s="1"/>
  <c r="N159" i="39" s="1"/>
  <c r="I159" i="39"/>
  <c r="J159" i="39" s="1"/>
  <c r="L162" i="39"/>
  <c r="M162" i="39" s="1"/>
  <c r="N162" i="39" s="1"/>
  <c r="I162" i="39"/>
  <c r="J162" i="39" s="1"/>
  <c r="L158" i="39"/>
  <c r="M158" i="39" s="1"/>
  <c r="N158" i="39" s="1"/>
  <c r="I158" i="39"/>
  <c r="J158" i="39" s="1"/>
  <c r="L160" i="39"/>
  <c r="M160" i="39" s="1"/>
  <c r="N160" i="39" s="1"/>
  <c r="I160" i="39"/>
  <c r="J160" i="39" s="1"/>
  <c r="L161" i="39"/>
  <c r="M161" i="39" s="1"/>
  <c r="N161" i="39" s="1"/>
  <c r="I161" i="39"/>
  <c r="J161" i="39" s="1"/>
  <c r="M59" i="17"/>
  <c r="N59" i="17" s="1"/>
  <c r="O59" i="17" s="1"/>
  <c r="J59" i="17"/>
  <c r="K59" i="17" s="1"/>
  <c r="M58" i="17"/>
  <c r="N58" i="17" s="1"/>
  <c r="O58" i="17" s="1"/>
  <c r="J58" i="17"/>
  <c r="K58" i="17" s="1"/>
  <c r="M56" i="17"/>
  <c r="N56" i="17" s="1"/>
  <c r="O56" i="17" s="1"/>
  <c r="J56" i="17"/>
  <c r="K56" i="17" s="1"/>
  <c r="M157" i="17"/>
  <c r="N157" i="17" s="1"/>
  <c r="O157" i="17" s="1"/>
  <c r="J157" i="17"/>
  <c r="K157" i="17" s="1"/>
  <c r="M270" i="17"/>
  <c r="N270" i="17" s="1"/>
  <c r="O270" i="17" s="1"/>
  <c r="J270" i="17"/>
  <c r="K270" i="17" s="1"/>
  <c r="L380" i="39" l="1"/>
  <c r="M380" i="39" s="1"/>
  <c r="N380" i="39" s="1"/>
  <c r="I380" i="39"/>
  <c r="J380" i="39" s="1"/>
  <c r="L379" i="39"/>
  <c r="M379" i="39" s="1"/>
  <c r="N379" i="39" s="1"/>
  <c r="I379" i="39"/>
  <c r="J379" i="39" s="1"/>
  <c r="K400" i="39"/>
  <c r="I400" i="39"/>
  <c r="J400" i="39" s="1"/>
  <c r="M117" i="17"/>
  <c r="N117" i="17" s="1"/>
  <c r="O117" i="17" s="1"/>
  <c r="J117" i="17"/>
  <c r="K117" i="17" s="1"/>
  <c r="L400" i="39" l="1"/>
  <c r="M400" i="39" s="1"/>
  <c r="N400" i="39" s="1"/>
  <c r="N130" i="42"/>
  <c r="N131" i="42"/>
  <c r="O131" i="42" s="1"/>
  <c r="P131" i="42" s="1"/>
  <c r="N132" i="42"/>
  <c r="O132" i="42" s="1"/>
  <c r="P132" i="42" s="1"/>
  <c r="N133" i="42"/>
  <c r="O133" i="42" s="1"/>
  <c r="P133" i="42" s="1"/>
  <c r="N134" i="42"/>
  <c r="O134" i="42" s="1"/>
  <c r="P134" i="42" s="1"/>
  <c r="N135" i="42"/>
  <c r="O135" i="42" s="1"/>
  <c r="P135" i="42" s="1"/>
  <c r="N137" i="42"/>
  <c r="O137" i="42" s="1"/>
  <c r="P137" i="42" s="1"/>
  <c r="N138" i="42"/>
  <c r="O138" i="42" s="1"/>
  <c r="P138" i="42" s="1"/>
  <c r="N139" i="42"/>
  <c r="O139" i="42" s="1"/>
  <c r="P139" i="42" s="1"/>
  <c r="N140" i="42"/>
  <c r="N141" i="42"/>
  <c r="O141" i="42" s="1"/>
  <c r="P141" i="42" s="1"/>
  <c r="N142" i="42"/>
  <c r="O142" i="42" s="1"/>
  <c r="P142" i="42" s="1"/>
  <c r="N143" i="42"/>
  <c r="O143" i="42" s="1"/>
  <c r="P143" i="42" s="1"/>
  <c r="N144" i="42"/>
  <c r="O144" i="42" s="1"/>
  <c r="P144" i="42" s="1"/>
  <c r="N145" i="42"/>
  <c r="O145" i="42" s="1"/>
  <c r="P145" i="42" s="1"/>
  <c r="N146" i="42"/>
  <c r="O146" i="42" s="1"/>
  <c r="P146" i="42" s="1"/>
  <c r="N147" i="42"/>
  <c r="O147" i="42" s="1"/>
  <c r="P147" i="42" s="1"/>
  <c r="N148" i="42"/>
  <c r="O148" i="42" s="1"/>
  <c r="P148" i="42" s="1"/>
  <c r="N149" i="42"/>
  <c r="O149" i="42" s="1"/>
  <c r="N150" i="42"/>
  <c r="O150" i="42" s="1"/>
  <c r="P150" i="42" s="1"/>
  <c r="N114" i="42"/>
  <c r="O114" i="42" s="1"/>
  <c r="P114" i="42" s="1"/>
  <c r="N55" i="42"/>
  <c r="O55" i="42" s="1"/>
  <c r="P55" i="42" s="1"/>
  <c r="N58" i="42"/>
  <c r="O58" i="42" s="1"/>
  <c r="P58" i="42" s="1"/>
  <c r="N59" i="42"/>
  <c r="O59" i="42" s="1"/>
  <c r="P59" i="42" s="1"/>
  <c r="N60" i="42"/>
  <c r="O60" i="42" s="1"/>
  <c r="P60" i="42" s="1"/>
  <c r="N61" i="42"/>
  <c r="O61" i="42" s="1"/>
  <c r="P61" i="42" s="1"/>
  <c r="N64" i="42"/>
  <c r="O64" i="42" s="1"/>
  <c r="P64" i="42" s="1"/>
  <c r="N65" i="42"/>
  <c r="O65" i="42" s="1"/>
  <c r="P65" i="42" s="1"/>
  <c r="N66" i="42"/>
  <c r="O66" i="42" s="1"/>
  <c r="P66" i="42" s="1"/>
  <c r="N67" i="42"/>
  <c r="O67" i="42" s="1"/>
  <c r="P67" i="42" s="1"/>
  <c r="N68" i="42"/>
  <c r="O68" i="42" s="1"/>
  <c r="P68" i="42" s="1"/>
  <c r="N69" i="42"/>
  <c r="O69" i="42" s="1"/>
  <c r="P69" i="42" s="1"/>
  <c r="N70" i="42"/>
  <c r="O70" i="42" s="1"/>
  <c r="P70" i="42" s="1"/>
  <c r="N71" i="42"/>
  <c r="O71" i="42" s="1"/>
  <c r="P71" i="42" s="1"/>
  <c r="N72" i="42"/>
  <c r="O72" i="42" s="1"/>
  <c r="P72" i="42" s="1"/>
  <c r="N73" i="42"/>
  <c r="O73" i="42" s="1"/>
  <c r="P73" i="42" s="1"/>
  <c r="N74" i="42"/>
  <c r="O74" i="42" s="1"/>
  <c r="P74" i="42" s="1"/>
  <c r="N75" i="42"/>
  <c r="O75" i="42" s="1"/>
  <c r="P75" i="42" s="1"/>
  <c r="N76" i="42"/>
  <c r="O76" i="42" s="1"/>
  <c r="P76" i="42" s="1"/>
  <c r="N77" i="42"/>
  <c r="O77" i="42" s="1"/>
  <c r="P77" i="42" s="1"/>
  <c r="N78" i="42"/>
  <c r="O78" i="42" s="1"/>
  <c r="P78" i="42" s="1"/>
  <c r="N79" i="42"/>
  <c r="O79" i="42" s="1"/>
  <c r="P79" i="42" s="1"/>
  <c r="N80" i="42"/>
  <c r="O80" i="42" s="1"/>
  <c r="P80" i="42" s="1"/>
  <c r="N81" i="42"/>
  <c r="N86" i="42"/>
  <c r="O86" i="42" s="1"/>
  <c r="P86" i="42" s="1"/>
  <c r="N87" i="42"/>
  <c r="O87" i="42" s="1"/>
  <c r="P87" i="42" s="1"/>
  <c r="N88" i="42"/>
  <c r="O88" i="42" s="1"/>
  <c r="P88" i="42" s="1"/>
  <c r="N89" i="42"/>
  <c r="O89" i="42" s="1"/>
  <c r="P89" i="42" s="1"/>
  <c r="N91" i="42"/>
  <c r="O91" i="42" s="1"/>
  <c r="P91" i="42" s="1"/>
  <c r="N93" i="42"/>
  <c r="O93" i="42" s="1"/>
  <c r="P93" i="42" s="1"/>
  <c r="N94" i="42"/>
  <c r="O94" i="42" s="1"/>
  <c r="P94" i="42" s="1"/>
  <c r="N95" i="42"/>
  <c r="O95" i="42" s="1"/>
  <c r="P95" i="42" s="1"/>
  <c r="N98" i="42"/>
  <c r="O98" i="42" s="1"/>
  <c r="P98" i="42" s="1"/>
  <c r="N99" i="42"/>
  <c r="O99" i="42" s="1"/>
  <c r="P99" i="42" s="1"/>
  <c r="N116" i="42"/>
  <c r="O116" i="42" s="1"/>
  <c r="P116" i="42" s="1"/>
  <c r="N54" i="42"/>
  <c r="N30" i="42"/>
  <c r="N31" i="42"/>
  <c r="O31" i="42" s="1"/>
  <c r="P31" i="42" s="1"/>
  <c r="N32" i="42"/>
  <c r="O32" i="42" s="1"/>
  <c r="P32" i="42" s="1"/>
  <c r="N33" i="42"/>
  <c r="O33" i="42" s="1"/>
  <c r="P33" i="42" s="1"/>
  <c r="N34" i="42"/>
  <c r="O34" i="42" s="1"/>
  <c r="P34" i="42" s="1"/>
  <c r="N35" i="42"/>
  <c r="O35" i="42" s="1"/>
  <c r="P35" i="42" s="1"/>
  <c r="N36" i="42"/>
  <c r="O36" i="42" s="1"/>
  <c r="P36" i="42" s="1"/>
  <c r="N37" i="42"/>
  <c r="O37" i="42" s="1"/>
  <c r="N38" i="42"/>
  <c r="O38" i="42" s="1"/>
  <c r="P38" i="42" s="1"/>
  <c r="N39" i="42"/>
  <c r="O39" i="42" s="1"/>
  <c r="P39" i="42" s="1"/>
  <c r="N40" i="42"/>
  <c r="O40" i="42" s="1"/>
  <c r="P40" i="42" s="1"/>
  <c r="N41" i="42"/>
  <c r="O41" i="42" s="1"/>
  <c r="P41" i="42" s="1"/>
  <c r="N42" i="42"/>
  <c r="O42" i="42" s="1"/>
  <c r="P42" i="42" s="1"/>
  <c r="N43" i="42"/>
  <c r="O43" i="42" s="1"/>
  <c r="P43" i="42" s="1"/>
  <c r="N44" i="42"/>
  <c r="O44" i="42" s="1"/>
  <c r="P44" i="42" s="1"/>
  <c r="N45" i="42"/>
  <c r="O45" i="42" s="1"/>
  <c r="P45" i="42" s="1"/>
  <c r="N46" i="42"/>
  <c r="O46" i="42" s="1"/>
  <c r="P46" i="42" s="1"/>
  <c r="N47" i="42"/>
  <c r="O47" i="42" s="1"/>
  <c r="P47" i="42" s="1"/>
  <c r="N48" i="42"/>
  <c r="O48" i="42" s="1"/>
  <c r="P48" i="42" s="1"/>
  <c r="N29" i="42"/>
  <c r="O30" i="42" l="1"/>
  <c r="D43" i="26"/>
  <c r="AE43" i="26" s="1"/>
  <c r="O130" i="42"/>
  <c r="O54" i="42"/>
  <c r="P54" i="42" s="1"/>
  <c r="O29" i="42"/>
  <c r="P149" i="42"/>
  <c r="O140" i="42"/>
  <c r="P140" i="42" s="1"/>
  <c r="O81" i="42"/>
  <c r="P81" i="42" s="1"/>
  <c r="P37" i="42"/>
  <c r="N18" i="42"/>
  <c r="N157" i="42"/>
  <c r="N19" i="42"/>
  <c r="O19" i="42" s="1"/>
  <c r="P19" i="42" s="1"/>
  <c r="N158" i="42"/>
  <c r="O158" i="42" s="1"/>
  <c r="P158" i="42" s="1"/>
  <c r="N20" i="42"/>
  <c r="O20" i="42" s="1"/>
  <c r="P20" i="42" s="1"/>
  <c r="N21" i="42"/>
  <c r="O21" i="42" s="1"/>
  <c r="P21" i="42" s="1"/>
  <c r="N22" i="42"/>
  <c r="O22" i="42" s="1"/>
  <c r="P22" i="42" s="1"/>
  <c r="N23" i="42"/>
  <c r="O23" i="42" s="1"/>
  <c r="P23" i="42" s="1"/>
  <c r="N13" i="42"/>
  <c r="R11" i="42"/>
  <c r="L89" i="39"/>
  <c r="M89" i="39" s="1"/>
  <c r="N89" i="39" s="1"/>
  <c r="L90" i="39"/>
  <c r="M90" i="39" s="1"/>
  <c r="N90" i="39" s="1"/>
  <c r="L99" i="39"/>
  <c r="M99" i="39" s="1"/>
  <c r="N99" i="39" s="1"/>
  <c r="L102" i="39"/>
  <c r="M102" i="39" s="1"/>
  <c r="N102" i="39" s="1"/>
  <c r="L103" i="39"/>
  <c r="M103" i="39" s="1"/>
  <c r="N103" i="39" s="1"/>
  <c r="L104" i="39"/>
  <c r="M104" i="39" s="1"/>
  <c r="N104" i="39" s="1"/>
  <c r="L105" i="39"/>
  <c r="M105" i="39" s="1"/>
  <c r="N105" i="39" s="1"/>
  <c r="L109" i="39"/>
  <c r="M109" i="39" s="1"/>
  <c r="N109" i="39" s="1"/>
  <c r="L110" i="39"/>
  <c r="L111" i="39"/>
  <c r="M111" i="39" s="1"/>
  <c r="N111" i="39" s="1"/>
  <c r="L112" i="39"/>
  <c r="M112" i="39" s="1"/>
  <c r="N112" i="39" s="1"/>
  <c r="L117" i="39"/>
  <c r="M117" i="39" s="1"/>
  <c r="N117" i="39" s="1"/>
  <c r="L457" i="39"/>
  <c r="L511" i="39" s="1"/>
  <c r="L458" i="39"/>
  <c r="M458" i="39" s="1"/>
  <c r="N458" i="39" s="1"/>
  <c r="L459" i="39"/>
  <c r="M459" i="39" s="1"/>
  <c r="N459" i="39" s="1"/>
  <c r="L460" i="39"/>
  <c r="M460" i="39" s="1"/>
  <c r="N460" i="39" s="1"/>
  <c r="L461" i="39"/>
  <c r="M461" i="39" s="1"/>
  <c r="N461" i="39" s="1"/>
  <c r="L462" i="39"/>
  <c r="M462" i="39" s="1"/>
  <c r="N462" i="39" s="1"/>
  <c r="L463" i="39"/>
  <c r="M463" i="39" s="1"/>
  <c r="N463" i="39" s="1"/>
  <c r="L464" i="39"/>
  <c r="M464" i="39" s="1"/>
  <c r="N464" i="39" s="1"/>
  <c r="L465" i="39"/>
  <c r="M465" i="39" s="1"/>
  <c r="N465" i="39" s="1"/>
  <c r="L466" i="39"/>
  <c r="M466" i="39" s="1"/>
  <c r="N466" i="39" s="1"/>
  <c r="L467" i="39"/>
  <c r="M467" i="39" s="1"/>
  <c r="N467" i="39" s="1"/>
  <c r="L468" i="39"/>
  <c r="M468" i="39" s="1"/>
  <c r="N468" i="39" s="1"/>
  <c r="L469" i="39"/>
  <c r="M469" i="39" s="1"/>
  <c r="N469" i="39" s="1"/>
  <c r="L470" i="39"/>
  <c r="M470" i="39" s="1"/>
  <c r="N470" i="39" s="1"/>
  <c r="L471" i="39"/>
  <c r="M471" i="39" s="1"/>
  <c r="N471" i="39" s="1"/>
  <c r="L472" i="39"/>
  <c r="M472" i="39" s="1"/>
  <c r="N472" i="39" s="1"/>
  <c r="L473" i="39"/>
  <c r="M473" i="39" s="1"/>
  <c r="N473" i="39" s="1"/>
  <c r="L474" i="39"/>
  <c r="M474" i="39" s="1"/>
  <c r="N474" i="39" s="1"/>
  <c r="L475" i="39"/>
  <c r="M475" i="39" s="1"/>
  <c r="N475" i="39" s="1"/>
  <c r="L476" i="39"/>
  <c r="M476" i="39" s="1"/>
  <c r="N476" i="39" s="1"/>
  <c r="L477" i="39"/>
  <c r="M477" i="39" s="1"/>
  <c r="N477" i="39" s="1"/>
  <c r="L478" i="39"/>
  <c r="M478" i="39" s="1"/>
  <c r="N478" i="39" s="1"/>
  <c r="L479" i="39"/>
  <c r="M479" i="39" s="1"/>
  <c r="N479" i="39" s="1"/>
  <c r="L480" i="39"/>
  <c r="M480" i="39" s="1"/>
  <c r="N480" i="39" s="1"/>
  <c r="L481" i="39"/>
  <c r="M481" i="39" s="1"/>
  <c r="N481" i="39" s="1"/>
  <c r="L482" i="39"/>
  <c r="M482" i="39" s="1"/>
  <c r="N482" i="39" s="1"/>
  <c r="L483" i="39"/>
  <c r="M483" i="39" s="1"/>
  <c r="N483" i="39" s="1"/>
  <c r="L484" i="39"/>
  <c r="M484" i="39" s="1"/>
  <c r="N484" i="39" s="1"/>
  <c r="L485" i="39"/>
  <c r="M485" i="39" s="1"/>
  <c r="N485" i="39" s="1"/>
  <c r="L486" i="39"/>
  <c r="M486" i="39" s="1"/>
  <c r="N486" i="39" s="1"/>
  <c r="L487" i="39"/>
  <c r="M487" i="39" s="1"/>
  <c r="N487" i="39" s="1"/>
  <c r="L488" i="39"/>
  <c r="M488" i="39" s="1"/>
  <c r="N488" i="39" s="1"/>
  <c r="L489" i="39"/>
  <c r="M489" i="39" s="1"/>
  <c r="N489" i="39" s="1"/>
  <c r="L490" i="39"/>
  <c r="M490" i="39" s="1"/>
  <c r="N490" i="39" s="1"/>
  <c r="L491" i="39"/>
  <c r="M491" i="39" s="1"/>
  <c r="N491" i="39" s="1"/>
  <c r="L492" i="39"/>
  <c r="M492" i="39" s="1"/>
  <c r="N492" i="39" s="1"/>
  <c r="L493" i="39"/>
  <c r="M493" i="39" s="1"/>
  <c r="N493" i="39" s="1"/>
  <c r="L494" i="39"/>
  <c r="M494" i="39" s="1"/>
  <c r="N494" i="39" s="1"/>
  <c r="L495" i="39"/>
  <c r="M495" i="39" s="1"/>
  <c r="N495" i="39" s="1"/>
  <c r="L496" i="39"/>
  <c r="M496" i="39" s="1"/>
  <c r="N496" i="39" s="1"/>
  <c r="L497" i="39"/>
  <c r="M497" i="39" s="1"/>
  <c r="N497" i="39" s="1"/>
  <c r="L498" i="39"/>
  <c r="M498" i="39" s="1"/>
  <c r="N498" i="39" s="1"/>
  <c r="L499" i="39"/>
  <c r="M499" i="39" s="1"/>
  <c r="N499" i="39" s="1"/>
  <c r="L416" i="39"/>
  <c r="L417" i="39"/>
  <c r="M417" i="39" s="1"/>
  <c r="N417" i="39" s="1"/>
  <c r="L418" i="39"/>
  <c r="M418" i="39" s="1"/>
  <c r="N418" i="39" s="1"/>
  <c r="L419" i="39"/>
  <c r="M419" i="39" s="1"/>
  <c r="N419" i="39" s="1"/>
  <c r="L420" i="39"/>
  <c r="M420" i="39" s="1"/>
  <c r="N420" i="39" s="1"/>
  <c r="L421" i="39"/>
  <c r="M421" i="39" s="1"/>
  <c r="N421" i="39" s="1"/>
  <c r="L422" i="39"/>
  <c r="M422" i="39" s="1"/>
  <c r="N422" i="39" s="1"/>
  <c r="L423" i="39"/>
  <c r="M423" i="39" s="1"/>
  <c r="N423" i="39" s="1"/>
  <c r="L424" i="39"/>
  <c r="M424" i="39" s="1"/>
  <c r="N424" i="39" s="1"/>
  <c r="L428" i="39"/>
  <c r="M428" i="39" s="1"/>
  <c r="N428" i="39" s="1"/>
  <c r="L429" i="39"/>
  <c r="M429" i="39" s="1"/>
  <c r="N429" i="39" s="1"/>
  <c r="L430" i="39"/>
  <c r="M430" i="39" s="1"/>
  <c r="N430" i="39" s="1"/>
  <c r="L432" i="39"/>
  <c r="M432" i="39" s="1"/>
  <c r="N432" i="39" s="1"/>
  <c r="L433" i="39"/>
  <c r="M433" i="39" s="1"/>
  <c r="N433" i="39" s="1"/>
  <c r="L434" i="39"/>
  <c r="M434" i="39" s="1"/>
  <c r="N434" i="39" s="1"/>
  <c r="L435" i="39"/>
  <c r="M435" i="39" s="1"/>
  <c r="N435" i="39" s="1"/>
  <c r="L436" i="39"/>
  <c r="M436" i="39" s="1"/>
  <c r="N436" i="39" s="1"/>
  <c r="L437" i="39"/>
  <c r="M437" i="39" s="1"/>
  <c r="N437" i="39" s="1"/>
  <c r="L438" i="39"/>
  <c r="M438" i="39" s="1"/>
  <c r="N438" i="39" s="1"/>
  <c r="L439" i="39"/>
  <c r="M439" i="39" s="1"/>
  <c r="N439" i="39" s="1"/>
  <c r="L440" i="39"/>
  <c r="M440" i="39" s="1"/>
  <c r="N440" i="39" s="1"/>
  <c r="L441" i="39"/>
  <c r="M441" i="39" s="1"/>
  <c r="N441" i="39" s="1"/>
  <c r="L442" i="39"/>
  <c r="M442" i="39" s="1"/>
  <c r="N442" i="39" s="1"/>
  <c r="L443" i="39"/>
  <c r="M443" i="39" s="1"/>
  <c r="N443" i="39" s="1"/>
  <c r="L337" i="39"/>
  <c r="L338" i="39"/>
  <c r="M338" i="39" s="1"/>
  <c r="N338" i="39" s="1"/>
  <c r="L339" i="39"/>
  <c r="M339" i="39" s="1"/>
  <c r="N339" i="39" s="1"/>
  <c r="L340" i="39"/>
  <c r="M340" i="39" s="1"/>
  <c r="N340" i="39" s="1"/>
  <c r="L341" i="39"/>
  <c r="M341" i="39" s="1"/>
  <c r="N341" i="39" s="1"/>
  <c r="L342" i="39"/>
  <c r="M342" i="39" s="1"/>
  <c r="N342" i="39" s="1"/>
  <c r="L343" i="39"/>
  <c r="M343" i="39" s="1"/>
  <c r="N343" i="39" s="1"/>
  <c r="L344" i="39"/>
  <c r="M344" i="39" s="1"/>
  <c r="N344" i="39" s="1"/>
  <c r="L345" i="39"/>
  <c r="M345" i="39" s="1"/>
  <c r="N345" i="39" s="1"/>
  <c r="L346" i="39"/>
  <c r="M346" i="39" s="1"/>
  <c r="N346" i="39" s="1"/>
  <c r="L347" i="39"/>
  <c r="M347" i="39" s="1"/>
  <c r="N347" i="39" s="1"/>
  <c r="L348" i="39"/>
  <c r="M348" i="39" s="1"/>
  <c r="N348" i="39" s="1"/>
  <c r="L349" i="39"/>
  <c r="M349" i="39" s="1"/>
  <c r="N349" i="39" s="1"/>
  <c r="L350" i="39"/>
  <c r="M350" i="39" s="1"/>
  <c r="N350" i="39" s="1"/>
  <c r="L351" i="39"/>
  <c r="M351" i="39" s="1"/>
  <c r="N351" i="39" s="1"/>
  <c r="L352" i="39"/>
  <c r="M352" i="39" s="1"/>
  <c r="N352" i="39" s="1"/>
  <c r="L353" i="39"/>
  <c r="M353" i="39" s="1"/>
  <c r="N353" i="39" s="1"/>
  <c r="L354" i="39"/>
  <c r="M354" i="39" s="1"/>
  <c r="N354" i="39" s="1"/>
  <c r="L355" i="39"/>
  <c r="M355" i="39" s="1"/>
  <c r="N355" i="39" s="1"/>
  <c r="L356" i="39"/>
  <c r="M356" i="39" s="1"/>
  <c r="N356" i="39" s="1"/>
  <c r="L357" i="39"/>
  <c r="M357" i="39" s="1"/>
  <c r="N357" i="39" s="1"/>
  <c r="L358" i="39"/>
  <c r="M358" i="39" s="1"/>
  <c r="N358" i="39" s="1"/>
  <c r="L360" i="39"/>
  <c r="M360" i="39" s="1"/>
  <c r="N360" i="39" s="1"/>
  <c r="L361" i="39"/>
  <c r="M361" i="39" s="1"/>
  <c r="N361" i="39" s="1"/>
  <c r="L362" i="39"/>
  <c r="M362" i="39" s="1"/>
  <c r="N362" i="39" s="1"/>
  <c r="L363" i="39"/>
  <c r="M363" i="39" s="1"/>
  <c r="N363" i="39" s="1"/>
  <c r="L364" i="39"/>
  <c r="M364" i="39" s="1"/>
  <c r="N364" i="39" s="1"/>
  <c r="L365" i="39"/>
  <c r="M365" i="39" s="1"/>
  <c r="N365" i="39" s="1"/>
  <c r="L366" i="39"/>
  <c r="M366" i="39" s="1"/>
  <c r="N366" i="39" s="1"/>
  <c r="L367" i="39"/>
  <c r="M367" i="39" s="1"/>
  <c r="N367" i="39" s="1"/>
  <c r="L368" i="39"/>
  <c r="M368" i="39" s="1"/>
  <c r="N368" i="39" s="1"/>
  <c r="L369" i="39"/>
  <c r="M369" i="39" s="1"/>
  <c r="N369" i="39" s="1"/>
  <c r="L370" i="39"/>
  <c r="M370" i="39" s="1"/>
  <c r="N370" i="39" s="1"/>
  <c r="L371" i="39"/>
  <c r="M371" i="39" s="1"/>
  <c r="N371" i="39" s="1"/>
  <c r="L372" i="39"/>
  <c r="M372" i="39" s="1"/>
  <c r="N372" i="39" s="1"/>
  <c r="L373" i="39"/>
  <c r="M373" i="39" s="1"/>
  <c r="N373" i="39" s="1"/>
  <c r="L374" i="39"/>
  <c r="M374" i="39" s="1"/>
  <c r="N374" i="39" s="1"/>
  <c r="L375" i="39"/>
  <c r="M375" i="39" s="1"/>
  <c r="N375" i="39" s="1"/>
  <c r="L376" i="39"/>
  <c r="M376" i="39" s="1"/>
  <c r="N376" i="39" s="1"/>
  <c r="L377" i="39"/>
  <c r="M377" i="39" s="1"/>
  <c r="N377" i="39" s="1"/>
  <c r="L378" i="39"/>
  <c r="M378" i="39" s="1"/>
  <c r="N378" i="39" s="1"/>
  <c r="L389" i="39"/>
  <c r="M389" i="39" s="1"/>
  <c r="N389" i="39" s="1"/>
  <c r="L390" i="39"/>
  <c r="M390" i="39" s="1"/>
  <c r="N390" i="39" s="1"/>
  <c r="L391" i="39"/>
  <c r="M391" i="39" s="1"/>
  <c r="N391" i="39" s="1"/>
  <c r="L392" i="39"/>
  <c r="M392" i="39" s="1"/>
  <c r="N392" i="39" s="1"/>
  <c r="L393" i="39"/>
  <c r="M393" i="39" s="1"/>
  <c r="N393" i="39" s="1"/>
  <c r="L394" i="39"/>
  <c r="M394" i="39" s="1"/>
  <c r="N394" i="39" s="1"/>
  <c r="L395" i="39"/>
  <c r="M395" i="39" s="1"/>
  <c r="N395" i="39" s="1"/>
  <c r="L396" i="39"/>
  <c r="M396" i="39" s="1"/>
  <c r="N396" i="39" s="1"/>
  <c r="L397" i="39"/>
  <c r="M397" i="39" s="1"/>
  <c r="N397" i="39" s="1"/>
  <c r="L398" i="39"/>
  <c r="M398" i="39" s="1"/>
  <c r="N398" i="39" s="1"/>
  <c r="L399" i="39"/>
  <c r="M399" i="39" s="1"/>
  <c r="N399" i="39" s="1"/>
  <c r="L194" i="39"/>
  <c r="L195" i="39"/>
  <c r="M195" i="39" s="1"/>
  <c r="N195" i="39" s="1"/>
  <c r="L196" i="39"/>
  <c r="M196" i="39" s="1"/>
  <c r="N196" i="39" s="1"/>
  <c r="L197" i="39"/>
  <c r="M197" i="39" s="1"/>
  <c r="N197" i="39" s="1"/>
  <c r="L198" i="39"/>
  <c r="M198" i="39" s="1"/>
  <c r="N198" i="39" s="1"/>
  <c r="L199" i="39"/>
  <c r="M199" i="39" s="1"/>
  <c r="N199" i="39" s="1"/>
  <c r="L200" i="39"/>
  <c r="M200" i="39" s="1"/>
  <c r="N200" i="39" s="1"/>
  <c r="L201" i="39"/>
  <c r="L202" i="39"/>
  <c r="M202" i="39" s="1"/>
  <c r="N202" i="39" s="1"/>
  <c r="L203" i="39"/>
  <c r="M203" i="39" s="1"/>
  <c r="N203" i="39" s="1"/>
  <c r="L204" i="39"/>
  <c r="L205" i="39"/>
  <c r="M205" i="39" s="1"/>
  <c r="N205" i="39" s="1"/>
  <c r="L206" i="39"/>
  <c r="M206" i="39" s="1"/>
  <c r="N206" i="39" s="1"/>
  <c r="L207" i="39"/>
  <c r="M207" i="39" s="1"/>
  <c r="N207" i="39" s="1"/>
  <c r="L208" i="39"/>
  <c r="M208" i="39" s="1"/>
  <c r="N208" i="39" s="1"/>
  <c r="L209" i="39"/>
  <c r="M209" i="39" s="1"/>
  <c r="N209" i="39" s="1"/>
  <c r="L210" i="39"/>
  <c r="M210" i="39" s="1"/>
  <c r="N210" i="39" s="1"/>
  <c r="L211" i="39"/>
  <c r="M211" i="39" s="1"/>
  <c r="N211" i="39" s="1"/>
  <c r="L212" i="39"/>
  <c r="M212" i="39" s="1"/>
  <c r="N212" i="39" s="1"/>
  <c r="L213" i="39"/>
  <c r="M213" i="39" s="1"/>
  <c r="N213" i="39" s="1"/>
  <c r="L214" i="39"/>
  <c r="M214" i="39" s="1"/>
  <c r="N214" i="39" s="1"/>
  <c r="L215" i="39"/>
  <c r="M215" i="39" s="1"/>
  <c r="N215" i="39" s="1"/>
  <c r="L216" i="39"/>
  <c r="M216" i="39" s="1"/>
  <c r="N216" i="39" s="1"/>
  <c r="L217" i="39"/>
  <c r="M217" i="39" s="1"/>
  <c r="N217" i="39" s="1"/>
  <c r="L218" i="39"/>
  <c r="M218" i="39" s="1"/>
  <c r="N218" i="39" s="1"/>
  <c r="L219" i="39"/>
  <c r="M219" i="39" s="1"/>
  <c r="N219" i="39" s="1"/>
  <c r="L220" i="39"/>
  <c r="M220" i="39" s="1"/>
  <c r="N220" i="39" s="1"/>
  <c r="L221" i="39"/>
  <c r="M221" i="39" s="1"/>
  <c r="N221" i="39" s="1"/>
  <c r="L222" i="39"/>
  <c r="M222" i="39" s="1"/>
  <c r="N222" i="39" s="1"/>
  <c r="L223" i="39"/>
  <c r="M223" i="39" s="1"/>
  <c r="N223" i="39" s="1"/>
  <c r="L224" i="39"/>
  <c r="M224" i="39" s="1"/>
  <c r="N224" i="39" s="1"/>
  <c r="L225" i="39"/>
  <c r="M225" i="39" s="1"/>
  <c r="N225" i="39" s="1"/>
  <c r="L226" i="39"/>
  <c r="M226" i="39" s="1"/>
  <c r="N226" i="39" s="1"/>
  <c r="L227" i="39"/>
  <c r="M227" i="39" s="1"/>
  <c r="N227" i="39" s="1"/>
  <c r="L228" i="39"/>
  <c r="M228" i="39" s="1"/>
  <c r="N228" i="39" s="1"/>
  <c r="L229" i="39"/>
  <c r="M229" i="39" s="1"/>
  <c r="N229" i="39" s="1"/>
  <c r="L230" i="39"/>
  <c r="M230" i="39" s="1"/>
  <c r="N230" i="39" s="1"/>
  <c r="L231" i="39"/>
  <c r="M231" i="39" s="1"/>
  <c r="N231" i="39" s="1"/>
  <c r="L232" i="39"/>
  <c r="M232" i="39" s="1"/>
  <c r="N232" i="39" s="1"/>
  <c r="L233" i="39"/>
  <c r="M233" i="39" s="1"/>
  <c r="N233" i="39" s="1"/>
  <c r="L234" i="39"/>
  <c r="M234" i="39" s="1"/>
  <c r="N234" i="39" s="1"/>
  <c r="L235" i="39"/>
  <c r="M235" i="39" s="1"/>
  <c r="N235" i="39" s="1"/>
  <c r="L236" i="39"/>
  <c r="M236" i="39" s="1"/>
  <c r="N236" i="39" s="1"/>
  <c r="L237" i="39"/>
  <c r="M237" i="39" s="1"/>
  <c r="N237" i="39" s="1"/>
  <c r="L238" i="39"/>
  <c r="M238" i="39" s="1"/>
  <c r="N238" i="39" s="1"/>
  <c r="L239" i="39"/>
  <c r="M239" i="39" s="1"/>
  <c r="N239" i="39" s="1"/>
  <c r="L240" i="39"/>
  <c r="M240" i="39" s="1"/>
  <c r="N240" i="39" s="1"/>
  <c r="L241" i="39"/>
  <c r="M241" i="39" s="1"/>
  <c r="N241" i="39" s="1"/>
  <c r="L242" i="39"/>
  <c r="M242" i="39" s="1"/>
  <c r="N242" i="39" s="1"/>
  <c r="L243" i="39"/>
  <c r="M243" i="39" s="1"/>
  <c r="N243" i="39" s="1"/>
  <c r="L244" i="39"/>
  <c r="M244" i="39" s="1"/>
  <c r="N244" i="39" s="1"/>
  <c r="L245" i="39"/>
  <c r="M245" i="39" s="1"/>
  <c r="N245" i="39" s="1"/>
  <c r="L246" i="39"/>
  <c r="M246" i="39" s="1"/>
  <c r="N246" i="39" s="1"/>
  <c r="L247" i="39"/>
  <c r="M247" i="39" s="1"/>
  <c r="N247" i="39" s="1"/>
  <c r="L248" i="39"/>
  <c r="M248" i="39" s="1"/>
  <c r="N248" i="39" s="1"/>
  <c r="L249" i="39"/>
  <c r="M249" i="39" s="1"/>
  <c r="N249" i="39" s="1"/>
  <c r="L252" i="39"/>
  <c r="M252" i="39" s="1"/>
  <c r="N252" i="39" s="1"/>
  <c r="L250" i="39"/>
  <c r="M250" i="39" s="1"/>
  <c r="N250" i="39" s="1"/>
  <c r="L251" i="39"/>
  <c r="M251" i="39" s="1"/>
  <c r="N251" i="39" s="1"/>
  <c r="L253" i="39"/>
  <c r="M253" i="39" s="1"/>
  <c r="N253" i="39" s="1"/>
  <c r="L254" i="39"/>
  <c r="M254" i="39" s="1"/>
  <c r="N254" i="39" s="1"/>
  <c r="L255" i="39"/>
  <c r="M255" i="39" s="1"/>
  <c r="N255" i="39" s="1"/>
  <c r="L256" i="39"/>
  <c r="M256" i="39" s="1"/>
  <c r="N256" i="39" s="1"/>
  <c r="L257" i="39"/>
  <c r="M257" i="39" s="1"/>
  <c r="N257" i="39" s="1"/>
  <c r="L259" i="39"/>
  <c r="M259" i="39" s="1"/>
  <c r="N259" i="39" s="1"/>
  <c r="L260" i="39"/>
  <c r="M260" i="39" s="1"/>
  <c r="N260" i="39" s="1"/>
  <c r="L258" i="39"/>
  <c r="M258" i="39" s="1"/>
  <c r="N258" i="39" s="1"/>
  <c r="L261" i="39"/>
  <c r="M261" i="39" s="1"/>
  <c r="N261" i="39" s="1"/>
  <c r="L263" i="39"/>
  <c r="M263" i="39" s="1"/>
  <c r="N263" i="39" s="1"/>
  <c r="L262" i="39"/>
  <c r="M262" i="39" s="1"/>
  <c r="N262" i="39" s="1"/>
  <c r="L264" i="39"/>
  <c r="L265" i="39"/>
  <c r="M265" i="39" s="1"/>
  <c r="N265" i="39" s="1"/>
  <c r="L270" i="39"/>
  <c r="M270" i="39" s="1"/>
  <c r="N270" i="39" s="1"/>
  <c r="L269" i="39"/>
  <c r="M269" i="39" s="1"/>
  <c r="N269" i="39" s="1"/>
  <c r="L268" i="39"/>
  <c r="M268" i="39" s="1"/>
  <c r="N268" i="39" s="1"/>
  <c r="L267" i="39"/>
  <c r="M267" i="39" s="1"/>
  <c r="N267" i="39" s="1"/>
  <c r="L272" i="39"/>
  <c r="M272" i="39" s="1"/>
  <c r="N272" i="39" s="1"/>
  <c r="L271" i="39"/>
  <c r="M271" i="39" s="1"/>
  <c r="N271" i="39" s="1"/>
  <c r="L273" i="39"/>
  <c r="M273" i="39" s="1"/>
  <c r="N273" i="39" s="1"/>
  <c r="L275" i="39"/>
  <c r="M275" i="39" s="1"/>
  <c r="N275" i="39" s="1"/>
  <c r="L274" i="39"/>
  <c r="M274" i="39" s="1"/>
  <c r="N274" i="39" s="1"/>
  <c r="L276" i="39"/>
  <c r="M276" i="39" s="1"/>
  <c r="N276" i="39" s="1"/>
  <c r="L277" i="39"/>
  <c r="M277" i="39" s="1"/>
  <c r="N277" i="39" s="1"/>
  <c r="L278" i="39"/>
  <c r="M278" i="39" s="1"/>
  <c r="N278" i="39" s="1"/>
  <c r="L282" i="39"/>
  <c r="M282" i="39" s="1"/>
  <c r="N282" i="39" s="1"/>
  <c r="L281" i="39"/>
  <c r="L280" i="39"/>
  <c r="M280" i="39" s="1"/>
  <c r="N280" i="39" s="1"/>
  <c r="L283" i="39"/>
  <c r="M283" i="39" s="1"/>
  <c r="N283" i="39" s="1"/>
  <c r="L284" i="39"/>
  <c r="M284" i="39" s="1"/>
  <c r="N284" i="39" s="1"/>
  <c r="L285" i="39"/>
  <c r="M285" i="39" s="1"/>
  <c r="N285" i="39" s="1"/>
  <c r="L286" i="39"/>
  <c r="M286" i="39" s="1"/>
  <c r="N286" i="39" s="1"/>
  <c r="L287" i="39"/>
  <c r="M287" i="39" s="1"/>
  <c r="N287" i="39" s="1"/>
  <c r="L288" i="39"/>
  <c r="M288" i="39" s="1"/>
  <c r="N288" i="39" s="1"/>
  <c r="L290" i="39"/>
  <c r="M290" i="39" s="1"/>
  <c r="N290" i="39" s="1"/>
  <c r="L289" i="39"/>
  <c r="M289" i="39" s="1"/>
  <c r="N289" i="39" s="1"/>
  <c r="L292" i="39"/>
  <c r="M292" i="39" s="1"/>
  <c r="N292" i="39" s="1"/>
  <c r="L291" i="39"/>
  <c r="M291" i="39" s="1"/>
  <c r="N291" i="39" s="1"/>
  <c r="L293" i="39"/>
  <c r="M293" i="39" s="1"/>
  <c r="N293" i="39" s="1"/>
  <c r="L294" i="39"/>
  <c r="M294" i="39" s="1"/>
  <c r="N294" i="39" s="1"/>
  <c r="L295" i="39"/>
  <c r="M295" i="39" s="1"/>
  <c r="N295" i="39" s="1"/>
  <c r="L296" i="39"/>
  <c r="M296" i="39" s="1"/>
  <c r="N296" i="39" s="1"/>
  <c r="L297" i="39"/>
  <c r="M297" i="39" s="1"/>
  <c r="N297" i="39" s="1"/>
  <c r="L298" i="39"/>
  <c r="M298" i="39" s="1"/>
  <c r="N298" i="39" s="1"/>
  <c r="L299" i="39"/>
  <c r="M299" i="39" s="1"/>
  <c r="N299" i="39" s="1"/>
  <c r="L301" i="39"/>
  <c r="M301" i="39" s="1"/>
  <c r="N301" i="39" s="1"/>
  <c r="L302" i="39"/>
  <c r="M302" i="39" s="1"/>
  <c r="N302" i="39" s="1"/>
  <c r="L300" i="39"/>
  <c r="M300" i="39" s="1"/>
  <c r="N300" i="39" s="1"/>
  <c r="L304" i="39"/>
  <c r="M304" i="39" s="1"/>
  <c r="N304" i="39" s="1"/>
  <c r="L306" i="39"/>
  <c r="M306" i="39" s="1"/>
  <c r="N306" i="39" s="1"/>
  <c r="L305" i="39"/>
  <c r="M305" i="39" s="1"/>
  <c r="N305" i="39" s="1"/>
  <c r="L303" i="39"/>
  <c r="M303" i="39" s="1"/>
  <c r="N303" i="39" s="1"/>
  <c r="L310" i="39"/>
  <c r="M310" i="39" s="1"/>
  <c r="N310" i="39" s="1"/>
  <c r="L309" i="39"/>
  <c r="M309" i="39" s="1"/>
  <c r="N309" i="39" s="1"/>
  <c r="L307" i="39"/>
  <c r="M307" i="39" s="1"/>
  <c r="N307" i="39" s="1"/>
  <c r="P11" i="39"/>
  <c r="M41" i="17"/>
  <c r="N41" i="17" s="1"/>
  <c r="O41" i="17" s="1"/>
  <c r="J41" i="17"/>
  <c r="K41" i="17" s="1"/>
  <c r="P30" i="42" l="1"/>
  <c r="O18" i="42"/>
  <c r="C45" i="26"/>
  <c r="P130" i="42"/>
  <c r="M457" i="39"/>
  <c r="M511" i="39" s="1"/>
  <c r="D31" i="26"/>
  <c r="AE31" i="26" s="1"/>
  <c r="M337" i="39"/>
  <c r="M416" i="39"/>
  <c r="M194" i="39"/>
  <c r="O157" i="42"/>
  <c r="D49" i="26"/>
  <c r="AE49" i="26" s="1"/>
  <c r="O13" i="42"/>
  <c r="P29" i="42"/>
  <c r="M110" i="39"/>
  <c r="N110" i="39" s="1"/>
  <c r="M281" i="39"/>
  <c r="N281" i="39" s="1"/>
  <c r="M264" i="39"/>
  <c r="N264" i="39" s="1"/>
  <c r="M204" i="39"/>
  <c r="N204" i="39" s="1"/>
  <c r="M201" i="39"/>
  <c r="N201" i="39" s="1"/>
  <c r="M5" i="17"/>
  <c r="I497" i="39"/>
  <c r="J497" i="39" s="1"/>
  <c r="I498" i="39"/>
  <c r="J498" i="39" s="1"/>
  <c r="I499" i="39"/>
  <c r="J499" i="39" s="1"/>
  <c r="I442" i="39"/>
  <c r="J442" i="39" s="1"/>
  <c r="I443" i="39"/>
  <c r="J443" i="39" s="1"/>
  <c r="I306" i="39"/>
  <c r="J306" i="39" s="1"/>
  <c r="I305" i="39"/>
  <c r="J305" i="39" s="1"/>
  <c r="I303" i="39"/>
  <c r="J303" i="39" s="1"/>
  <c r="I310" i="39"/>
  <c r="J310" i="39" s="1"/>
  <c r="I309" i="39"/>
  <c r="J309" i="39" s="1"/>
  <c r="I307" i="39"/>
  <c r="J307" i="39" s="1"/>
  <c r="I304" i="39"/>
  <c r="J304" i="39" s="1"/>
  <c r="K116" i="42"/>
  <c r="L116" i="42" s="1"/>
  <c r="M53" i="17"/>
  <c r="N53" i="17" s="1"/>
  <c r="O53" i="17" s="1"/>
  <c r="M52" i="17"/>
  <c r="N52" i="17" s="1"/>
  <c r="O52" i="17" s="1"/>
  <c r="J52" i="17"/>
  <c r="K52" i="17" s="1"/>
  <c r="J53" i="17"/>
  <c r="K53" i="17" s="1"/>
  <c r="M50" i="17"/>
  <c r="N50" i="17" s="1"/>
  <c r="O50" i="17" s="1"/>
  <c r="J50" i="17"/>
  <c r="K50" i="17" s="1"/>
  <c r="M48" i="17"/>
  <c r="N48" i="17" s="1"/>
  <c r="O48" i="17" s="1"/>
  <c r="J48" i="17"/>
  <c r="K48" i="17" s="1"/>
  <c r="N198" i="17"/>
  <c r="O198" i="17" s="1"/>
  <c r="J198" i="17"/>
  <c r="K198" i="17" s="1"/>
  <c r="M154" i="17"/>
  <c r="N154" i="17" s="1"/>
  <c r="O154" i="17" s="1"/>
  <c r="J154" i="17"/>
  <c r="K154" i="17" s="1"/>
  <c r="M57" i="17"/>
  <c r="N57" i="17" s="1"/>
  <c r="O57" i="17" s="1"/>
  <c r="N197" i="17"/>
  <c r="O197" i="17" s="1"/>
  <c r="J57" i="17"/>
  <c r="K57" i="17" s="1"/>
  <c r="J197" i="17"/>
  <c r="K197" i="17" s="1"/>
  <c r="M55" i="17"/>
  <c r="N55" i="17" s="1"/>
  <c r="O55" i="17" s="1"/>
  <c r="J55" i="17"/>
  <c r="K55" i="17" s="1"/>
  <c r="M47" i="17"/>
  <c r="N47" i="17" s="1"/>
  <c r="O47" i="17" s="1"/>
  <c r="M49" i="17"/>
  <c r="N49" i="17" s="1"/>
  <c r="O49" i="17" s="1"/>
  <c r="M51" i="17"/>
  <c r="N51" i="17" s="1"/>
  <c r="O51" i="17" s="1"/>
  <c r="M156" i="17"/>
  <c r="N156" i="17" s="1"/>
  <c r="O156" i="17" s="1"/>
  <c r="M54" i="17"/>
  <c r="N54" i="17" s="1"/>
  <c r="O54" i="17" s="1"/>
  <c r="J54" i="17"/>
  <c r="K54" i="17" s="1"/>
  <c r="J156" i="17"/>
  <c r="K156" i="17" s="1"/>
  <c r="J51" i="17"/>
  <c r="K51" i="17" s="1"/>
  <c r="J49" i="17"/>
  <c r="K49" i="17" s="1"/>
  <c r="J47" i="17"/>
  <c r="K47" i="17" s="1"/>
  <c r="K75" i="43"/>
  <c r="K99" i="42"/>
  <c r="L99" i="42" s="1"/>
  <c r="L153" i="39"/>
  <c r="M153" i="39" s="1"/>
  <c r="N153" i="39" s="1"/>
  <c r="I153" i="39"/>
  <c r="J153" i="39" s="1"/>
  <c r="K511" i="39"/>
  <c r="B31" i="26" s="1"/>
  <c r="AC31" i="26" s="1"/>
  <c r="I399" i="39"/>
  <c r="J399" i="39" s="1"/>
  <c r="I441" i="39"/>
  <c r="J441" i="39" s="1"/>
  <c r="I397" i="39"/>
  <c r="J397" i="39" s="1"/>
  <c r="I396" i="39"/>
  <c r="J396" i="39" s="1"/>
  <c r="I395" i="39"/>
  <c r="J395" i="39" s="1"/>
  <c r="I394" i="39"/>
  <c r="J394" i="39" s="1"/>
  <c r="I393" i="39"/>
  <c r="J393" i="39" s="1"/>
  <c r="I439" i="39"/>
  <c r="J439" i="39" s="1"/>
  <c r="I440" i="39"/>
  <c r="J440" i="39" s="1"/>
  <c r="I299" i="39"/>
  <c r="J299" i="39" s="1"/>
  <c r="I302" i="39"/>
  <c r="J302" i="39" s="1"/>
  <c r="I301" i="39"/>
  <c r="J301" i="39" s="1"/>
  <c r="I300" i="39"/>
  <c r="J300" i="39" s="1"/>
  <c r="M44" i="17"/>
  <c r="N44" i="17" s="1"/>
  <c r="O44" i="17" s="1"/>
  <c r="M43" i="17"/>
  <c r="N43" i="17" s="1"/>
  <c r="O43" i="17" s="1"/>
  <c r="M42" i="17"/>
  <c r="N42" i="17" s="1"/>
  <c r="O42" i="17" s="1"/>
  <c r="J44" i="17"/>
  <c r="K44" i="17" s="1"/>
  <c r="J43" i="17"/>
  <c r="K43" i="17" s="1"/>
  <c r="J42" i="17"/>
  <c r="K42" i="17" s="1"/>
  <c r="J233" i="17"/>
  <c r="K233" i="17" s="1"/>
  <c r="N199" i="17"/>
  <c r="O199" i="17" s="1"/>
  <c r="M233" i="17"/>
  <c r="N233" i="17" s="1"/>
  <c r="O233" i="17" s="1"/>
  <c r="J199" i="17"/>
  <c r="K199" i="17" s="1"/>
  <c r="M116" i="17"/>
  <c r="N116" i="17" s="1"/>
  <c r="O116" i="17" s="1"/>
  <c r="J116" i="17"/>
  <c r="K116" i="17" s="1"/>
  <c r="M46" i="17"/>
  <c r="N46" i="17" s="1"/>
  <c r="O46" i="17" s="1"/>
  <c r="J46" i="17"/>
  <c r="K46" i="17" s="1"/>
  <c r="M45" i="17"/>
  <c r="N45" i="17" s="1"/>
  <c r="O45" i="17" s="1"/>
  <c r="J45" i="17"/>
  <c r="K45" i="17" s="1"/>
  <c r="AH214" i="44"/>
  <c r="AG214" i="44"/>
  <c r="AD214" i="44"/>
  <c r="S214" i="44"/>
  <c r="P214" i="44"/>
  <c r="Q214" i="44"/>
  <c r="K214" i="44"/>
  <c r="AF214" i="44" s="1"/>
  <c r="AH210" i="44"/>
  <c r="AD210" i="44"/>
  <c r="S210" i="44"/>
  <c r="P210" i="44"/>
  <c r="Q210" i="44" s="1"/>
  <c r="K210" i="44"/>
  <c r="AF210" i="44" s="1"/>
  <c r="AH209" i="44"/>
  <c r="AD209" i="44"/>
  <c r="S209" i="44"/>
  <c r="P209" i="44"/>
  <c r="Q209" i="44"/>
  <c r="K209" i="44"/>
  <c r="AF209" i="44" s="1"/>
  <c r="AH208" i="44"/>
  <c r="AD208" i="44"/>
  <c r="S208" i="44"/>
  <c r="P208" i="44"/>
  <c r="Q208" i="44" s="1"/>
  <c r="K208" i="44"/>
  <c r="AF208" i="44" s="1"/>
  <c r="AH207" i="44"/>
  <c r="AD207" i="44"/>
  <c r="S207" i="44"/>
  <c r="P207" i="44"/>
  <c r="Q207" i="44"/>
  <c r="K207" i="44"/>
  <c r="AF207" i="44" s="1"/>
  <c r="AH206" i="44"/>
  <c r="AD206" i="44"/>
  <c r="S206" i="44"/>
  <c r="P206" i="44"/>
  <c r="Q206" i="44" s="1"/>
  <c r="K206" i="44"/>
  <c r="AF206" i="44" s="1"/>
  <c r="AH205" i="44"/>
  <c r="AD205" i="44"/>
  <c r="S205" i="44"/>
  <c r="P205" i="44"/>
  <c r="Q205" i="44" s="1"/>
  <c r="K205" i="44"/>
  <c r="AF205" i="44" s="1"/>
  <c r="AH204" i="44"/>
  <c r="AD204" i="44"/>
  <c r="S204" i="44"/>
  <c r="P204" i="44"/>
  <c r="Q204" i="44" s="1"/>
  <c r="K204" i="44"/>
  <c r="AF204" i="44" s="1"/>
  <c r="AH203" i="44"/>
  <c r="AD203" i="44"/>
  <c r="S203" i="44"/>
  <c r="P203" i="44"/>
  <c r="Q203" i="44"/>
  <c r="K203" i="44"/>
  <c r="AF203" i="44" s="1"/>
  <c r="AH202" i="44"/>
  <c r="AD202" i="44"/>
  <c r="S202" i="44"/>
  <c r="P202" i="44"/>
  <c r="Q202" i="44" s="1"/>
  <c r="K202" i="44"/>
  <c r="AF202" i="44" s="1"/>
  <c r="AH201" i="44"/>
  <c r="AD201" i="44"/>
  <c r="S201" i="44"/>
  <c r="P201" i="44"/>
  <c r="Q201" i="44"/>
  <c r="K201" i="44"/>
  <c r="AF201" i="44" s="1"/>
  <c r="AH200" i="44"/>
  <c r="AD200" i="44"/>
  <c r="S200" i="44"/>
  <c r="P200" i="44"/>
  <c r="Q200" i="44" s="1"/>
  <c r="K200" i="44"/>
  <c r="AF200" i="44" s="1"/>
  <c r="AH199" i="44"/>
  <c r="AD199" i="44"/>
  <c r="S199" i="44"/>
  <c r="P199" i="44"/>
  <c r="Q199" i="44"/>
  <c r="K199" i="44"/>
  <c r="AF199" i="44" s="1"/>
  <c r="AH198" i="44"/>
  <c r="AD198" i="44"/>
  <c r="S198" i="44"/>
  <c r="P198" i="44"/>
  <c r="Q198" i="44" s="1"/>
  <c r="K198" i="44"/>
  <c r="AF198" i="44" s="1"/>
  <c r="AH197" i="44"/>
  <c r="AD197" i="44"/>
  <c r="S197" i="44"/>
  <c r="P197" i="44"/>
  <c r="Q197" i="44" s="1"/>
  <c r="K197" i="44"/>
  <c r="AF197" i="44"/>
  <c r="AH196" i="44"/>
  <c r="AD196" i="44"/>
  <c r="S196" i="44"/>
  <c r="P196" i="44"/>
  <c r="Q196" i="44" s="1"/>
  <c r="K196" i="44"/>
  <c r="AF196" i="44" s="1"/>
  <c r="AH195" i="44"/>
  <c r="AD195" i="44"/>
  <c r="S195" i="44"/>
  <c r="P195" i="44"/>
  <c r="Q195" i="44" s="1"/>
  <c r="K195" i="44"/>
  <c r="AF195" i="44"/>
  <c r="AH194" i="44"/>
  <c r="AD194" i="44"/>
  <c r="S194" i="44"/>
  <c r="P194" i="44"/>
  <c r="Q194" i="44" s="1"/>
  <c r="K194" i="44"/>
  <c r="AF194" i="44" s="1"/>
  <c r="AH193" i="44"/>
  <c r="AD193" i="44"/>
  <c r="S193" i="44"/>
  <c r="P193" i="44"/>
  <c r="Q193" i="44" s="1"/>
  <c r="K193" i="44"/>
  <c r="AF193" i="44"/>
  <c r="AH192" i="44"/>
  <c r="AD192" i="44"/>
  <c r="S192" i="44"/>
  <c r="P192" i="44"/>
  <c r="Q192" i="44" s="1"/>
  <c r="K192" i="44"/>
  <c r="AF192" i="44" s="1"/>
  <c r="AH191" i="44"/>
  <c r="AD191" i="44"/>
  <c r="S191" i="44"/>
  <c r="P191" i="44"/>
  <c r="Q191" i="44" s="1"/>
  <c r="K191" i="44"/>
  <c r="AF191" i="44"/>
  <c r="AH190" i="44"/>
  <c r="AD190" i="44"/>
  <c r="S190" i="44"/>
  <c r="P190" i="44"/>
  <c r="Q190" i="44" s="1"/>
  <c r="K190" i="44"/>
  <c r="AF190" i="44" s="1"/>
  <c r="AH189" i="44"/>
  <c r="AD189" i="44"/>
  <c r="S189" i="44"/>
  <c r="P189" i="44"/>
  <c r="Q189" i="44" s="1"/>
  <c r="K189" i="44"/>
  <c r="AF189" i="44" s="1"/>
  <c r="AH188" i="44"/>
  <c r="AD188" i="44"/>
  <c r="S188" i="44"/>
  <c r="P188" i="44"/>
  <c r="Q188" i="44" s="1"/>
  <c r="K188" i="44"/>
  <c r="AF188" i="44" s="1"/>
  <c r="AH187" i="44"/>
  <c r="AD187" i="44"/>
  <c r="S187" i="44"/>
  <c r="P187" i="44"/>
  <c r="Q187" i="44" s="1"/>
  <c r="K187" i="44"/>
  <c r="AF187" i="44"/>
  <c r="AH186" i="44"/>
  <c r="AD186" i="44"/>
  <c r="S186" i="44"/>
  <c r="P186" i="44"/>
  <c r="Q186" i="44" s="1"/>
  <c r="K186" i="44"/>
  <c r="AF186" i="44" s="1"/>
  <c r="AH185" i="44"/>
  <c r="AD185" i="44"/>
  <c r="S185" i="44"/>
  <c r="P185" i="44"/>
  <c r="Q185" i="44" s="1"/>
  <c r="K185" i="44"/>
  <c r="AF185" i="44" s="1"/>
  <c r="AH184" i="44"/>
  <c r="AD184" i="44"/>
  <c r="S184" i="44"/>
  <c r="P184" i="44"/>
  <c r="Q184" i="44" s="1"/>
  <c r="K184" i="44"/>
  <c r="AF184" i="44" s="1"/>
  <c r="AH183" i="44"/>
  <c r="AD183" i="44"/>
  <c r="S183" i="44"/>
  <c r="P183" i="44"/>
  <c r="Q183" i="44" s="1"/>
  <c r="K183" i="44"/>
  <c r="AF183" i="44" s="1"/>
  <c r="AH182" i="44"/>
  <c r="AD182" i="44"/>
  <c r="S182" i="44"/>
  <c r="P182" i="44"/>
  <c r="Q182" i="44"/>
  <c r="K182" i="44"/>
  <c r="AF182" i="44" s="1"/>
  <c r="AH181" i="44"/>
  <c r="AD181" i="44"/>
  <c r="S181" i="44"/>
  <c r="P181" i="44"/>
  <c r="Q181" i="44" s="1"/>
  <c r="K181" i="44"/>
  <c r="AF181" i="44" s="1"/>
  <c r="AH180" i="44"/>
  <c r="AD180" i="44"/>
  <c r="S180" i="44"/>
  <c r="P180" i="44"/>
  <c r="Q180" i="44" s="1"/>
  <c r="K180" i="44"/>
  <c r="AF180" i="44" s="1"/>
  <c r="AH179" i="44"/>
  <c r="AD179" i="44"/>
  <c r="S179" i="44"/>
  <c r="P179" i="44"/>
  <c r="Q179" i="44" s="1"/>
  <c r="K179" i="44"/>
  <c r="AF179" i="44"/>
  <c r="AH176" i="44"/>
  <c r="AD176" i="44"/>
  <c r="S176" i="44"/>
  <c r="P176" i="44"/>
  <c r="Q176" i="44"/>
  <c r="K176" i="44"/>
  <c r="AF176" i="44" s="1"/>
  <c r="AQ155" i="44"/>
  <c r="AO155" i="44"/>
  <c r="AM155" i="44"/>
  <c r="AK155" i="44"/>
  <c r="AH153" i="44"/>
  <c r="AD153" i="44"/>
  <c r="S153" i="44"/>
  <c r="P153" i="44"/>
  <c r="Q153" i="44" s="1"/>
  <c r="K153" i="44"/>
  <c r="AF153" i="44" s="1"/>
  <c r="AH152" i="44"/>
  <c r="AD152" i="44"/>
  <c r="S152" i="44"/>
  <c r="P152" i="44"/>
  <c r="Q152" i="44" s="1"/>
  <c r="K152" i="44"/>
  <c r="AF152" i="44"/>
  <c r="AH151" i="44"/>
  <c r="AD151" i="44"/>
  <c r="S151" i="44"/>
  <c r="P151" i="44"/>
  <c r="Q151" i="44" s="1"/>
  <c r="K151" i="44"/>
  <c r="AF151" i="44" s="1"/>
  <c r="AH150" i="44"/>
  <c r="AD150" i="44"/>
  <c r="S150" i="44"/>
  <c r="P150" i="44"/>
  <c r="Q150" i="44" s="1"/>
  <c r="K150" i="44"/>
  <c r="AF150" i="44" s="1"/>
  <c r="AH149" i="44"/>
  <c r="AD149" i="44"/>
  <c r="S149" i="44"/>
  <c r="P149" i="44"/>
  <c r="Q149" i="44" s="1"/>
  <c r="K149" i="44"/>
  <c r="AF149" i="44" s="1"/>
  <c r="AH148" i="44"/>
  <c r="AD148" i="44"/>
  <c r="S148" i="44"/>
  <c r="P148" i="44"/>
  <c r="Q148" i="44" s="1"/>
  <c r="K148" i="44"/>
  <c r="AF148" i="44"/>
  <c r="AH147" i="44"/>
  <c r="AD147" i="44"/>
  <c r="S147" i="44"/>
  <c r="P147" i="44"/>
  <c r="Q147" i="44" s="1"/>
  <c r="K147" i="44"/>
  <c r="AF147" i="44" s="1"/>
  <c r="AH146" i="44"/>
  <c r="AD146" i="44"/>
  <c r="S146" i="44"/>
  <c r="P146" i="44"/>
  <c r="Q146" i="44" s="1"/>
  <c r="K146" i="44"/>
  <c r="AF146" i="44" s="1"/>
  <c r="AH145" i="44"/>
  <c r="AD145" i="44"/>
  <c r="S145" i="44"/>
  <c r="P145" i="44"/>
  <c r="Q145" i="44" s="1"/>
  <c r="K145" i="44"/>
  <c r="AF145" i="44" s="1"/>
  <c r="AH144" i="44"/>
  <c r="AD144" i="44"/>
  <c r="S144" i="44"/>
  <c r="P144" i="44"/>
  <c r="Q144" i="44" s="1"/>
  <c r="K144" i="44"/>
  <c r="AF144" i="44" s="1"/>
  <c r="AH143" i="44"/>
  <c r="AD143" i="44"/>
  <c r="S143" i="44"/>
  <c r="P143" i="44"/>
  <c r="Q143" i="44" s="1"/>
  <c r="K143" i="44"/>
  <c r="AF143" i="44" s="1"/>
  <c r="AH142" i="44"/>
  <c r="AD142" i="44"/>
  <c r="S142" i="44"/>
  <c r="P142" i="44"/>
  <c r="Q142" i="44" s="1"/>
  <c r="K142" i="44"/>
  <c r="AF142" i="44" s="1"/>
  <c r="AH141" i="44"/>
  <c r="AD141" i="44"/>
  <c r="S141" i="44"/>
  <c r="P141" i="44"/>
  <c r="Q141" i="44" s="1"/>
  <c r="K141" i="44"/>
  <c r="AF141" i="44" s="1"/>
  <c r="AH140" i="44"/>
  <c r="AD140" i="44"/>
  <c r="S140" i="44"/>
  <c r="P140" i="44"/>
  <c r="Q140" i="44" s="1"/>
  <c r="K140" i="44"/>
  <c r="AF140" i="44" s="1"/>
  <c r="AH139" i="44"/>
  <c r="AD139" i="44"/>
  <c r="S139" i="44"/>
  <c r="P139" i="44"/>
  <c r="Q139" i="44" s="1"/>
  <c r="K139" i="44"/>
  <c r="AF139" i="44" s="1"/>
  <c r="AH138" i="44"/>
  <c r="AD138" i="44"/>
  <c r="S138" i="44"/>
  <c r="P138" i="44"/>
  <c r="Q138" i="44" s="1"/>
  <c r="K138" i="44"/>
  <c r="AF138" i="44" s="1"/>
  <c r="AH137" i="44"/>
  <c r="AD137" i="44"/>
  <c r="S137" i="44"/>
  <c r="P137" i="44"/>
  <c r="Q137" i="44" s="1"/>
  <c r="K137" i="44"/>
  <c r="AF137" i="44" s="1"/>
  <c r="AH136" i="44"/>
  <c r="AD136" i="44"/>
  <c r="S136" i="44"/>
  <c r="N136" i="44"/>
  <c r="N155" i="44" s="1"/>
  <c r="K136" i="44"/>
  <c r="AF136" i="44" s="1"/>
  <c r="AH135" i="44"/>
  <c r="AD135" i="44"/>
  <c r="S135" i="44"/>
  <c r="P135" i="44"/>
  <c r="Q135" i="44" s="1"/>
  <c r="K135" i="44"/>
  <c r="AF135" i="44" s="1"/>
  <c r="AH134" i="44"/>
  <c r="AD134" i="44"/>
  <c r="S134" i="44"/>
  <c r="P134" i="44"/>
  <c r="Q134" i="44" s="1"/>
  <c r="K134" i="44"/>
  <c r="AF134" i="44" s="1"/>
  <c r="AH133" i="44"/>
  <c r="AD133" i="44"/>
  <c r="S133" i="44"/>
  <c r="P133" i="44"/>
  <c r="Q133" i="44" s="1"/>
  <c r="K133" i="44"/>
  <c r="AF133" i="44" s="1"/>
  <c r="AH132" i="44"/>
  <c r="AD132" i="44"/>
  <c r="S132" i="44"/>
  <c r="P132" i="44"/>
  <c r="Q132" i="44" s="1"/>
  <c r="K132" i="44"/>
  <c r="AF132" i="44" s="1"/>
  <c r="AH131" i="44"/>
  <c r="AD131" i="44"/>
  <c r="S131" i="44"/>
  <c r="P131" i="44"/>
  <c r="Q131" i="44" s="1"/>
  <c r="K131" i="44"/>
  <c r="AF131" i="44" s="1"/>
  <c r="AH130" i="44"/>
  <c r="AD130" i="44"/>
  <c r="S130" i="44"/>
  <c r="P130" i="44"/>
  <c r="Q130" i="44" s="1"/>
  <c r="K130" i="44"/>
  <c r="AF130" i="44" s="1"/>
  <c r="AH129" i="44"/>
  <c r="AD129" i="44"/>
  <c r="S129" i="44"/>
  <c r="P129" i="44"/>
  <c r="Q129" i="44" s="1"/>
  <c r="K129" i="44"/>
  <c r="AF129" i="44"/>
  <c r="AH128" i="44"/>
  <c r="AD128" i="44"/>
  <c r="S128" i="44"/>
  <c r="P128" i="44"/>
  <c r="Q128" i="44" s="1"/>
  <c r="K128" i="44"/>
  <c r="AF128" i="44" s="1"/>
  <c r="AH127" i="44"/>
  <c r="AD127" i="44"/>
  <c r="S127" i="44"/>
  <c r="P127" i="44"/>
  <c r="Q127" i="44" s="1"/>
  <c r="K127" i="44"/>
  <c r="AF127" i="44" s="1"/>
  <c r="AH126" i="44"/>
  <c r="AD126" i="44"/>
  <c r="S126" i="44"/>
  <c r="P126" i="44"/>
  <c r="Q126" i="44" s="1"/>
  <c r="K126" i="44"/>
  <c r="AF126" i="44" s="1"/>
  <c r="AH125" i="44"/>
  <c r="AD125" i="44"/>
  <c r="S125" i="44"/>
  <c r="P125" i="44"/>
  <c r="Q125" i="44" s="1"/>
  <c r="K125" i="44"/>
  <c r="AF125" i="44" s="1"/>
  <c r="AH124" i="44"/>
  <c r="AD124" i="44"/>
  <c r="S124" i="44"/>
  <c r="P124" i="44"/>
  <c r="Q124" i="44" s="1"/>
  <c r="K124" i="44"/>
  <c r="AF124" i="44" s="1"/>
  <c r="AQ119" i="44"/>
  <c r="AO119" i="44"/>
  <c r="AM119" i="44"/>
  <c r="AK119" i="44"/>
  <c r="AH117" i="44"/>
  <c r="AG117" i="44"/>
  <c r="AD117" i="44"/>
  <c r="S117" i="44"/>
  <c r="N117" i="44"/>
  <c r="P117" i="44" s="1"/>
  <c r="Q117" i="44" s="1"/>
  <c r="K117" i="44"/>
  <c r="AF117" i="44" s="1"/>
  <c r="AH116" i="44"/>
  <c r="AG116" i="44"/>
  <c r="AD116" i="44"/>
  <c r="S116" i="44"/>
  <c r="P116" i="44"/>
  <c r="Q116" i="44" s="1"/>
  <c r="K116" i="44"/>
  <c r="AF116" i="44" s="1"/>
  <c r="AH115" i="44"/>
  <c r="AG115" i="44"/>
  <c r="AD115" i="44"/>
  <c r="S115" i="44"/>
  <c r="P115" i="44"/>
  <c r="Q115" i="44" s="1"/>
  <c r="K115" i="44"/>
  <c r="AF115" i="44" s="1"/>
  <c r="AH114" i="44"/>
  <c r="AD114" i="44"/>
  <c r="S114" i="44"/>
  <c r="P114" i="44"/>
  <c r="Q114" i="44" s="1"/>
  <c r="K114" i="44"/>
  <c r="AF114" i="44" s="1"/>
  <c r="AH113" i="44"/>
  <c r="AD113" i="44"/>
  <c r="S113" i="44"/>
  <c r="P113" i="44"/>
  <c r="K113" i="44"/>
  <c r="AF113" i="44" s="1"/>
  <c r="AH112" i="44"/>
  <c r="AD112" i="44"/>
  <c r="S112" i="44"/>
  <c r="P112" i="44"/>
  <c r="M166" i="42" s="1"/>
  <c r="K112" i="44"/>
  <c r="AF112" i="44" s="1"/>
  <c r="AQ107" i="44"/>
  <c r="AQ158" i="44" s="1"/>
  <c r="AO107" i="44"/>
  <c r="AM107" i="44"/>
  <c r="AK107" i="44"/>
  <c r="AH105" i="44"/>
  <c r="AD105" i="44"/>
  <c r="S105" i="44"/>
  <c r="P105" i="44"/>
  <c r="Q105" i="44" s="1"/>
  <c r="K105" i="44"/>
  <c r="AF105" i="44" s="1"/>
  <c r="AH104" i="44"/>
  <c r="AD104" i="44"/>
  <c r="S104" i="44"/>
  <c r="N104" i="44"/>
  <c r="P104" i="44" s="1"/>
  <c r="K104" i="44"/>
  <c r="AF104" i="44" s="1"/>
  <c r="AH103" i="44"/>
  <c r="AD103" i="44"/>
  <c r="S103" i="44"/>
  <c r="N103" i="44"/>
  <c r="P103" i="44" s="1"/>
  <c r="Q103" i="44" s="1"/>
  <c r="K103" i="44"/>
  <c r="AF103" i="44" s="1"/>
  <c r="AH102" i="44"/>
  <c r="AD102" i="44"/>
  <c r="S102" i="44"/>
  <c r="P102" i="44"/>
  <c r="Q102" i="44" s="1"/>
  <c r="K102" i="44"/>
  <c r="AF102" i="44" s="1"/>
  <c r="AH101" i="44"/>
  <c r="AD101" i="44"/>
  <c r="S101" i="44"/>
  <c r="P101" i="44"/>
  <c r="Q101" i="44" s="1"/>
  <c r="K101" i="44"/>
  <c r="AF101" i="44" s="1"/>
  <c r="AH100" i="44"/>
  <c r="AD100" i="44"/>
  <c r="S100" i="44"/>
  <c r="P100" i="44"/>
  <c r="Q100" i="44" s="1"/>
  <c r="K100" i="44"/>
  <c r="AF100" i="44" s="1"/>
  <c r="AH99" i="44"/>
  <c r="AD99" i="44"/>
  <c r="S99" i="44"/>
  <c r="P99" i="44"/>
  <c r="Q99" i="44" s="1"/>
  <c r="K99" i="44"/>
  <c r="AF99" i="44" s="1"/>
  <c r="AH98" i="44"/>
  <c r="AD98" i="44"/>
  <c r="S98" i="44"/>
  <c r="P98" i="44"/>
  <c r="Q98" i="44" s="1"/>
  <c r="K98" i="44"/>
  <c r="AF98" i="44" s="1"/>
  <c r="AH97" i="44"/>
  <c r="AD97" i="44"/>
  <c r="S97" i="44"/>
  <c r="N97" i="44"/>
  <c r="P97" i="44" s="1"/>
  <c r="Q97" i="44" s="1"/>
  <c r="K97" i="44"/>
  <c r="AF97" i="44" s="1"/>
  <c r="AH96" i="44"/>
  <c r="AD96" i="44"/>
  <c r="S96" i="44"/>
  <c r="P96" i="44"/>
  <c r="Q96" i="44" s="1"/>
  <c r="K96" i="44"/>
  <c r="AF96" i="44" s="1"/>
  <c r="AH95" i="44"/>
  <c r="AD95" i="44"/>
  <c r="S95" i="44"/>
  <c r="P95" i="44"/>
  <c r="Q95" i="44" s="1"/>
  <c r="K95" i="44"/>
  <c r="AF95" i="44" s="1"/>
  <c r="AH94" i="44"/>
  <c r="AD94" i="44"/>
  <c r="S94" i="44"/>
  <c r="P94" i="44"/>
  <c r="Q94" i="44" s="1"/>
  <c r="K94" i="44"/>
  <c r="AF94" i="44" s="1"/>
  <c r="AH93" i="44"/>
  <c r="AD93" i="44"/>
  <c r="S93" i="44"/>
  <c r="P93" i="44"/>
  <c r="Q93" i="44" s="1"/>
  <c r="K93" i="44"/>
  <c r="AF93" i="44"/>
  <c r="AH92" i="44"/>
  <c r="AD92" i="44"/>
  <c r="S92" i="44"/>
  <c r="P92" i="44"/>
  <c r="Q92" i="44" s="1"/>
  <c r="K92" i="44"/>
  <c r="AF92" i="44" s="1"/>
  <c r="AH91" i="44"/>
  <c r="AG91" i="44"/>
  <c r="AD91" i="44"/>
  <c r="S91" i="44"/>
  <c r="P91" i="44"/>
  <c r="M82" i="42" s="1"/>
  <c r="K91" i="44"/>
  <c r="AF91" i="44" s="1"/>
  <c r="AH90" i="44"/>
  <c r="AD90" i="44"/>
  <c r="S90" i="44"/>
  <c r="P90" i="44"/>
  <c r="Q90" i="44" s="1"/>
  <c r="K90" i="44"/>
  <c r="AF90" i="44" s="1"/>
  <c r="AH89" i="44"/>
  <c r="AD89" i="44"/>
  <c r="S89" i="44"/>
  <c r="P89" i="44"/>
  <c r="Q89" i="44" s="1"/>
  <c r="K89" i="44"/>
  <c r="AF89" i="44" s="1"/>
  <c r="AH88" i="44"/>
  <c r="AD88" i="44"/>
  <c r="S88" i="44"/>
  <c r="P88" i="44"/>
  <c r="Q88" i="44" s="1"/>
  <c r="K88" i="44"/>
  <c r="AF88" i="44" s="1"/>
  <c r="AH87" i="44"/>
  <c r="AD87" i="44"/>
  <c r="S87" i="44"/>
  <c r="P87" i="44"/>
  <c r="Q87" i="44" s="1"/>
  <c r="K87" i="44"/>
  <c r="AF87" i="44" s="1"/>
  <c r="AH86" i="44"/>
  <c r="AD86" i="44"/>
  <c r="S86" i="44"/>
  <c r="P86" i="44"/>
  <c r="Q86" i="44" s="1"/>
  <c r="K86" i="44"/>
  <c r="AF86" i="44" s="1"/>
  <c r="AH85" i="44"/>
  <c r="AD85" i="44"/>
  <c r="S85" i="44"/>
  <c r="P85" i="44"/>
  <c r="Q85" i="44" s="1"/>
  <c r="K85" i="44"/>
  <c r="AF85" i="44" s="1"/>
  <c r="AH84" i="44"/>
  <c r="AD84" i="44"/>
  <c r="S84" i="44"/>
  <c r="P84" i="44"/>
  <c r="Q84" i="44" s="1"/>
  <c r="K84" i="44"/>
  <c r="AF84" i="44" s="1"/>
  <c r="AH83" i="44"/>
  <c r="AD83" i="44"/>
  <c r="S83" i="44"/>
  <c r="P83" i="44"/>
  <c r="Q83" i="44" s="1"/>
  <c r="K83" i="44"/>
  <c r="AF83" i="44" s="1"/>
  <c r="AH82" i="44"/>
  <c r="AD82" i="44"/>
  <c r="S82" i="44"/>
  <c r="P82" i="44"/>
  <c r="Q82" i="44" s="1"/>
  <c r="K82" i="44"/>
  <c r="AF82" i="44" s="1"/>
  <c r="AH81" i="44"/>
  <c r="AD81" i="44"/>
  <c r="S81" i="44"/>
  <c r="P81" i="44"/>
  <c r="Q81" i="44" s="1"/>
  <c r="K81" i="44"/>
  <c r="AF81" i="44" s="1"/>
  <c r="AH80" i="44"/>
  <c r="AD80" i="44"/>
  <c r="S80" i="44"/>
  <c r="P80" i="44"/>
  <c r="Q80" i="44" s="1"/>
  <c r="K80" i="44"/>
  <c r="AF80" i="44" s="1"/>
  <c r="AH79" i="44"/>
  <c r="AD79" i="44"/>
  <c r="S79" i="44"/>
  <c r="P79" i="44"/>
  <c r="Q79" i="44" s="1"/>
  <c r="K79" i="44"/>
  <c r="AF79" i="44" s="1"/>
  <c r="AH78" i="44"/>
  <c r="AD78" i="44"/>
  <c r="S78" i="44"/>
  <c r="P78" i="44"/>
  <c r="Q78" i="44" s="1"/>
  <c r="K78" i="44"/>
  <c r="AF78" i="44" s="1"/>
  <c r="AH77" i="44"/>
  <c r="AD77" i="44"/>
  <c r="S77" i="44"/>
  <c r="P77" i="44"/>
  <c r="Q77" i="44" s="1"/>
  <c r="K77" i="44"/>
  <c r="AF77" i="44" s="1"/>
  <c r="AH76" i="44"/>
  <c r="AD76" i="44"/>
  <c r="S76" i="44"/>
  <c r="P76" i="44"/>
  <c r="Q76" i="44" s="1"/>
  <c r="K76" i="44"/>
  <c r="AF76" i="44" s="1"/>
  <c r="AH75" i="44"/>
  <c r="AD75" i="44"/>
  <c r="S75" i="44"/>
  <c r="P75" i="44"/>
  <c r="Q75" i="44" s="1"/>
  <c r="K75" i="44"/>
  <c r="AF75" i="44" s="1"/>
  <c r="AH74" i="44"/>
  <c r="AD74" i="44"/>
  <c r="S74" i="44"/>
  <c r="P74" i="44"/>
  <c r="Q74" i="44" s="1"/>
  <c r="K74" i="44"/>
  <c r="AF74" i="44" s="1"/>
  <c r="AH73" i="44"/>
  <c r="AD73" i="44"/>
  <c r="S73" i="44"/>
  <c r="P73" i="44"/>
  <c r="Q73" i="44" s="1"/>
  <c r="K73" i="44"/>
  <c r="AF73" i="44" s="1"/>
  <c r="AH72" i="44"/>
  <c r="AD72" i="44"/>
  <c r="S72" i="44"/>
  <c r="P72" i="44"/>
  <c r="Q72" i="44" s="1"/>
  <c r="K72" i="44"/>
  <c r="AF72" i="44"/>
  <c r="AH71" i="44"/>
  <c r="AD71" i="44"/>
  <c r="S71" i="44"/>
  <c r="P71" i="44"/>
  <c r="Q71" i="44" s="1"/>
  <c r="K71" i="44"/>
  <c r="AF71" i="44" s="1"/>
  <c r="AH70" i="44"/>
  <c r="AD70" i="44"/>
  <c r="S70" i="44"/>
  <c r="P70" i="44"/>
  <c r="Q70" i="44" s="1"/>
  <c r="K70" i="44"/>
  <c r="AF70" i="44" s="1"/>
  <c r="AH69" i="44"/>
  <c r="AD69" i="44"/>
  <c r="S69" i="44"/>
  <c r="P69" i="44"/>
  <c r="Q69" i="44" s="1"/>
  <c r="K69" i="44"/>
  <c r="AF69" i="44" s="1"/>
  <c r="AH68" i="44"/>
  <c r="AD68" i="44"/>
  <c r="S68" i="44"/>
  <c r="P68" i="44"/>
  <c r="Q68" i="44" s="1"/>
  <c r="K68" i="44"/>
  <c r="AF68" i="44" s="1"/>
  <c r="AH67" i="44"/>
  <c r="AD67" i="44"/>
  <c r="S67" i="44"/>
  <c r="P67" i="44"/>
  <c r="Q67" i="44" s="1"/>
  <c r="K67" i="44"/>
  <c r="AF67" i="44" s="1"/>
  <c r="AH66" i="44"/>
  <c r="AD66" i="44"/>
  <c r="S66" i="44"/>
  <c r="P66" i="44"/>
  <c r="Q66" i="44" s="1"/>
  <c r="K66" i="44"/>
  <c r="AF66" i="44" s="1"/>
  <c r="AH65" i="44"/>
  <c r="AD65" i="44"/>
  <c r="S65" i="44"/>
  <c r="P65" i="44"/>
  <c r="Q65" i="44" s="1"/>
  <c r="K65" i="44"/>
  <c r="AF65" i="44" s="1"/>
  <c r="AH64" i="44"/>
  <c r="AD64" i="44"/>
  <c r="S64" i="44"/>
  <c r="P64" i="44"/>
  <c r="Q64" i="44" s="1"/>
  <c r="K64" i="44"/>
  <c r="AF64" i="44" s="1"/>
  <c r="AH63" i="44"/>
  <c r="AD63" i="44"/>
  <c r="S63" i="44"/>
  <c r="P63" i="44"/>
  <c r="M62" i="42" s="1"/>
  <c r="N62" i="42" s="1"/>
  <c r="O62" i="42" s="1"/>
  <c r="P62" i="42" s="1"/>
  <c r="K63" i="44"/>
  <c r="AF63" i="44" s="1"/>
  <c r="AH62" i="44"/>
  <c r="AD62" i="44"/>
  <c r="S62" i="44"/>
  <c r="P62" i="44"/>
  <c r="Q62" i="44" s="1"/>
  <c r="K62" i="44"/>
  <c r="AF62" i="44" s="1"/>
  <c r="AH61" i="44"/>
  <c r="AD61" i="44"/>
  <c r="S61" i="44"/>
  <c r="P61" i="44"/>
  <c r="Q61" i="44" s="1"/>
  <c r="K61" i="44"/>
  <c r="AF61" i="44" s="1"/>
  <c r="AH60" i="44"/>
  <c r="AD60" i="44"/>
  <c r="S60" i="44"/>
  <c r="P60" i="44"/>
  <c r="Q60" i="44" s="1"/>
  <c r="K60" i="44"/>
  <c r="AF60" i="44" s="1"/>
  <c r="AH59" i="44"/>
  <c r="AD59" i="44"/>
  <c r="S59" i="44"/>
  <c r="P59" i="44"/>
  <c r="Q59" i="44" s="1"/>
  <c r="K59" i="44"/>
  <c r="AF59" i="44" s="1"/>
  <c r="AH58" i="44"/>
  <c r="AD58" i="44"/>
  <c r="S58" i="44"/>
  <c r="P58" i="44"/>
  <c r="Q58" i="44" s="1"/>
  <c r="K58" i="44"/>
  <c r="AF58" i="44" s="1"/>
  <c r="AH57" i="44"/>
  <c r="AD57" i="44"/>
  <c r="S57" i="44"/>
  <c r="P57" i="44"/>
  <c r="Q57" i="44" s="1"/>
  <c r="K57" i="44"/>
  <c r="AF57" i="44" s="1"/>
  <c r="AH56" i="44"/>
  <c r="AD56" i="44"/>
  <c r="S56" i="44"/>
  <c r="P56" i="44"/>
  <c r="Q56" i="44" s="1"/>
  <c r="K56" i="44"/>
  <c r="AF56" i="44" s="1"/>
  <c r="AH55" i="44"/>
  <c r="AD55" i="44"/>
  <c r="S55" i="44"/>
  <c r="P55" i="44"/>
  <c r="M56" i="42" s="1"/>
  <c r="N56" i="42" s="1"/>
  <c r="K55" i="44"/>
  <c r="AF55" i="44" s="1"/>
  <c r="AH54" i="44"/>
  <c r="AD54" i="44"/>
  <c r="S54" i="44"/>
  <c r="P54" i="44"/>
  <c r="Q54" i="44" s="1"/>
  <c r="K54" i="44"/>
  <c r="AF54" i="44" s="1"/>
  <c r="AH53" i="44"/>
  <c r="AD53" i="44"/>
  <c r="S53" i="44"/>
  <c r="P53" i="44"/>
  <c r="Q53" i="44" s="1"/>
  <c r="K53" i="44"/>
  <c r="AF53" i="44" s="1"/>
  <c r="AQ48" i="44"/>
  <c r="AO48" i="44"/>
  <c r="AM48" i="44"/>
  <c r="AK48" i="44"/>
  <c r="AK158" i="44" s="1"/>
  <c r="O48" i="44"/>
  <c r="N48" i="44"/>
  <c r="AH46" i="44"/>
  <c r="AD46" i="44"/>
  <c r="S46" i="44"/>
  <c r="P46" i="44"/>
  <c r="Q46" i="44" s="1"/>
  <c r="K46" i="44"/>
  <c r="AF46" i="44" s="1"/>
  <c r="AH45" i="44"/>
  <c r="AD45" i="44"/>
  <c r="S45" i="44"/>
  <c r="P45" i="44"/>
  <c r="Q45" i="44" s="1"/>
  <c r="K45" i="44"/>
  <c r="AF45" i="44" s="1"/>
  <c r="AH44" i="44"/>
  <c r="AD44" i="44"/>
  <c r="S44" i="44"/>
  <c r="P44" i="44"/>
  <c r="Q44" i="44" s="1"/>
  <c r="K44" i="44"/>
  <c r="AF44" i="44" s="1"/>
  <c r="AH43" i="44"/>
  <c r="AD43" i="44"/>
  <c r="S43" i="44"/>
  <c r="P43" i="44"/>
  <c r="Q43" i="44" s="1"/>
  <c r="K43" i="44"/>
  <c r="AF43" i="44"/>
  <c r="AH42" i="44"/>
  <c r="AD42" i="44"/>
  <c r="S42" i="44"/>
  <c r="P42" i="44"/>
  <c r="Q42" i="44" s="1"/>
  <c r="K42" i="44"/>
  <c r="AF42" i="44" s="1"/>
  <c r="AH41" i="44"/>
  <c r="AD41" i="44"/>
  <c r="S41" i="44"/>
  <c r="P41" i="44"/>
  <c r="Q41" i="44" s="1"/>
  <c r="K41" i="44"/>
  <c r="AF41" i="44" s="1"/>
  <c r="AH40" i="44"/>
  <c r="AD40" i="44"/>
  <c r="S40" i="44"/>
  <c r="P40" i="44"/>
  <c r="Q40" i="44" s="1"/>
  <c r="K40" i="44"/>
  <c r="AF40" i="44" s="1"/>
  <c r="AH39" i="44"/>
  <c r="AD39" i="44"/>
  <c r="S39" i="44"/>
  <c r="P39" i="44"/>
  <c r="Q39" i="44" s="1"/>
  <c r="K39" i="44"/>
  <c r="AF39" i="44" s="1"/>
  <c r="AH38" i="44"/>
  <c r="AD38" i="44"/>
  <c r="S38" i="44"/>
  <c r="P38" i="44"/>
  <c r="Q38" i="44" s="1"/>
  <c r="K38" i="44"/>
  <c r="AF38" i="44" s="1"/>
  <c r="AH37" i="44"/>
  <c r="AD37" i="44"/>
  <c r="S37" i="44"/>
  <c r="P37" i="44"/>
  <c r="Q37" i="44"/>
  <c r="K37" i="44"/>
  <c r="AF37" i="44" s="1"/>
  <c r="AH36" i="44"/>
  <c r="AD36" i="44"/>
  <c r="S36" i="44"/>
  <c r="P36" i="44"/>
  <c r="Q36" i="44" s="1"/>
  <c r="K36" i="44"/>
  <c r="AF36" i="44" s="1"/>
  <c r="AH35" i="44"/>
  <c r="AD35" i="44"/>
  <c r="S35" i="44"/>
  <c r="Q35" i="44"/>
  <c r="P35" i="44"/>
  <c r="K35" i="44"/>
  <c r="AF35" i="44" s="1"/>
  <c r="AH34" i="44"/>
  <c r="AD34" i="44"/>
  <c r="S34" i="44"/>
  <c r="P34" i="44"/>
  <c r="Q34" i="44" s="1"/>
  <c r="K34" i="44"/>
  <c r="AF34" i="44" s="1"/>
  <c r="AH33" i="44"/>
  <c r="AD33" i="44"/>
  <c r="S33" i="44"/>
  <c r="P33" i="44"/>
  <c r="Q33" i="44" s="1"/>
  <c r="K33" i="44"/>
  <c r="AF33" i="44" s="1"/>
  <c r="AH32" i="44"/>
  <c r="AD32" i="44"/>
  <c r="S32" i="44"/>
  <c r="P32" i="44"/>
  <c r="Q32" i="44" s="1"/>
  <c r="K32" i="44"/>
  <c r="AF32" i="44" s="1"/>
  <c r="AH31" i="44"/>
  <c r="AD31" i="44"/>
  <c r="S31" i="44"/>
  <c r="P31" i="44"/>
  <c r="Q31" i="44" s="1"/>
  <c r="K31" i="44"/>
  <c r="AF31" i="44" s="1"/>
  <c r="AH30" i="44"/>
  <c r="AD30" i="44"/>
  <c r="S30" i="44"/>
  <c r="P30" i="44"/>
  <c r="Q30" i="44" s="1"/>
  <c r="K30" i="44"/>
  <c r="AF30" i="44" s="1"/>
  <c r="AH29" i="44"/>
  <c r="AD29" i="44"/>
  <c r="S29" i="44"/>
  <c r="Q29" i="44"/>
  <c r="P29" i="44"/>
  <c r="K29" i="44"/>
  <c r="AF29" i="44" s="1"/>
  <c r="AH28" i="44"/>
  <c r="AD28" i="44"/>
  <c r="S28" i="44"/>
  <c r="P28" i="44"/>
  <c r="Q28" i="44" s="1"/>
  <c r="K28" i="44"/>
  <c r="AF28" i="44" s="1"/>
  <c r="AH27" i="44"/>
  <c r="AD27" i="44"/>
  <c r="S27" i="44"/>
  <c r="Q27" i="44"/>
  <c r="P27" i="44"/>
  <c r="K27" i="44"/>
  <c r="AF27" i="44" s="1"/>
  <c r="AQ22" i="44"/>
  <c r="AO22" i="44"/>
  <c r="AM22" i="44"/>
  <c r="AK22" i="44"/>
  <c r="Z22" i="44"/>
  <c r="W22" i="44"/>
  <c r="U22" i="44"/>
  <c r="T22" i="44"/>
  <c r="S22" i="44"/>
  <c r="O22" i="44"/>
  <c r="N22" i="44"/>
  <c r="M22" i="44"/>
  <c r="AH20" i="44"/>
  <c r="AD20" i="44"/>
  <c r="S20" i="44"/>
  <c r="P20" i="44"/>
  <c r="Q20" i="44" s="1"/>
  <c r="K20" i="44"/>
  <c r="AF20" i="44" s="1"/>
  <c r="AH19" i="44"/>
  <c r="AD19" i="44"/>
  <c r="S19" i="44"/>
  <c r="P19" i="44"/>
  <c r="Q19" i="44" s="1"/>
  <c r="K19" i="44"/>
  <c r="AF19" i="44" s="1"/>
  <c r="AH18" i="44"/>
  <c r="AD18" i="44"/>
  <c r="S18" i="44"/>
  <c r="P18" i="44"/>
  <c r="Q18" i="44" s="1"/>
  <c r="K18" i="44"/>
  <c r="AF18" i="44" s="1"/>
  <c r="AH17" i="44"/>
  <c r="AD17" i="44"/>
  <c r="S17" i="44"/>
  <c r="P17" i="44"/>
  <c r="Q17" i="44" s="1"/>
  <c r="K17" i="44"/>
  <c r="AF17" i="44" s="1"/>
  <c r="AH16" i="44"/>
  <c r="AD16" i="44"/>
  <c r="S16" i="44"/>
  <c r="P16" i="44"/>
  <c r="Q16" i="44" s="1"/>
  <c r="K16" i="44"/>
  <c r="AF16" i="44" s="1"/>
  <c r="AH15" i="44"/>
  <c r="AD15" i="44"/>
  <c r="S15" i="44"/>
  <c r="P15" i="44"/>
  <c r="Q15" i="44" s="1"/>
  <c r="K15" i="44"/>
  <c r="AF15" i="44" s="1"/>
  <c r="AH14" i="44"/>
  <c r="AD14" i="44"/>
  <c r="S14" i="44"/>
  <c r="P14" i="44"/>
  <c r="Q14" i="44" s="1"/>
  <c r="K14" i="44"/>
  <c r="AF14" i="44" s="1"/>
  <c r="AH13" i="44"/>
  <c r="AD13" i="44"/>
  <c r="S13" i="44"/>
  <c r="P13" i="44"/>
  <c r="Q13" i="44" s="1"/>
  <c r="K13" i="44"/>
  <c r="AF13" i="44" s="1"/>
  <c r="AH12" i="44"/>
  <c r="AD12" i="44"/>
  <c r="S12" i="44"/>
  <c r="P12" i="44"/>
  <c r="Q12" i="44" s="1"/>
  <c r="K12" i="44"/>
  <c r="AF12" i="44" s="1"/>
  <c r="X11" i="44"/>
  <c r="AA11" i="44" s="1"/>
  <c r="P4" i="44"/>
  <c r="P3" i="44"/>
  <c r="P2" i="44"/>
  <c r="Q112" i="44"/>
  <c r="AJ117" i="44"/>
  <c r="AP117" i="44" s="1"/>
  <c r="AN117" i="44"/>
  <c r="AM158" i="44"/>
  <c r="N333" i="17"/>
  <c r="O333" i="17" s="1"/>
  <c r="M269" i="17"/>
  <c r="N269" i="17" s="1"/>
  <c r="O269" i="17" s="1"/>
  <c r="M226" i="17"/>
  <c r="N226" i="17" s="1"/>
  <c r="O226" i="17" s="1"/>
  <c r="M275" i="17"/>
  <c r="N275" i="17" s="1"/>
  <c r="O275" i="17" s="1"/>
  <c r="J217" i="17"/>
  <c r="I218" i="17" s="1"/>
  <c r="J218" i="17" s="1"/>
  <c r="K218" i="17" s="1"/>
  <c r="J231" i="17"/>
  <c r="J248" i="17"/>
  <c r="J303" i="17"/>
  <c r="K303" i="17" s="1"/>
  <c r="J307" i="17"/>
  <c r="K307" i="17" s="1"/>
  <c r="J227" i="17"/>
  <c r="J310" i="17"/>
  <c r="I311" i="17" s="1"/>
  <c r="J295" i="17"/>
  <c r="K295" i="17" s="1"/>
  <c r="J297" i="17"/>
  <c r="I298" i="17" s="1"/>
  <c r="J298" i="17" s="1"/>
  <c r="K298" i="17" s="1"/>
  <c r="J326" i="17"/>
  <c r="J328" i="17"/>
  <c r="K328" i="17" s="1"/>
  <c r="J312" i="17"/>
  <c r="K312" i="17" s="1"/>
  <c r="J134" i="17"/>
  <c r="K134" i="17" s="1"/>
  <c r="J305" i="17"/>
  <c r="I306" i="17" s="1"/>
  <c r="J306" i="17" s="1"/>
  <c r="K306" i="17" s="1"/>
  <c r="J138" i="17"/>
  <c r="K138" i="17" s="1"/>
  <c r="J309" i="17"/>
  <c r="K309" i="17" s="1"/>
  <c r="J229" i="17"/>
  <c r="K229" i="17" s="1"/>
  <c r="J140" i="17"/>
  <c r="K140" i="17" s="1"/>
  <c r="J142" i="17"/>
  <c r="K142" i="17" s="1"/>
  <c r="J145" i="17"/>
  <c r="K145" i="17" s="1"/>
  <c r="J150" i="17"/>
  <c r="K150" i="17" s="1"/>
  <c r="J151" i="17"/>
  <c r="K151" i="17" s="1"/>
  <c r="J152" i="17"/>
  <c r="K152" i="17" s="1"/>
  <c r="J153" i="17"/>
  <c r="K153" i="17" s="1"/>
  <c r="J219" i="17"/>
  <c r="M309" i="17"/>
  <c r="N309" i="17" s="1"/>
  <c r="O309" i="17" s="1"/>
  <c r="M229" i="17"/>
  <c r="N229" i="17" s="1"/>
  <c r="O229" i="17" s="1"/>
  <c r="M145" i="17"/>
  <c r="N145" i="17" s="1"/>
  <c r="O145" i="17" s="1"/>
  <c r="M152" i="17"/>
  <c r="N152" i="17" s="1"/>
  <c r="O152" i="17" s="1"/>
  <c r="J234" i="17"/>
  <c r="J236" i="17"/>
  <c r="J85" i="17"/>
  <c r="K85" i="17" s="1"/>
  <c r="J87" i="17"/>
  <c r="K87" i="17" s="1"/>
  <c r="J89" i="17"/>
  <c r="K89" i="17" s="1"/>
  <c r="J91" i="17"/>
  <c r="I92" i="17" s="1"/>
  <c r="J92" i="17" s="1"/>
  <c r="K92" i="17" s="1"/>
  <c r="J93" i="17"/>
  <c r="K93" i="17" s="1"/>
  <c r="J95" i="17"/>
  <c r="K95" i="17" s="1"/>
  <c r="J97" i="17"/>
  <c r="K97" i="17" s="1"/>
  <c r="P97" i="17" s="1"/>
  <c r="J99" i="17"/>
  <c r="I100" i="17" s="1"/>
  <c r="J100" i="17" s="1"/>
  <c r="K100" i="17" s="1"/>
  <c r="J101" i="17"/>
  <c r="K101" i="17" s="1"/>
  <c r="J316" i="17"/>
  <c r="K316" i="17" s="1"/>
  <c r="J317" i="17"/>
  <c r="K317" i="17" s="1"/>
  <c r="J243" i="17"/>
  <c r="K243" i="17" s="1"/>
  <c r="J244" i="17"/>
  <c r="K244" i="17" s="1"/>
  <c r="J103" i="17"/>
  <c r="K103" i="17" s="1"/>
  <c r="J245" i="17"/>
  <c r="K245" i="17" s="1"/>
  <c r="P245" i="17" s="1"/>
  <c r="J104" i="17"/>
  <c r="K104" i="17" s="1"/>
  <c r="J105" i="17"/>
  <c r="K105" i="17" s="1"/>
  <c r="J106" i="17"/>
  <c r="K106" i="17" s="1"/>
  <c r="J107" i="17"/>
  <c r="K107" i="17" s="1"/>
  <c r="J108" i="17"/>
  <c r="K108" i="17" s="1"/>
  <c r="J109" i="17"/>
  <c r="K109" i="17" s="1"/>
  <c r="J110" i="17"/>
  <c r="K110" i="17" s="1"/>
  <c r="J318" i="17"/>
  <c r="K318" i="17" s="1"/>
  <c r="P318" i="17" s="1"/>
  <c r="J111" i="17"/>
  <c r="K111" i="17" s="1"/>
  <c r="J112" i="17"/>
  <c r="K112" i="17" s="1"/>
  <c r="J113" i="17"/>
  <c r="K113" i="17" s="1"/>
  <c r="J114" i="17"/>
  <c r="K114" i="17" s="1"/>
  <c r="J115" i="17"/>
  <c r="K115" i="17" s="1"/>
  <c r="J241" i="17"/>
  <c r="M316" i="17"/>
  <c r="N316" i="17" s="1"/>
  <c r="O316" i="17" s="1"/>
  <c r="M317" i="17"/>
  <c r="N317" i="17" s="1"/>
  <c r="O317" i="17" s="1"/>
  <c r="M243" i="17"/>
  <c r="N243" i="17" s="1"/>
  <c r="O243" i="17" s="1"/>
  <c r="M244" i="17"/>
  <c r="N244" i="17" s="1"/>
  <c r="O244" i="17" s="1"/>
  <c r="M245" i="17"/>
  <c r="N245" i="17" s="1"/>
  <c r="O245" i="17" s="1"/>
  <c r="M104" i="17"/>
  <c r="N104" i="17" s="1"/>
  <c r="O104" i="17" s="1"/>
  <c r="M105" i="17"/>
  <c r="N105" i="17" s="1"/>
  <c r="O105" i="17" s="1"/>
  <c r="M106" i="17"/>
  <c r="N106" i="17" s="1"/>
  <c r="O106" i="17" s="1"/>
  <c r="M107" i="17"/>
  <c r="N107" i="17" s="1"/>
  <c r="O107" i="17" s="1"/>
  <c r="M108" i="17"/>
  <c r="N108" i="17" s="1"/>
  <c r="O108" i="17" s="1"/>
  <c r="M109" i="17"/>
  <c r="N109" i="17" s="1"/>
  <c r="O109" i="17" s="1"/>
  <c r="M110" i="17"/>
  <c r="N110" i="17" s="1"/>
  <c r="O110" i="17" s="1"/>
  <c r="M318" i="17"/>
  <c r="N318" i="17" s="1"/>
  <c r="O318" i="17" s="1"/>
  <c r="M111" i="17"/>
  <c r="N111" i="17" s="1"/>
  <c r="O111" i="17" s="1"/>
  <c r="M113" i="17"/>
  <c r="N113" i="17" s="1"/>
  <c r="O113" i="17" s="1"/>
  <c r="M114" i="17"/>
  <c r="N114" i="17" s="1"/>
  <c r="O114" i="17" s="1"/>
  <c r="M115" i="17"/>
  <c r="N115" i="17" s="1"/>
  <c r="O115" i="17" s="1"/>
  <c r="J221" i="17"/>
  <c r="J223" i="17"/>
  <c r="K223" i="17" s="1"/>
  <c r="J13" i="17"/>
  <c r="K13" i="17" s="1"/>
  <c r="J271" i="17"/>
  <c r="J334" i="17"/>
  <c r="J253" i="17"/>
  <c r="J255" i="17"/>
  <c r="J184" i="17"/>
  <c r="K184" i="17" s="1"/>
  <c r="P184" i="17" s="1"/>
  <c r="J185" i="17"/>
  <c r="J276" i="17"/>
  <c r="J319" i="17"/>
  <c r="K319" i="17" s="1"/>
  <c r="J186" i="17"/>
  <c r="J287" i="17"/>
  <c r="J187" i="17"/>
  <c r="K187" i="17" s="1"/>
  <c r="J289" i="17"/>
  <c r="I290" i="17" s="1"/>
  <c r="J290" i="17" s="1"/>
  <c r="K290" i="17" s="1"/>
  <c r="J188" i="17"/>
  <c r="K188" i="17" s="1"/>
  <c r="J291" i="17"/>
  <c r="J293" i="17"/>
  <c r="K293" i="17" s="1"/>
  <c r="J279" i="17"/>
  <c r="J299" i="17"/>
  <c r="K299" i="17" s="1"/>
  <c r="J250" i="17"/>
  <c r="J189" i="17"/>
  <c r="K189" i="17" s="1"/>
  <c r="J330" i="17"/>
  <c r="K330" i="17" s="1"/>
  <c r="J17" i="17"/>
  <c r="K17" i="17" s="1"/>
  <c r="J19" i="17"/>
  <c r="K19" i="17" s="1"/>
  <c r="P19" i="17" s="1"/>
  <c r="J21" i="17"/>
  <c r="I22" i="17" s="1"/>
  <c r="J22" i="17" s="1"/>
  <c r="K22" i="17" s="1"/>
  <c r="J238" i="17"/>
  <c r="J172" i="17"/>
  <c r="J285" i="17"/>
  <c r="K285" i="17" s="1"/>
  <c r="J170" i="17"/>
  <c r="K170" i="17" s="1"/>
  <c r="J278" i="17"/>
  <c r="K278" i="17" s="1"/>
  <c r="J23" i="17"/>
  <c r="K23" i="17" s="1"/>
  <c r="J230" i="17"/>
  <c r="K230" i="17" s="1"/>
  <c r="P230" i="17" s="1"/>
  <c r="J25" i="17"/>
  <c r="K25" i="17" s="1"/>
  <c r="J26" i="17"/>
  <c r="K26" i="17" s="1"/>
  <c r="J28" i="17"/>
  <c r="J30" i="17"/>
  <c r="K30" i="17" s="1"/>
  <c r="J32" i="17"/>
  <c r="K32" i="17" s="1"/>
  <c r="J174" i="17"/>
  <c r="I175" i="17" s="1"/>
  <c r="J175" i="17" s="1"/>
  <c r="K175" i="17" s="1"/>
  <c r="J33" i="17"/>
  <c r="K33" i="17" s="1"/>
  <c r="J35" i="17"/>
  <c r="K35" i="17" s="1"/>
  <c r="P35" i="17" s="1"/>
  <c r="J143" i="17"/>
  <c r="K143" i="17" s="1"/>
  <c r="J194" i="17"/>
  <c r="K194" i="17" s="1"/>
  <c r="J195" i="17"/>
  <c r="K195" i="17" s="1"/>
  <c r="J144" i="17"/>
  <c r="K144" i="17" s="1"/>
  <c r="J167" i="17"/>
  <c r="K167" i="17" s="1"/>
  <c r="J146" i="17"/>
  <c r="K146" i="17" s="1"/>
  <c r="J147" i="17"/>
  <c r="K147" i="17" s="1"/>
  <c r="J148" i="17"/>
  <c r="K148" i="17" s="1"/>
  <c r="J36" i="17"/>
  <c r="K36" i="17" s="1"/>
  <c r="J37" i="17"/>
  <c r="K37" i="17" s="1"/>
  <c r="J284" i="17"/>
  <c r="K284" i="17" s="1"/>
  <c r="J240" i="17"/>
  <c r="K240" i="17" s="1"/>
  <c r="J149" i="17"/>
  <c r="K149" i="17" s="1"/>
  <c r="J38" i="17"/>
  <c r="K38" i="17" s="1"/>
  <c r="J252" i="17"/>
  <c r="K252" i="17" s="1"/>
  <c r="J39" i="17"/>
  <c r="K39" i="17" s="1"/>
  <c r="P39" i="17" s="1"/>
  <c r="J40" i="17"/>
  <c r="K40" i="17" s="1"/>
  <c r="M278" i="17"/>
  <c r="N278" i="17" s="1"/>
  <c r="O278" i="17" s="1"/>
  <c r="M230" i="17"/>
  <c r="N230" i="17" s="1"/>
  <c r="O230" i="17" s="1"/>
  <c r="M25" i="17"/>
  <c r="N25" i="17" s="1"/>
  <c r="O25" i="17" s="1"/>
  <c r="N194" i="17"/>
  <c r="O194" i="17" s="1"/>
  <c r="M195" i="17"/>
  <c r="N195" i="17" s="1"/>
  <c r="O195" i="17" s="1"/>
  <c r="M144" i="17"/>
  <c r="N144" i="17" s="1"/>
  <c r="O144" i="17" s="1"/>
  <c r="M167" i="17"/>
  <c r="M146" i="17"/>
  <c r="N146" i="17" s="1"/>
  <c r="O146" i="17" s="1"/>
  <c r="M147" i="17"/>
  <c r="N147" i="17" s="1"/>
  <c r="O147" i="17" s="1"/>
  <c r="M36" i="17"/>
  <c r="N36" i="17" s="1"/>
  <c r="O36" i="17" s="1"/>
  <c r="M37" i="17"/>
  <c r="N37" i="17" s="1"/>
  <c r="O37" i="17" s="1"/>
  <c r="M284" i="17"/>
  <c r="N284" i="17" s="1"/>
  <c r="O284" i="17" s="1"/>
  <c r="M149" i="17"/>
  <c r="N149" i="17" s="1"/>
  <c r="O149" i="17" s="1"/>
  <c r="M38" i="17"/>
  <c r="N38" i="17" s="1"/>
  <c r="O38" i="17" s="1"/>
  <c r="M252" i="17"/>
  <c r="N252" i="17" s="1"/>
  <c r="O252" i="17" s="1"/>
  <c r="M40" i="17"/>
  <c r="N40" i="17" s="1"/>
  <c r="O40" i="17" s="1"/>
  <c r="J246" i="17"/>
  <c r="AH277" i="43"/>
  <c r="AG277" i="43"/>
  <c r="AE277" i="43"/>
  <c r="AD277" i="43"/>
  <c r="S277" i="43"/>
  <c r="P277" i="43"/>
  <c r="Q277" i="43" s="1"/>
  <c r="K277" i="43"/>
  <c r="AF277" i="43" s="1"/>
  <c r="AH272" i="43"/>
  <c r="AG272" i="43"/>
  <c r="AE272" i="43"/>
  <c r="AD272" i="43"/>
  <c r="S272" i="43"/>
  <c r="P272" i="43"/>
  <c r="Q272" i="43"/>
  <c r="K272" i="43"/>
  <c r="AF272" i="43" s="1"/>
  <c r="AH271" i="43"/>
  <c r="AG271" i="43"/>
  <c r="AE271" i="43"/>
  <c r="AD271" i="43"/>
  <c r="S271" i="43"/>
  <c r="P271" i="43"/>
  <c r="Q271" i="43" s="1"/>
  <c r="K271" i="43"/>
  <c r="AF271" i="43" s="1"/>
  <c r="AH270" i="43"/>
  <c r="AG270" i="43"/>
  <c r="AE270" i="43"/>
  <c r="AD270" i="43"/>
  <c r="S270" i="43"/>
  <c r="P270" i="43"/>
  <c r="Q270" i="43"/>
  <c r="K270" i="43"/>
  <c r="AF270" i="43" s="1"/>
  <c r="AH269" i="43"/>
  <c r="AG269" i="43"/>
  <c r="AE269" i="43"/>
  <c r="AD269" i="43"/>
  <c r="X269" i="43" s="1"/>
  <c r="Y269" i="43" s="1"/>
  <c r="AA269" i="43" s="1"/>
  <c r="S269" i="43"/>
  <c r="P269" i="43"/>
  <c r="Q269" i="43" s="1"/>
  <c r="K269" i="43"/>
  <c r="AF269" i="43" s="1"/>
  <c r="AH268" i="43"/>
  <c r="AG268" i="43"/>
  <c r="AE268" i="43"/>
  <c r="AD268" i="43"/>
  <c r="S268" i="43"/>
  <c r="P268" i="43"/>
  <c r="K268" i="43"/>
  <c r="AF268" i="43"/>
  <c r="AH267" i="43"/>
  <c r="AG267" i="43"/>
  <c r="AE267" i="43"/>
  <c r="AD267" i="43"/>
  <c r="S267" i="43"/>
  <c r="P267" i="43"/>
  <c r="Q267" i="43" s="1"/>
  <c r="R267" i="43" s="1"/>
  <c r="K267" i="43"/>
  <c r="AF267" i="43" s="1"/>
  <c r="AH266" i="43"/>
  <c r="AG266" i="43"/>
  <c r="AE266" i="43"/>
  <c r="AD266" i="43"/>
  <c r="S266" i="43"/>
  <c r="P266" i="43"/>
  <c r="Q266" i="43" s="1"/>
  <c r="K266" i="43"/>
  <c r="AF266" i="43" s="1"/>
  <c r="R266" i="43" s="1"/>
  <c r="AH265" i="43"/>
  <c r="AG265" i="43"/>
  <c r="AE265" i="43"/>
  <c r="AD265" i="43"/>
  <c r="S265" i="43"/>
  <c r="P265" i="43"/>
  <c r="Q265" i="43" s="1"/>
  <c r="K265" i="43"/>
  <c r="AF265" i="43" s="1"/>
  <c r="R265" i="43" s="1"/>
  <c r="T265" i="43" s="1"/>
  <c r="AH262" i="43"/>
  <c r="AG262" i="43"/>
  <c r="AE262" i="43"/>
  <c r="AD262" i="43"/>
  <c r="S262" i="43"/>
  <c r="P262" i="43"/>
  <c r="Q262" i="43" s="1"/>
  <c r="K262" i="43"/>
  <c r="AF262" i="43" s="1"/>
  <c r="AH261" i="43"/>
  <c r="AG261" i="43"/>
  <c r="AE261" i="43"/>
  <c r="AD261" i="43"/>
  <c r="S261" i="43"/>
  <c r="P261" i="43"/>
  <c r="Q261" i="43" s="1"/>
  <c r="K261" i="43"/>
  <c r="AF261" i="43" s="1"/>
  <c r="AH260" i="43"/>
  <c r="AG260" i="43"/>
  <c r="AE260" i="43"/>
  <c r="R260" i="43" s="1"/>
  <c r="AD260" i="43"/>
  <c r="S260" i="43"/>
  <c r="P260" i="43"/>
  <c r="Q260" i="43" s="1"/>
  <c r="K260" i="43"/>
  <c r="AF260" i="43" s="1"/>
  <c r="AH259" i="43"/>
  <c r="AG259" i="43"/>
  <c r="AF259" i="43"/>
  <c r="AE259" i="43"/>
  <c r="AD259" i="43"/>
  <c r="S259" i="43"/>
  <c r="N259" i="43"/>
  <c r="P259" i="43"/>
  <c r="Q259" i="43" s="1"/>
  <c r="K259" i="43"/>
  <c r="AH258" i="43"/>
  <c r="AG258" i="43"/>
  <c r="R258" i="43" s="1"/>
  <c r="T258" i="43" s="1"/>
  <c r="AE258" i="43"/>
  <c r="AD258" i="43"/>
  <c r="S258" i="43"/>
  <c r="P258" i="43"/>
  <c r="Q258" i="43" s="1"/>
  <c r="K258" i="43"/>
  <c r="AF258" i="43" s="1"/>
  <c r="AH257" i="43"/>
  <c r="AG257" i="43"/>
  <c r="AE257" i="43"/>
  <c r="X257" i="43" s="1"/>
  <c r="Y257" i="43" s="1"/>
  <c r="AA257" i="43" s="1"/>
  <c r="AD257" i="43"/>
  <c r="S257" i="43"/>
  <c r="P257" i="43"/>
  <c r="Q257" i="43"/>
  <c r="K257" i="43"/>
  <c r="AF257" i="43" s="1"/>
  <c r="AH256" i="43"/>
  <c r="AG256" i="43"/>
  <c r="AE256" i="43"/>
  <c r="AD256" i="43"/>
  <c r="S256" i="43"/>
  <c r="P256" i="43"/>
  <c r="Q256" i="43" s="1"/>
  <c r="K256" i="43"/>
  <c r="AF256" i="43" s="1"/>
  <c r="AH255" i="43"/>
  <c r="AG255" i="43"/>
  <c r="AE255" i="43"/>
  <c r="AD255" i="43"/>
  <c r="S255" i="43"/>
  <c r="P255" i="43"/>
  <c r="Q255" i="43" s="1"/>
  <c r="K255" i="43"/>
  <c r="AF255" i="43" s="1"/>
  <c r="AH254" i="43"/>
  <c r="AG254" i="43"/>
  <c r="AE254" i="43"/>
  <c r="AD254" i="43"/>
  <c r="S254" i="43"/>
  <c r="P254" i="43"/>
  <c r="Q254" i="43" s="1"/>
  <c r="K254" i="43"/>
  <c r="AF254" i="43" s="1"/>
  <c r="AH253" i="43"/>
  <c r="AG253" i="43"/>
  <c r="AE253" i="43"/>
  <c r="AD253" i="43"/>
  <c r="S253" i="43"/>
  <c r="P253" i="43"/>
  <c r="Q253" i="43" s="1"/>
  <c r="K253" i="43"/>
  <c r="AF253" i="43" s="1"/>
  <c r="AH252" i="43"/>
  <c r="AG252" i="43"/>
  <c r="AE252" i="43"/>
  <c r="AD252" i="43"/>
  <c r="X252" i="43" s="1"/>
  <c r="Y252" i="43" s="1"/>
  <c r="AA252" i="43" s="1"/>
  <c r="S252" i="43"/>
  <c r="P252" i="43"/>
  <c r="Q252" i="43" s="1"/>
  <c r="K252" i="43"/>
  <c r="AF252" i="43"/>
  <c r="AH251" i="43"/>
  <c r="AG251" i="43"/>
  <c r="AE251" i="43"/>
  <c r="AD251" i="43"/>
  <c r="S251" i="43"/>
  <c r="P251" i="43"/>
  <c r="Q251" i="43" s="1"/>
  <c r="K251" i="43"/>
  <c r="AF251" i="43"/>
  <c r="AH250" i="43"/>
  <c r="AG250" i="43"/>
  <c r="AE250" i="43"/>
  <c r="AD250" i="43"/>
  <c r="X250" i="43" s="1"/>
  <c r="Y250" i="43" s="1"/>
  <c r="AA250" i="43" s="1"/>
  <c r="S250" i="43"/>
  <c r="P250" i="43"/>
  <c r="Q250" i="43" s="1"/>
  <c r="K250" i="43"/>
  <c r="AF250" i="43" s="1"/>
  <c r="AH249" i="43"/>
  <c r="AG249" i="43"/>
  <c r="AE249" i="43"/>
  <c r="AD249" i="43"/>
  <c r="S249" i="43"/>
  <c r="N249" i="43"/>
  <c r="P249" i="43" s="1"/>
  <c r="Q249" i="43" s="1"/>
  <c r="K249" i="43"/>
  <c r="AF249" i="43" s="1"/>
  <c r="AH248" i="43"/>
  <c r="AG248" i="43"/>
  <c r="AE248" i="43"/>
  <c r="AD248" i="43"/>
  <c r="S248" i="43"/>
  <c r="P248" i="43"/>
  <c r="Q248" i="43" s="1"/>
  <c r="K248" i="43"/>
  <c r="AF248" i="43" s="1"/>
  <c r="R248" i="43" s="1"/>
  <c r="V248" i="43" s="1"/>
  <c r="AH247" i="43"/>
  <c r="AG247" i="43"/>
  <c r="AE247" i="43"/>
  <c r="AD247" i="43"/>
  <c r="S247" i="43"/>
  <c r="P247" i="43"/>
  <c r="Q247" i="43" s="1"/>
  <c r="K247" i="43"/>
  <c r="AF247" i="43" s="1"/>
  <c r="R247" i="43" s="1"/>
  <c r="V247" i="43" s="1"/>
  <c r="AH246" i="43"/>
  <c r="AG246" i="43"/>
  <c r="AE246" i="43"/>
  <c r="AD246" i="43"/>
  <c r="S246" i="43"/>
  <c r="P246" i="43"/>
  <c r="Q246" i="43" s="1"/>
  <c r="K246" i="43"/>
  <c r="AF246" i="43" s="1"/>
  <c r="AH245" i="43"/>
  <c r="AG245" i="43"/>
  <c r="AE245" i="43"/>
  <c r="AD245" i="43"/>
  <c r="S245" i="43"/>
  <c r="P245" i="43"/>
  <c r="Q245" i="43" s="1"/>
  <c r="K245" i="43"/>
  <c r="AF245" i="43" s="1"/>
  <c r="AH239" i="43"/>
  <c r="AG239" i="43"/>
  <c r="AE239" i="43"/>
  <c r="AD239" i="43"/>
  <c r="S239" i="43"/>
  <c r="P239" i="43"/>
  <c r="Q239" i="43" s="1"/>
  <c r="K239" i="43"/>
  <c r="AF239" i="43" s="1"/>
  <c r="AH238" i="43"/>
  <c r="AG238" i="43"/>
  <c r="AE238" i="43"/>
  <c r="AD238" i="43"/>
  <c r="S238" i="43"/>
  <c r="P238" i="43"/>
  <c r="Q238" i="43"/>
  <c r="K238" i="43"/>
  <c r="AF238" i="43" s="1"/>
  <c r="AH237" i="43"/>
  <c r="AG237" i="43"/>
  <c r="AE237" i="43"/>
  <c r="AD237" i="43"/>
  <c r="S237" i="43"/>
  <c r="P237" i="43"/>
  <c r="Q237" i="43"/>
  <c r="K237" i="43"/>
  <c r="AF237" i="43" s="1"/>
  <c r="X237" i="43" s="1"/>
  <c r="Y237" i="43" s="1"/>
  <c r="AA237" i="43" s="1"/>
  <c r="AH236" i="43"/>
  <c r="AG236" i="43"/>
  <c r="AE236" i="43"/>
  <c r="AD236" i="43"/>
  <c r="S236" i="43"/>
  <c r="P236" i="43"/>
  <c r="Q236" i="43" s="1"/>
  <c r="K236" i="43"/>
  <c r="AF236" i="43" s="1"/>
  <c r="X236" i="43" s="1"/>
  <c r="Y236" i="43" s="1"/>
  <c r="AA236" i="43" s="1"/>
  <c r="AH235" i="43"/>
  <c r="AG235" i="43"/>
  <c r="AE235" i="43"/>
  <c r="AD235" i="43"/>
  <c r="S235" i="43"/>
  <c r="P235" i="43"/>
  <c r="Q235" i="43"/>
  <c r="K235" i="43"/>
  <c r="AF235" i="43" s="1"/>
  <c r="AH234" i="43"/>
  <c r="AG234" i="43"/>
  <c r="AE234" i="43"/>
  <c r="AD234" i="43"/>
  <c r="S234" i="43"/>
  <c r="P234" i="43"/>
  <c r="Q234" i="43" s="1"/>
  <c r="K234" i="43"/>
  <c r="AF234" i="43" s="1"/>
  <c r="AH233" i="43"/>
  <c r="AG233" i="43"/>
  <c r="AE233" i="43"/>
  <c r="AD233" i="43"/>
  <c r="S233" i="43"/>
  <c r="P233" i="43"/>
  <c r="Q233" i="43" s="1"/>
  <c r="K233" i="43"/>
  <c r="AF233" i="43"/>
  <c r="AH232" i="43"/>
  <c r="AG232" i="43"/>
  <c r="AE232" i="43"/>
  <c r="AD232" i="43"/>
  <c r="S232" i="43"/>
  <c r="P232" i="43"/>
  <c r="Q232" i="43" s="1"/>
  <c r="K232" i="43"/>
  <c r="AF232" i="43"/>
  <c r="AH227" i="43"/>
  <c r="AG227" i="43"/>
  <c r="R227" i="43" s="1"/>
  <c r="T227" i="43" s="1"/>
  <c r="AE227" i="43"/>
  <c r="AD227" i="43"/>
  <c r="S227" i="43"/>
  <c r="P227" i="43"/>
  <c r="Q227" i="43" s="1"/>
  <c r="K227" i="43"/>
  <c r="AF227" i="43" s="1"/>
  <c r="AH226" i="43"/>
  <c r="AG226" i="43"/>
  <c r="R226" i="43" s="1"/>
  <c r="V226" i="43" s="1"/>
  <c r="AE226" i="43"/>
  <c r="AD226" i="43"/>
  <c r="S226" i="43"/>
  <c r="P226" i="43"/>
  <c r="Q226" i="43" s="1"/>
  <c r="K226" i="43"/>
  <c r="AF226" i="43" s="1"/>
  <c r="AH225" i="43"/>
  <c r="AG225" i="43"/>
  <c r="AE225" i="43"/>
  <c r="R225" i="43" s="1"/>
  <c r="V225" i="43" s="1"/>
  <c r="AD225" i="43"/>
  <c r="S225" i="43"/>
  <c r="P225" i="43"/>
  <c r="Q225" i="43" s="1"/>
  <c r="K225" i="43"/>
  <c r="AF225" i="43" s="1"/>
  <c r="AH224" i="43"/>
  <c r="AG224" i="43"/>
  <c r="AE224" i="43"/>
  <c r="AD224" i="43"/>
  <c r="S224" i="43"/>
  <c r="P224" i="43"/>
  <c r="Q224" i="43" s="1"/>
  <c r="K224" i="43"/>
  <c r="AF224" i="43"/>
  <c r="AH223" i="43"/>
  <c r="AG223" i="43"/>
  <c r="AE223" i="43"/>
  <c r="AD223" i="43"/>
  <c r="X223" i="43" s="1"/>
  <c r="Y223" i="43" s="1"/>
  <c r="AA223" i="43" s="1"/>
  <c r="S223" i="43"/>
  <c r="P223" i="43"/>
  <c r="Q223" i="43" s="1"/>
  <c r="K223" i="43"/>
  <c r="AF223" i="43" s="1"/>
  <c r="AH222" i="43"/>
  <c r="AG222" i="43"/>
  <c r="AE222" i="43"/>
  <c r="AD222" i="43"/>
  <c r="R222" i="43" s="1"/>
  <c r="S222" i="43"/>
  <c r="P222" i="43"/>
  <c r="Q222" i="43" s="1"/>
  <c r="K222" i="43"/>
  <c r="AF222" i="43" s="1"/>
  <c r="AH221" i="43"/>
  <c r="AG221" i="43"/>
  <c r="AE221" i="43"/>
  <c r="AD221" i="43"/>
  <c r="S221" i="43"/>
  <c r="P221" i="43"/>
  <c r="Q221" i="43" s="1"/>
  <c r="K221" i="43"/>
  <c r="AF221" i="43"/>
  <c r="AH220" i="43"/>
  <c r="AG220" i="43"/>
  <c r="AE220" i="43"/>
  <c r="AD220" i="43"/>
  <c r="S220" i="43"/>
  <c r="P220" i="43"/>
  <c r="K220" i="43"/>
  <c r="AF220" i="43"/>
  <c r="AH219" i="43"/>
  <c r="AG219" i="43"/>
  <c r="AE219" i="43"/>
  <c r="AD219" i="43"/>
  <c r="S219" i="43"/>
  <c r="P219" i="43"/>
  <c r="K219" i="43"/>
  <c r="AF219" i="43" s="1"/>
  <c r="AH218" i="43"/>
  <c r="AG218" i="43"/>
  <c r="AF218" i="43"/>
  <c r="AE218" i="43"/>
  <c r="AD218" i="43"/>
  <c r="S218" i="43"/>
  <c r="P218" i="43"/>
  <c r="Q218" i="43" s="1"/>
  <c r="K218" i="43"/>
  <c r="AH217" i="43"/>
  <c r="AG217" i="43"/>
  <c r="AE217" i="43"/>
  <c r="AD217" i="43"/>
  <c r="S217" i="43"/>
  <c r="P217" i="43"/>
  <c r="Q217" i="43" s="1"/>
  <c r="K217" i="43"/>
  <c r="AF217" i="43" s="1"/>
  <c r="R217" i="43" s="1"/>
  <c r="AH214" i="43"/>
  <c r="AG214" i="43"/>
  <c r="AE214" i="43"/>
  <c r="AD214" i="43"/>
  <c r="S214" i="43"/>
  <c r="P214" i="43"/>
  <c r="Q214" i="43" s="1"/>
  <c r="K214" i="43"/>
  <c r="AF214" i="43" s="1"/>
  <c r="AH211" i="43"/>
  <c r="AG211" i="43"/>
  <c r="AE211" i="43"/>
  <c r="AD211" i="43"/>
  <c r="S211" i="43"/>
  <c r="P211" i="43"/>
  <c r="Q211" i="43"/>
  <c r="K211" i="43"/>
  <c r="AF211" i="43"/>
  <c r="AH210" i="43"/>
  <c r="AG210" i="43"/>
  <c r="AE210" i="43"/>
  <c r="AD210" i="43"/>
  <c r="S210" i="43"/>
  <c r="P210" i="43"/>
  <c r="Q210" i="43" s="1"/>
  <c r="K210" i="43"/>
  <c r="AF210" i="43" s="1"/>
  <c r="AH209" i="43"/>
  <c r="AG209" i="43"/>
  <c r="AE209" i="43"/>
  <c r="AD209" i="43"/>
  <c r="S209" i="43"/>
  <c r="P209" i="43"/>
  <c r="Q209" i="43" s="1"/>
  <c r="K209" i="43"/>
  <c r="AF209" i="43" s="1"/>
  <c r="AH208" i="43"/>
  <c r="AG208" i="43"/>
  <c r="AE208" i="43"/>
  <c r="AD208" i="43"/>
  <c r="S208" i="43"/>
  <c r="P208" i="43"/>
  <c r="Q208" i="43" s="1"/>
  <c r="K208" i="43"/>
  <c r="AF208" i="43"/>
  <c r="AH207" i="43"/>
  <c r="AG207" i="43"/>
  <c r="AE207" i="43"/>
  <c r="AD207" i="43"/>
  <c r="S207" i="43"/>
  <c r="P207" i="43"/>
  <c r="Q207" i="43" s="1"/>
  <c r="K207" i="43"/>
  <c r="AF207" i="43" s="1"/>
  <c r="AH203" i="43"/>
  <c r="AG203" i="43"/>
  <c r="AE203" i="43"/>
  <c r="AD203" i="43"/>
  <c r="S203" i="43"/>
  <c r="P203" i="43"/>
  <c r="Q203" i="43" s="1"/>
  <c r="K203" i="43"/>
  <c r="AF203" i="43" s="1"/>
  <c r="AH185" i="43"/>
  <c r="AG185" i="43"/>
  <c r="AN185" i="43" s="1"/>
  <c r="AE185" i="43"/>
  <c r="AD185" i="43"/>
  <c r="S185" i="43"/>
  <c r="N185" i="43"/>
  <c r="K185" i="43"/>
  <c r="AF185" i="43" s="1"/>
  <c r="AH184" i="43"/>
  <c r="AG184" i="43"/>
  <c r="AE184" i="43"/>
  <c r="AD184" i="43"/>
  <c r="S184" i="43"/>
  <c r="N184" i="43"/>
  <c r="P184" i="43" s="1"/>
  <c r="Q184" i="43" s="1"/>
  <c r="K184" i="43"/>
  <c r="AF184" i="43" s="1"/>
  <c r="AH183" i="43"/>
  <c r="AG183" i="43"/>
  <c r="AE183" i="43"/>
  <c r="AD183" i="43"/>
  <c r="S183" i="43"/>
  <c r="P183" i="43"/>
  <c r="K183" i="43"/>
  <c r="AF183" i="43" s="1"/>
  <c r="AP183" i="43" s="1"/>
  <c r="AH182" i="43"/>
  <c r="AG182" i="43"/>
  <c r="AE182" i="43"/>
  <c r="AD182" i="43"/>
  <c r="S182" i="43"/>
  <c r="P182" i="43"/>
  <c r="K182" i="43"/>
  <c r="AF182" i="43"/>
  <c r="AH181" i="43"/>
  <c r="AG181" i="43"/>
  <c r="AE181" i="43"/>
  <c r="AD181" i="43"/>
  <c r="S181" i="43"/>
  <c r="P181" i="43"/>
  <c r="K181" i="43"/>
  <c r="AF181" i="43" s="1"/>
  <c r="AH180" i="43"/>
  <c r="AG180" i="43"/>
  <c r="AE180" i="43"/>
  <c r="AD180" i="43"/>
  <c r="S180" i="43"/>
  <c r="P180" i="43"/>
  <c r="K180" i="43"/>
  <c r="AF180" i="43" s="1"/>
  <c r="AH179" i="43"/>
  <c r="AG179" i="43"/>
  <c r="AE179" i="43"/>
  <c r="AD179" i="43"/>
  <c r="S179" i="43"/>
  <c r="P179" i="43"/>
  <c r="Q179" i="43"/>
  <c r="K179" i="43"/>
  <c r="AF179" i="43"/>
  <c r="AH178" i="43"/>
  <c r="AG178" i="43"/>
  <c r="AE178" i="43"/>
  <c r="AD178" i="43"/>
  <c r="S178" i="43"/>
  <c r="T178" i="43" s="1"/>
  <c r="P178" i="43"/>
  <c r="K178" i="43"/>
  <c r="AF178" i="43" s="1"/>
  <c r="AH177" i="43"/>
  <c r="AG177" i="43"/>
  <c r="AE177" i="43"/>
  <c r="AD177" i="43"/>
  <c r="S177" i="43"/>
  <c r="P177" i="43"/>
  <c r="K177" i="43"/>
  <c r="AF177" i="43" s="1"/>
  <c r="AH176" i="43"/>
  <c r="AG176" i="43"/>
  <c r="AE176" i="43"/>
  <c r="AD176" i="43"/>
  <c r="S176" i="43"/>
  <c r="P176" i="43"/>
  <c r="K176" i="43"/>
  <c r="AF176" i="43" s="1"/>
  <c r="AH175" i="43"/>
  <c r="AG175" i="43"/>
  <c r="AE175" i="43"/>
  <c r="AD175" i="43"/>
  <c r="S175" i="43"/>
  <c r="N175" i="43"/>
  <c r="P175" i="43" s="1"/>
  <c r="K175" i="43"/>
  <c r="AF175" i="43" s="1"/>
  <c r="X175" i="43" s="1"/>
  <c r="Y175" i="43" s="1"/>
  <c r="AA175" i="43" s="1"/>
  <c r="AH174" i="43"/>
  <c r="AG174" i="43"/>
  <c r="AE174" i="43"/>
  <c r="AD174" i="43"/>
  <c r="S174" i="43"/>
  <c r="P174" i="43"/>
  <c r="K174" i="43"/>
  <c r="AF174" i="43" s="1"/>
  <c r="AH173" i="43"/>
  <c r="AG173" i="43"/>
  <c r="AE173" i="43"/>
  <c r="AD173" i="43"/>
  <c r="S173" i="43"/>
  <c r="P173" i="43"/>
  <c r="K173" i="43"/>
  <c r="AF173" i="43" s="1"/>
  <c r="AH172" i="43"/>
  <c r="AG172" i="43"/>
  <c r="AJ172" i="43" s="1"/>
  <c r="AE172" i="43"/>
  <c r="R172" i="43" s="1"/>
  <c r="AD172" i="43"/>
  <c r="S172" i="43"/>
  <c r="P172" i="43"/>
  <c r="K172" i="43"/>
  <c r="AF172" i="43" s="1"/>
  <c r="AH171" i="43"/>
  <c r="AG171" i="43"/>
  <c r="AE171" i="43"/>
  <c r="AD171" i="43"/>
  <c r="S171" i="43"/>
  <c r="P171" i="43"/>
  <c r="K171" i="43"/>
  <c r="AF171" i="43" s="1"/>
  <c r="AH170" i="43"/>
  <c r="AG170" i="43"/>
  <c r="AE170" i="43"/>
  <c r="AD170" i="43"/>
  <c r="S170" i="43"/>
  <c r="T170" i="43" s="1"/>
  <c r="P170" i="43"/>
  <c r="K170" i="43"/>
  <c r="AF170" i="43" s="1"/>
  <c r="AH169" i="43"/>
  <c r="AG169" i="43"/>
  <c r="AE169" i="43"/>
  <c r="AD169" i="43"/>
  <c r="S169" i="43"/>
  <c r="P169" i="43"/>
  <c r="K169" i="43"/>
  <c r="AF169" i="43" s="1"/>
  <c r="AH162" i="43"/>
  <c r="AG162" i="43"/>
  <c r="AE162" i="43"/>
  <c r="AD162" i="43"/>
  <c r="S162" i="43"/>
  <c r="N162" i="43"/>
  <c r="K162" i="43"/>
  <c r="AF162" i="43" s="1"/>
  <c r="AN162" i="43" s="1"/>
  <c r="AH161" i="43"/>
  <c r="AG161" i="43"/>
  <c r="AE161" i="43"/>
  <c r="AD161" i="43"/>
  <c r="S161" i="43"/>
  <c r="N161" i="43"/>
  <c r="P161" i="43" s="1"/>
  <c r="Q161" i="43" s="1"/>
  <c r="K161" i="43"/>
  <c r="AF161" i="43" s="1"/>
  <c r="AH160" i="43"/>
  <c r="AG160" i="43"/>
  <c r="AE160" i="43"/>
  <c r="AD160" i="43"/>
  <c r="S160" i="43"/>
  <c r="Q160" i="43"/>
  <c r="P160" i="43"/>
  <c r="K160" i="43"/>
  <c r="AF160" i="43" s="1"/>
  <c r="AH159" i="43"/>
  <c r="AG159" i="43"/>
  <c r="AE159" i="43"/>
  <c r="AD159" i="43"/>
  <c r="S159" i="43"/>
  <c r="P159" i="43"/>
  <c r="Q159" i="43" s="1"/>
  <c r="K159" i="43"/>
  <c r="AF159" i="43" s="1"/>
  <c r="AH158" i="43"/>
  <c r="AG158" i="43"/>
  <c r="AE158" i="43"/>
  <c r="AD158" i="43"/>
  <c r="S158" i="43"/>
  <c r="P158" i="43"/>
  <c r="K158" i="43"/>
  <c r="AF158" i="43" s="1"/>
  <c r="AH157" i="43"/>
  <c r="AG157" i="43"/>
  <c r="AE157" i="43"/>
  <c r="AD157" i="43"/>
  <c r="S157" i="43"/>
  <c r="P157" i="43"/>
  <c r="L273" i="17" s="1"/>
  <c r="Q157" i="43"/>
  <c r="K157" i="43"/>
  <c r="AF157" i="43" s="1"/>
  <c r="AP157" i="43" s="1"/>
  <c r="AH156" i="43"/>
  <c r="AG156" i="43"/>
  <c r="AF156" i="43"/>
  <c r="AE156" i="43"/>
  <c r="AD156" i="43"/>
  <c r="S156" i="43"/>
  <c r="P156" i="43"/>
  <c r="K156" i="43"/>
  <c r="AC151" i="43"/>
  <c r="AB151" i="43"/>
  <c r="AA151" i="43"/>
  <c r="V151" i="43"/>
  <c r="R151" i="43"/>
  <c r="Q151" i="43"/>
  <c r="P151" i="43"/>
  <c r="N151" i="43"/>
  <c r="AH143" i="43"/>
  <c r="AG143" i="43"/>
  <c r="AE143" i="43"/>
  <c r="AD143" i="43"/>
  <c r="S143" i="43"/>
  <c r="N143" i="43"/>
  <c r="P143" i="43" s="1"/>
  <c r="Q143" i="43" s="1"/>
  <c r="K143" i="43"/>
  <c r="AF143" i="43" s="1"/>
  <c r="AP143" i="43" s="1"/>
  <c r="AH142" i="43"/>
  <c r="AG142" i="43"/>
  <c r="AE142" i="43"/>
  <c r="AD142" i="43"/>
  <c r="S142" i="43"/>
  <c r="P142" i="43"/>
  <c r="Q142" i="43"/>
  <c r="K142" i="43"/>
  <c r="AF142" i="43" s="1"/>
  <c r="R142" i="43" s="1"/>
  <c r="AH141" i="43"/>
  <c r="AG141" i="43"/>
  <c r="AE141" i="43"/>
  <c r="AD141" i="43"/>
  <c r="S141" i="43"/>
  <c r="N141" i="43"/>
  <c r="P141" i="43" s="1"/>
  <c r="Q141" i="43" s="1"/>
  <c r="K141" i="43"/>
  <c r="AF141" i="43" s="1"/>
  <c r="AH140" i="43"/>
  <c r="AG140" i="43"/>
  <c r="AE140" i="43"/>
  <c r="AD140" i="43"/>
  <c r="S140" i="43"/>
  <c r="N140" i="43"/>
  <c r="P140" i="43" s="1"/>
  <c r="Q140" i="43" s="1"/>
  <c r="K140" i="43"/>
  <c r="AF140" i="43" s="1"/>
  <c r="AH139" i="43"/>
  <c r="AG139" i="43"/>
  <c r="AE139" i="43"/>
  <c r="AD139" i="43"/>
  <c r="S139" i="43"/>
  <c r="P139" i="43"/>
  <c r="Q139" i="43"/>
  <c r="K139" i="43"/>
  <c r="AF139" i="43" s="1"/>
  <c r="AH138" i="43"/>
  <c r="AG138" i="43"/>
  <c r="AE138" i="43"/>
  <c r="AD138" i="43"/>
  <c r="S138" i="43"/>
  <c r="N138" i="43"/>
  <c r="K138" i="43"/>
  <c r="AF138" i="43" s="1"/>
  <c r="AH137" i="43"/>
  <c r="AG137" i="43"/>
  <c r="AE137" i="43"/>
  <c r="AD137" i="43"/>
  <c r="S137" i="43"/>
  <c r="P137" i="43"/>
  <c r="K137" i="43"/>
  <c r="AF137" i="43" s="1"/>
  <c r="AH136" i="43"/>
  <c r="AG136" i="43"/>
  <c r="AE136" i="43"/>
  <c r="AD136" i="43"/>
  <c r="S136" i="43"/>
  <c r="P136" i="43"/>
  <c r="Q136" i="43" s="1"/>
  <c r="K136" i="43"/>
  <c r="AF136" i="43" s="1"/>
  <c r="AH135" i="43"/>
  <c r="AG135" i="43"/>
  <c r="AE135" i="43"/>
  <c r="AD135" i="43"/>
  <c r="S135" i="43"/>
  <c r="P135" i="43"/>
  <c r="Q135" i="43" s="1"/>
  <c r="K135" i="43"/>
  <c r="AF135" i="43" s="1"/>
  <c r="AH134" i="43"/>
  <c r="AG134" i="43"/>
  <c r="AE134" i="43"/>
  <c r="AD134" i="43"/>
  <c r="S134" i="43"/>
  <c r="P134" i="43"/>
  <c r="L138" i="17" s="1"/>
  <c r="K134" i="43"/>
  <c r="AF134" i="43" s="1"/>
  <c r="AH133" i="43"/>
  <c r="AG133" i="43"/>
  <c r="AE133" i="43"/>
  <c r="AD133" i="43"/>
  <c r="S133" i="43"/>
  <c r="P133" i="43"/>
  <c r="L305" i="17" s="1"/>
  <c r="L306" i="17" s="1"/>
  <c r="M306" i="17" s="1"/>
  <c r="K133" i="43"/>
  <c r="AF133" i="43"/>
  <c r="AH132" i="43"/>
  <c r="AG132" i="43"/>
  <c r="AE132" i="43"/>
  <c r="AD132" i="43"/>
  <c r="S132" i="43"/>
  <c r="P132" i="43"/>
  <c r="K132" i="43"/>
  <c r="AF132" i="43" s="1"/>
  <c r="AH131" i="43"/>
  <c r="AG131" i="43"/>
  <c r="AE131" i="43"/>
  <c r="AD131" i="43"/>
  <c r="S131" i="43"/>
  <c r="P131" i="43"/>
  <c r="L312" i="17" s="1"/>
  <c r="L313" i="17" s="1"/>
  <c r="M313" i="17" s="1"/>
  <c r="K131" i="43"/>
  <c r="AF131" i="43" s="1"/>
  <c r="R131" i="43" s="1"/>
  <c r="T131" i="43" s="1"/>
  <c r="AH130" i="43"/>
  <c r="AG130" i="43"/>
  <c r="AE130" i="43"/>
  <c r="AD130" i="43"/>
  <c r="S130" i="43"/>
  <c r="P130" i="43"/>
  <c r="L328" i="17" s="1"/>
  <c r="K130" i="43"/>
  <c r="AF130" i="43" s="1"/>
  <c r="AH129" i="43"/>
  <c r="AG129" i="43"/>
  <c r="AE129" i="43"/>
  <c r="AD129" i="43"/>
  <c r="S129" i="43"/>
  <c r="P129" i="43"/>
  <c r="L326" i="17" s="1"/>
  <c r="M326" i="17" s="1"/>
  <c r="N326" i="17" s="1"/>
  <c r="O326" i="17" s="1"/>
  <c r="K129" i="43"/>
  <c r="AF129" i="43" s="1"/>
  <c r="AP129" i="43" s="1"/>
  <c r="AH128" i="43"/>
  <c r="AG128" i="43"/>
  <c r="AE128" i="43"/>
  <c r="AD128" i="43"/>
  <c r="S128" i="43"/>
  <c r="P128" i="43"/>
  <c r="L297" i="17" s="1"/>
  <c r="L298" i="17" s="1"/>
  <c r="M298" i="17" s="1"/>
  <c r="K128" i="43"/>
  <c r="AF128" i="43" s="1"/>
  <c r="AH127" i="43"/>
  <c r="AG127" i="43"/>
  <c r="AE127" i="43"/>
  <c r="AD127" i="43"/>
  <c r="S127" i="43"/>
  <c r="P127" i="43"/>
  <c r="L295" i="17" s="1"/>
  <c r="M295" i="17" s="1"/>
  <c r="N295" i="17" s="1"/>
  <c r="O295" i="17" s="1"/>
  <c r="K127" i="43"/>
  <c r="AF127" i="43" s="1"/>
  <c r="AH126" i="43"/>
  <c r="AG126" i="43"/>
  <c r="AP126" i="43" s="1"/>
  <c r="AE126" i="43"/>
  <c r="AD126" i="43"/>
  <c r="S126" i="43"/>
  <c r="P126" i="43"/>
  <c r="L310" i="17" s="1"/>
  <c r="L311" i="17" s="1"/>
  <c r="M311" i="17" s="1"/>
  <c r="K126" i="43"/>
  <c r="AF126" i="43" s="1"/>
  <c r="AH125" i="43"/>
  <c r="AG125" i="43"/>
  <c r="AE125" i="43"/>
  <c r="AD125" i="43"/>
  <c r="S125" i="43"/>
  <c r="P125" i="43"/>
  <c r="L227" i="17" s="1"/>
  <c r="K125" i="43"/>
  <c r="AF125" i="43" s="1"/>
  <c r="AH124" i="43"/>
  <c r="AG124" i="43"/>
  <c r="AE124" i="43"/>
  <c r="AD124" i="43"/>
  <c r="S124" i="43"/>
  <c r="P124" i="43"/>
  <c r="L307" i="17" s="1"/>
  <c r="K124" i="43"/>
  <c r="AF124" i="43"/>
  <c r="AH123" i="43"/>
  <c r="AG123" i="43"/>
  <c r="AE123" i="43"/>
  <c r="AD123" i="43"/>
  <c r="S123" i="43"/>
  <c r="P123" i="43"/>
  <c r="L303" i="17" s="1"/>
  <c r="K123" i="43"/>
  <c r="AF123" i="43" s="1"/>
  <c r="AH122" i="43"/>
  <c r="AG122" i="43"/>
  <c r="AE122" i="43"/>
  <c r="AD122" i="43"/>
  <c r="R122" i="43" s="1"/>
  <c r="S122" i="43"/>
  <c r="P122" i="43"/>
  <c r="L248" i="17" s="1"/>
  <c r="M248" i="17" s="1"/>
  <c r="N248" i="17" s="1"/>
  <c r="O248" i="17" s="1"/>
  <c r="K122" i="43"/>
  <c r="AF122" i="43" s="1"/>
  <c r="AH121" i="43"/>
  <c r="AG121" i="43"/>
  <c r="AE121" i="43"/>
  <c r="AD121" i="43"/>
  <c r="S121" i="43"/>
  <c r="P121" i="43"/>
  <c r="K121" i="43"/>
  <c r="AF121" i="43" s="1"/>
  <c r="AH120" i="43"/>
  <c r="AG120" i="43"/>
  <c r="AE120" i="43"/>
  <c r="AD120" i="43"/>
  <c r="S120" i="43"/>
  <c r="P120" i="43"/>
  <c r="L217" i="17" s="1"/>
  <c r="K120" i="43"/>
  <c r="AF120" i="43" s="1"/>
  <c r="AH119" i="43"/>
  <c r="AG119" i="43"/>
  <c r="AE119" i="43"/>
  <c r="AD119" i="43"/>
  <c r="S119" i="43"/>
  <c r="P119" i="43"/>
  <c r="K119" i="43"/>
  <c r="AF119" i="43" s="1"/>
  <c r="AH112" i="43"/>
  <c r="AG112" i="43"/>
  <c r="AE112" i="43"/>
  <c r="AD112" i="43"/>
  <c r="S112" i="43"/>
  <c r="P112" i="43"/>
  <c r="Q112" i="43" s="1"/>
  <c r="K112" i="43"/>
  <c r="AF112" i="43" s="1"/>
  <c r="AH111" i="43"/>
  <c r="AG111" i="43"/>
  <c r="AE111" i="43"/>
  <c r="AD111" i="43"/>
  <c r="S111" i="43"/>
  <c r="P111" i="43"/>
  <c r="Q111" i="43" s="1"/>
  <c r="K111" i="43"/>
  <c r="AF111" i="43" s="1"/>
  <c r="AH110" i="43"/>
  <c r="AG110" i="43"/>
  <c r="AE110" i="43"/>
  <c r="AD110" i="43"/>
  <c r="S110" i="43"/>
  <c r="P110" i="43"/>
  <c r="Q110" i="43" s="1"/>
  <c r="K110" i="43"/>
  <c r="AF110" i="43" s="1"/>
  <c r="AH109" i="43"/>
  <c r="AG109" i="43"/>
  <c r="AE109" i="43"/>
  <c r="AD109" i="43"/>
  <c r="S109" i="43"/>
  <c r="N109" i="43"/>
  <c r="P109" i="43"/>
  <c r="Q109" i="43" s="1"/>
  <c r="K109" i="43"/>
  <c r="AF109" i="43" s="1"/>
  <c r="AH108" i="43"/>
  <c r="AG108" i="43"/>
  <c r="AE108" i="43"/>
  <c r="AD108" i="43"/>
  <c r="S108" i="43"/>
  <c r="P108" i="43"/>
  <c r="Q108" i="43" s="1"/>
  <c r="K108" i="43"/>
  <c r="AF108" i="43" s="1"/>
  <c r="AH107" i="43"/>
  <c r="AG107" i="43"/>
  <c r="AE107" i="43"/>
  <c r="R107" i="43" s="1"/>
  <c r="AD107" i="43"/>
  <c r="S107" i="43"/>
  <c r="P107" i="43"/>
  <c r="Q107" i="43" s="1"/>
  <c r="K107" i="43"/>
  <c r="AF107" i="43" s="1"/>
  <c r="AH106" i="43"/>
  <c r="AG106" i="43"/>
  <c r="AE106" i="43"/>
  <c r="AD106" i="43"/>
  <c r="R106" i="43" s="1"/>
  <c r="S106" i="43"/>
  <c r="P106" i="43"/>
  <c r="Q106" i="43" s="1"/>
  <c r="K106" i="43"/>
  <c r="AF106" i="43" s="1"/>
  <c r="AH105" i="43"/>
  <c r="AG105" i="43"/>
  <c r="AE105" i="43"/>
  <c r="AD105" i="43"/>
  <c r="S105" i="43"/>
  <c r="P105" i="43"/>
  <c r="Q105" i="43" s="1"/>
  <c r="K105" i="43"/>
  <c r="AF105" i="43" s="1"/>
  <c r="AH104" i="43"/>
  <c r="AG104" i="43"/>
  <c r="AF104" i="43"/>
  <c r="AN104" i="43" s="1"/>
  <c r="AE104" i="43"/>
  <c r="AD104" i="43"/>
  <c r="S104" i="43"/>
  <c r="Q104" i="43"/>
  <c r="P104" i="43"/>
  <c r="K104" i="43"/>
  <c r="AH103" i="43"/>
  <c r="AG103" i="43"/>
  <c r="AE103" i="43"/>
  <c r="AD103" i="43"/>
  <c r="S103" i="43"/>
  <c r="P103" i="43"/>
  <c r="Q103" i="43" s="1"/>
  <c r="X103" i="43" s="1"/>
  <c r="Y103" i="43" s="1"/>
  <c r="AA103" i="43" s="1"/>
  <c r="K103" i="43"/>
  <c r="AF103" i="43" s="1"/>
  <c r="AH102" i="43"/>
  <c r="AG102" i="43"/>
  <c r="AE102" i="43"/>
  <c r="AD102" i="43"/>
  <c r="S102" i="43"/>
  <c r="P102" i="43"/>
  <c r="K102" i="43"/>
  <c r="AF102" i="43" s="1"/>
  <c r="AN102" i="43" s="1"/>
  <c r="AH101" i="43"/>
  <c r="AG101" i="43"/>
  <c r="AE101" i="43"/>
  <c r="AD101" i="43"/>
  <c r="S101" i="43"/>
  <c r="P101" i="43"/>
  <c r="Q101" i="43" s="1"/>
  <c r="K101" i="43"/>
  <c r="AF101" i="43" s="1"/>
  <c r="AH100" i="43"/>
  <c r="AG100" i="43"/>
  <c r="AE100" i="43"/>
  <c r="AD100" i="43"/>
  <c r="S100" i="43"/>
  <c r="P100" i="43"/>
  <c r="Q100" i="43" s="1"/>
  <c r="K100" i="43"/>
  <c r="AF100" i="43" s="1"/>
  <c r="AH99" i="43"/>
  <c r="AG99" i="43"/>
  <c r="AE99" i="43"/>
  <c r="AD99" i="43"/>
  <c r="S99" i="43"/>
  <c r="P99" i="43"/>
  <c r="Q99" i="43" s="1"/>
  <c r="K99" i="43"/>
  <c r="AF99" i="43" s="1"/>
  <c r="AH98" i="43"/>
  <c r="AG98" i="43"/>
  <c r="AE98" i="43"/>
  <c r="AD98" i="43"/>
  <c r="S98" i="43"/>
  <c r="N98" i="43"/>
  <c r="P98" i="43" s="1"/>
  <c r="Q98" i="43" s="1"/>
  <c r="K98" i="43"/>
  <c r="AF98" i="43" s="1"/>
  <c r="AH97" i="43"/>
  <c r="AG97" i="43"/>
  <c r="AE97" i="43"/>
  <c r="AD97" i="43"/>
  <c r="S97" i="43"/>
  <c r="P97" i="43"/>
  <c r="Q97" i="43" s="1"/>
  <c r="K97" i="43"/>
  <c r="AF97" i="43" s="1"/>
  <c r="AH96" i="43"/>
  <c r="AG96" i="43"/>
  <c r="AE96" i="43"/>
  <c r="AD96" i="43"/>
  <c r="S96" i="43"/>
  <c r="P96" i="43"/>
  <c r="Q96" i="43" s="1"/>
  <c r="K96" i="43"/>
  <c r="AF96" i="43" s="1"/>
  <c r="AH95" i="43"/>
  <c r="AG95" i="43"/>
  <c r="AF95" i="43"/>
  <c r="AE95" i="43"/>
  <c r="AD95" i="43"/>
  <c r="S95" i="43"/>
  <c r="P95" i="43"/>
  <c r="K95" i="43"/>
  <c r="AH94" i="43"/>
  <c r="AG94" i="43"/>
  <c r="AE94" i="43"/>
  <c r="AD94" i="43"/>
  <c r="X94" i="43" s="1"/>
  <c r="Y94" i="43" s="1"/>
  <c r="AA94" i="43" s="1"/>
  <c r="S94" i="43"/>
  <c r="P94" i="43"/>
  <c r="Q94" i="43" s="1"/>
  <c r="K94" i="43"/>
  <c r="AF94" i="43" s="1"/>
  <c r="AH93" i="43"/>
  <c r="AG93" i="43"/>
  <c r="AE93" i="43"/>
  <c r="AD93" i="43"/>
  <c r="S93" i="43"/>
  <c r="T93" i="43" s="1"/>
  <c r="P93" i="43"/>
  <c r="K93" i="43"/>
  <c r="AF93" i="43" s="1"/>
  <c r="AH92" i="43"/>
  <c r="AG92" i="43"/>
  <c r="AE92" i="43"/>
  <c r="AD92" i="43"/>
  <c r="S92" i="43"/>
  <c r="P92" i="43"/>
  <c r="K92" i="43"/>
  <c r="AF92" i="43" s="1"/>
  <c r="AH91" i="43"/>
  <c r="AG91" i="43"/>
  <c r="AE91" i="43"/>
  <c r="AD91" i="43"/>
  <c r="S91" i="43"/>
  <c r="P91" i="43"/>
  <c r="L97" i="17" s="1"/>
  <c r="L98" i="17" s="1"/>
  <c r="M98" i="17" s="1"/>
  <c r="K91" i="43"/>
  <c r="AF91" i="43" s="1"/>
  <c r="X91" i="43" s="1"/>
  <c r="Y91" i="43" s="1"/>
  <c r="AA91" i="43" s="1"/>
  <c r="AH90" i="43"/>
  <c r="AG90" i="43"/>
  <c r="AF90" i="43"/>
  <c r="AE90" i="43"/>
  <c r="AD90" i="43"/>
  <c r="S90" i="43"/>
  <c r="P90" i="43"/>
  <c r="K90" i="43"/>
  <c r="AH89" i="43"/>
  <c r="AG89" i="43"/>
  <c r="AE89" i="43"/>
  <c r="AD89" i="43"/>
  <c r="S89" i="43"/>
  <c r="P89" i="43"/>
  <c r="L93" i="17" s="1"/>
  <c r="K89" i="43"/>
  <c r="AF89" i="43" s="1"/>
  <c r="AH88" i="43"/>
  <c r="AG88" i="43"/>
  <c r="AE88" i="43"/>
  <c r="AD88" i="43"/>
  <c r="S88" i="43"/>
  <c r="P88" i="43"/>
  <c r="M92" i="17" s="1"/>
  <c r="N92" i="17" s="1"/>
  <c r="O92" i="17" s="1"/>
  <c r="K88" i="43"/>
  <c r="AF88" i="43" s="1"/>
  <c r="AP88" i="43" s="1"/>
  <c r="AH87" i="43"/>
  <c r="AG87" i="43"/>
  <c r="AE87" i="43"/>
  <c r="AD87" i="43"/>
  <c r="S87" i="43"/>
  <c r="P87" i="43"/>
  <c r="Q87" i="43"/>
  <c r="K87" i="43"/>
  <c r="AF87" i="43" s="1"/>
  <c r="AH86" i="43"/>
  <c r="AG86" i="43"/>
  <c r="AE86" i="43"/>
  <c r="AD86" i="43"/>
  <c r="S86" i="43"/>
  <c r="P86" i="43"/>
  <c r="AJ86" i="43" s="1"/>
  <c r="AL86" i="43" s="1"/>
  <c r="K86" i="43"/>
  <c r="AF86" i="43" s="1"/>
  <c r="AH85" i="43"/>
  <c r="AG85" i="43"/>
  <c r="AE85" i="43"/>
  <c r="AD85" i="43"/>
  <c r="S85" i="43"/>
  <c r="P85" i="43"/>
  <c r="L85" i="17" s="1"/>
  <c r="K85" i="43"/>
  <c r="AF85" i="43" s="1"/>
  <c r="AH84" i="43"/>
  <c r="AG84" i="43"/>
  <c r="AE84" i="43"/>
  <c r="AD84" i="43"/>
  <c r="S84" i="43"/>
  <c r="P84" i="43"/>
  <c r="K84" i="43"/>
  <c r="AF84" i="43" s="1"/>
  <c r="AH83" i="43"/>
  <c r="AG83" i="43"/>
  <c r="AE83" i="43"/>
  <c r="AD83" i="43"/>
  <c r="S83" i="43"/>
  <c r="P83" i="43"/>
  <c r="L234" i="17" s="1"/>
  <c r="K83" i="43"/>
  <c r="AF83" i="43" s="1"/>
  <c r="AH82" i="43"/>
  <c r="AG82" i="43"/>
  <c r="AP82" i="43" s="1"/>
  <c r="AE82" i="43"/>
  <c r="AD82" i="43"/>
  <c r="S82" i="43"/>
  <c r="P82" i="43"/>
  <c r="L241" i="17" s="1"/>
  <c r="K82" i="43"/>
  <c r="AF82" i="43" s="1"/>
  <c r="AH75" i="43"/>
  <c r="AG75" i="43"/>
  <c r="AF75" i="43"/>
  <c r="AE75" i="43"/>
  <c r="AD75" i="43"/>
  <c r="S75" i="43"/>
  <c r="P75" i="43"/>
  <c r="Q75" i="43" s="1"/>
  <c r="AH74" i="43"/>
  <c r="AG74" i="43"/>
  <c r="AE74" i="43"/>
  <c r="AD74" i="43"/>
  <c r="S74" i="43"/>
  <c r="P74" i="43"/>
  <c r="Q74" i="43" s="1"/>
  <c r="K74" i="43"/>
  <c r="AF74" i="43" s="1"/>
  <c r="AH73" i="43"/>
  <c r="AG73" i="43"/>
  <c r="AN73" i="43" s="1"/>
  <c r="AE73" i="43"/>
  <c r="R73" i="43" s="1"/>
  <c r="AD73" i="43"/>
  <c r="S73" i="43"/>
  <c r="N73" i="43"/>
  <c r="P73" i="43" s="1"/>
  <c r="Q73" i="43" s="1"/>
  <c r="K73" i="43"/>
  <c r="AF73" i="43" s="1"/>
  <c r="AH72" i="43"/>
  <c r="AG72" i="43"/>
  <c r="AE72" i="43"/>
  <c r="AD72" i="43"/>
  <c r="S72" i="43"/>
  <c r="P72" i="43"/>
  <c r="Q72" i="43" s="1"/>
  <c r="K72" i="43"/>
  <c r="AF72" i="43" s="1"/>
  <c r="AH71" i="43"/>
  <c r="AG71" i="43"/>
  <c r="AE71" i="43"/>
  <c r="AD71" i="43"/>
  <c r="S71" i="43"/>
  <c r="P71" i="43"/>
  <c r="Q71" i="43" s="1"/>
  <c r="K71" i="43"/>
  <c r="AF71" i="43" s="1"/>
  <c r="AH70" i="43"/>
  <c r="AG70" i="43"/>
  <c r="AE70" i="43"/>
  <c r="AD70" i="43"/>
  <c r="S70" i="43"/>
  <c r="P70" i="43"/>
  <c r="Q70" i="43" s="1"/>
  <c r="K70" i="43"/>
  <c r="AF70" i="43" s="1"/>
  <c r="AH69" i="43"/>
  <c r="AG69" i="43"/>
  <c r="AF69" i="43"/>
  <c r="AE69" i="43"/>
  <c r="AD69" i="43"/>
  <c r="S69" i="43"/>
  <c r="N69" i="43"/>
  <c r="P69" i="43" s="1"/>
  <c r="Q69" i="43" s="1"/>
  <c r="K69" i="43"/>
  <c r="AH68" i="43"/>
  <c r="AG68" i="43"/>
  <c r="AE68" i="43"/>
  <c r="AD68" i="43"/>
  <c r="S68" i="43"/>
  <c r="P68" i="43"/>
  <c r="K68" i="43"/>
  <c r="AF68" i="43" s="1"/>
  <c r="AH67" i="43"/>
  <c r="AG67" i="43"/>
  <c r="AE67" i="43"/>
  <c r="AD67" i="43"/>
  <c r="S67" i="43"/>
  <c r="P67" i="43"/>
  <c r="Q67" i="43" s="1"/>
  <c r="R67" i="43" s="1"/>
  <c r="T67" i="43" s="1"/>
  <c r="K67" i="43"/>
  <c r="AF67" i="43" s="1"/>
  <c r="AH66" i="43"/>
  <c r="AG66" i="43"/>
  <c r="AF66" i="43"/>
  <c r="AE66" i="43"/>
  <c r="AD66" i="43"/>
  <c r="S66" i="43"/>
  <c r="P66" i="43"/>
  <c r="Q66" i="43" s="1"/>
  <c r="X66" i="43" s="1"/>
  <c r="Y66" i="43" s="1"/>
  <c r="AA66" i="43" s="1"/>
  <c r="K66" i="43"/>
  <c r="AH65" i="43"/>
  <c r="AG65" i="43"/>
  <c r="AE65" i="43"/>
  <c r="AD65" i="43"/>
  <c r="S65" i="43"/>
  <c r="N65" i="43"/>
  <c r="P65" i="43" s="1"/>
  <c r="Q65" i="43" s="1"/>
  <c r="K65" i="43"/>
  <c r="AF65" i="43" s="1"/>
  <c r="AH64" i="43"/>
  <c r="AG64" i="43"/>
  <c r="AE64" i="43"/>
  <c r="AD64" i="43"/>
  <c r="S64" i="43"/>
  <c r="P64" i="43"/>
  <c r="Q64" i="43" s="1"/>
  <c r="K64" i="43"/>
  <c r="AF64" i="43" s="1"/>
  <c r="X64" i="43" s="1"/>
  <c r="Y64" i="43" s="1"/>
  <c r="AA64" i="43" s="1"/>
  <c r="AH63" i="43"/>
  <c r="AG63" i="43"/>
  <c r="AE63" i="43"/>
  <c r="AD63" i="43"/>
  <c r="S63" i="43"/>
  <c r="P63" i="43"/>
  <c r="Q63" i="43" s="1"/>
  <c r="K63" i="43"/>
  <c r="AF63" i="43" s="1"/>
  <c r="AN63" i="43" s="1"/>
  <c r="AH62" i="43"/>
  <c r="AG62" i="43"/>
  <c r="AE62" i="43"/>
  <c r="AD62" i="43"/>
  <c r="S62" i="43"/>
  <c r="P62" i="43"/>
  <c r="Q62" i="43" s="1"/>
  <c r="K62" i="43"/>
  <c r="AF62" i="43" s="1"/>
  <c r="AH61" i="43"/>
  <c r="AG61" i="43"/>
  <c r="AE61" i="43"/>
  <c r="AD61" i="43"/>
  <c r="S61" i="43"/>
  <c r="P61" i="43"/>
  <c r="Q61" i="43" s="1"/>
  <c r="K61" i="43"/>
  <c r="AF61" i="43" s="1"/>
  <c r="AH60" i="43"/>
  <c r="AG60" i="43"/>
  <c r="AE60" i="43"/>
  <c r="X60" i="43" s="1"/>
  <c r="AD60" i="43"/>
  <c r="S60" i="43"/>
  <c r="P60" i="43"/>
  <c r="Q60" i="43" s="1"/>
  <c r="K60" i="43"/>
  <c r="AF60" i="43" s="1"/>
  <c r="AH59" i="43"/>
  <c r="AG59" i="43"/>
  <c r="AE59" i="43"/>
  <c r="AD59" i="43"/>
  <c r="R59" i="43" s="1"/>
  <c r="T59" i="43" s="1"/>
  <c r="S59" i="43"/>
  <c r="P59" i="43"/>
  <c r="Q59" i="43" s="1"/>
  <c r="K59" i="43"/>
  <c r="AF59" i="43"/>
  <c r="AH58" i="43"/>
  <c r="AG58" i="43"/>
  <c r="AE58" i="43"/>
  <c r="AD58" i="43"/>
  <c r="R58" i="43" s="1"/>
  <c r="S58" i="43"/>
  <c r="N58" i="43"/>
  <c r="P58" i="43" s="1"/>
  <c r="Q58" i="43" s="1"/>
  <c r="K58" i="43"/>
  <c r="AF58" i="43" s="1"/>
  <c r="AH57" i="43"/>
  <c r="AG57" i="43"/>
  <c r="AE57" i="43"/>
  <c r="AD57" i="43"/>
  <c r="S57" i="43"/>
  <c r="N57" i="43"/>
  <c r="P57" i="43"/>
  <c r="Q57" i="43" s="1"/>
  <c r="K57" i="43"/>
  <c r="AF57" i="43" s="1"/>
  <c r="AH56" i="43"/>
  <c r="AG56" i="43"/>
  <c r="AE56" i="43"/>
  <c r="AD56" i="43"/>
  <c r="S56" i="43"/>
  <c r="P56" i="43"/>
  <c r="L33" i="17" s="1"/>
  <c r="K56" i="43"/>
  <c r="AF56" i="43" s="1"/>
  <c r="AH55" i="43"/>
  <c r="AG55" i="43"/>
  <c r="AE55" i="43"/>
  <c r="AD55" i="43"/>
  <c r="S55" i="43"/>
  <c r="Q55" i="43"/>
  <c r="X55" i="43" s="1"/>
  <c r="Y55" i="43" s="1"/>
  <c r="AA55" i="43" s="1"/>
  <c r="P55" i="43"/>
  <c r="L174" i="17" s="1"/>
  <c r="K55" i="43"/>
  <c r="AF55" i="43" s="1"/>
  <c r="AH54" i="43"/>
  <c r="AG54" i="43"/>
  <c r="AE54" i="43"/>
  <c r="AD54" i="43"/>
  <c r="S54" i="43"/>
  <c r="N54" i="43"/>
  <c r="K54" i="43"/>
  <c r="AF54" i="43" s="1"/>
  <c r="AH53" i="43"/>
  <c r="AG53" i="43"/>
  <c r="AE53" i="43"/>
  <c r="AD53" i="43"/>
  <c r="S53" i="43"/>
  <c r="P53" i="43"/>
  <c r="K53" i="43"/>
  <c r="AF53" i="43" s="1"/>
  <c r="AH52" i="43"/>
  <c r="AG52" i="43"/>
  <c r="AE52" i="43"/>
  <c r="AD52" i="43"/>
  <c r="S52" i="43"/>
  <c r="P52" i="43"/>
  <c r="L28" i="17" s="1"/>
  <c r="L29" i="17" s="1"/>
  <c r="M29" i="17" s="1"/>
  <c r="K52" i="43"/>
  <c r="AF52" i="43" s="1"/>
  <c r="AH51" i="43"/>
  <c r="AG51" i="43"/>
  <c r="AE51" i="43"/>
  <c r="AD51" i="43"/>
  <c r="S51" i="43"/>
  <c r="P51" i="43"/>
  <c r="K51" i="43"/>
  <c r="AF51" i="43" s="1"/>
  <c r="AH50" i="43"/>
  <c r="AG50" i="43"/>
  <c r="AE50" i="43"/>
  <c r="AD50" i="43"/>
  <c r="S50" i="43"/>
  <c r="P50" i="43"/>
  <c r="Q50" i="43" s="1"/>
  <c r="K50" i="43"/>
  <c r="AF50" i="43" s="1"/>
  <c r="AH49" i="43"/>
  <c r="AG49" i="43"/>
  <c r="AE49" i="43"/>
  <c r="AD49" i="43"/>
  <c r="S49" i="43"/>
  <c r="P49" i="43"/>
  <c r="Q49" i="43" s="1"/>
  <c r="K49" i="43"/>
  <c r="AF49" i="43" s="1"/>
  <c r="AH48" i="43"/>
  <c r="AG48" i="43"/>
  <c r="AE48" i="43"/>
  <c r="AD48" i="43"/>
  <c r="S48" i="43"/>
  <c r="P48" i="43"/>
  <c r="L23" i="17" s="1"/>
  <c r="L24" i="17" s="1"/>
  <c r="M24" i="17" s="1"/>
  <c r="K48" i="43"/>
  <c r="AF48" i="43" s="1"/>
  <c r="AH47" i="43"/>
  <c r="AG47" i="43"/>
  <c r="AE47" i="43"/>
  <c r="R47" i="43" s="1"/>
  <c r="AD47" i="43"/>
  <c r="S47" i="43"/>
  <c r="P47" i="43"/>
  <c r="Q47" i="43" s="1"/>
  <c r="K47" i="43"/>
  <c r="AF47" i="43" s="1"/>
  <c r="AH46" i="43"/>
  <c r="AG46" i="43"/>
  <c r="AE46" i="43"/>
  <c r="AD46" i="43"/>
  <c r="R46" i="43" s="1"/>
  <c r="T46" i="43" s="1"/>
  <c r="S46" i="43"/>
  <c r="N46" i="43"/>
  <c r="P46" i="43" s="1"/>
  <c r="K46" i="43"/>
  <c r="AF46" i="43" s="1"/>
  <c r="AH45" i="43"/>
  <c r="AG45" i="43"/>
  <c r="AE45" i="43"/>
  <c r="AD45" i="43"/>
  <c r="S45" i="43"/>
  <c r="P45" i="43"/>
  <c r="L285" i="17" s="1"/>
  <c r="K45" i="43"/>
  <c r="AF45" i="43" s="1"/>
  <c r="AH44" i="43"/>
  <c r="AG44" i="43"/>
  <c r="AE44" i="43"/>
  <c r="AD44" i="43"/>
  <c r="S44" i="43"/>
  <c r="P44" i="43"/>
  <c r="K44" i="43"/>
  <c r="AF44" i="43" s="1"/>
  <c r="AH43" i="43"/>
  <c r="AG43" i="43"/>
  <c r="AF43" i="43"/>
  <c r="AE43" i="43"/>
  <c r="AD43" i="43"/>
  <c r="S43" i="43"/>
  <c r="Q43" i="43"/>
  <c r="P43" i="43"/>
  <c r="L238" i="17" s="1"/>
  <c r="K43" i="43"/>
  <c r="AH42" i="43"/>
  <c r="AG42" i="43"/>
  <c r="AE42" i="43"/>
  <c r="AD42" i="43"/>
  <c r="S42" i="43"/>
  <c r="P42" i="43"/>
  <c r="L21" i="17" s="1"/>
  <c r="M21" i="17" s="1"/>
  <c r="N21" i="17" s="1"/>
  <c r="O21" i="17" s="1"/>
  <c r="K42" i="43"/>
  <c r="AF42" i="43" s="1"/>
  <c r="AH41" i="43"/>
  <c r="AG41" i="43"/>
  <c r="AE41" i="43"/>
  <c r="AD41" i="43"/>
  <c r="S41" i="43"/>
  <c r="P41" i="43"/>
  <c r="L19" i="17" s="1"/>
  <c r="M19" i="17" s="1"/>
  <c r="N19" i="17" s="1"/>
  <c r="O19" i="17" s="1"/>
  <c r="K41" i="43"/>
  <c r="AF41" i="43" s="1"/>
  <c r="AH40" i="43"/>
  <c r="AG40" i="43"/>
  <c r="AE40" i="43"/>
  <c r="AD40" i="43"/>
  <c r="S40" i="43"/>
  <c r="P40" i="43"/>
  <c r="K40" i="43"/>
  <c r="AF40" i="43" s="1"/>
  <c r="AH39" i="43"/>
  <c r="AG39" i="43"/>
  <c r="AE39" i="43"/>
  <c r="AD39" i="43"/>
  <c r="S39" i="43"/>
  <c r="P39" i="43"/>
  <c r="L17" i="17" s="1"/>
  <c r="K39" i="43"/>
  <c r="AF39" i="43" s="1"/>
  <c r="AJ39" i="43" s="1"/>
  <c r="AH38" i="43"/>
  <c r="AG38" i="43"/>
  <c r="AE38" i="43"/>
  <c r="AD38" i="43"/>
  <c r="S38" i="43"/>
  <c r="P38" i="43"/>
  <c r="L330" i="17" s="1"/>
  <c r="M330" i="17" s="1"/>
  <c r="N330" i="17" s="1"/>
  <c r="O330" i="17" s="1"/>
  <c r="K38" i="43"/>
  <c r="AF38" i="43" s="1"/>
  <c r="AJ38" i="43" s="1"/>
  <c r="AH37" i="43"/>
  <c r="AG37" i="43"/>
  <c r="AE37" i="43"/>
  <c r="AD37" i="43"/>
  <c r="S37" i="43"/>
  <c r="P37" i="43"/>
  <c r="N189" i="17" s="1"/>
  <c r="K37" i="43"/>
  <c r="AF37" i="43" s="1"/>
  <c r="AH36" i="43"/>
  <c r="AG36" i="43"/>
  <c r="AE36" i="43"/>
  <c r="AD36" i="43"/>
  <c r="S36" i="43"/>
  <c r="P36" i="43"/>
  <c r="L250" i="17" s="1"/>
  <c r="K36" i="43"/>
  <c r="AF36" i="43" s="1"/>
  <c r="AH35" i="43"/>
  <c r="AG35" i="43"/>
  <c r="AJ35" i="43" s="1"/>
  <c r="AE35" i="43"/>
  <c r="AD35" i="43"/>
  <c r="S35" i="43"/>
  <c r="P35" i="43"/>
  <c r="K35" i="43"/>
  <c r="AF35" i="43" s="1"/>
  <c r="AH34" i="43"/>
  <c r="AG34" i="43"/>
  <c r="AE34" i="43"/>
  <c r="AD34" i="43"/>
  <c r="X34" i="43" s="1"/>
  <c r="Y34" i="43" s="1"/>
  <c r="AA34" i="43" s="1"/>
  <c r="S34" i="43"/>
  <c r="P34" i="43"/>
  <c r="L279" i="17" s="1"/>
  <c r="K34" i="43"/>
  <c r="AF34" i="43" s="1"/>
  <c r="AH33" i="43"/>
  <c r="AG33" i="43"/>
  <c r="AE33" i="43"/>
  <c r="AD33" i="43"/>
  <c r="S33" i="43"/>
  <c r="P33" i="43"/>
  <c r="L293" i="17" s="1"/>
  <c r="K33" i="43"/>
  <c r="AF33" i="43" s="1"/>
  <c r="AH32" i="43"/>
  <c r="AG32" i="43"/>
  <c r="AE32" i="43"/>
  <c r="AD32" i="43"/>
  <c r="R32" i="43" s="1"/>
  <c r="S32" i="43"/>
  <c r="P32" i="43"/>
  <c r="L291" i="17" s="1"/>
  <c r="K32" i="43"/>
  <c r="AF32" i="43"/>
  <c r="AJ32" i="43"/>
  <c r="AH31" i="43"/>
  <c r="AG31" i="43"/>
  <c r="AE31" i="43"/>
  <c r="AD31" i="43"/>
  <c r="S31" i="43"/>
  <c r="N31" i="43"/>
  <c r="P31" i="43" s="1"/>
  <c r="K31" i="43"/>
  <c r="AF31" i="43"/>
  <c r="AH30" i="43"/>
  <c r="AG30" i="43"/>
  <c r="AJ30" i="43" s="1"/>
  <c r="AE30" i="43"/>
  <c r="AD30" i="43"/>
  <c r="S30" i="43"/>
  <c r="P30" i="43"/>
  <c r="L289" i="17" s="1"/>
  <c r="M289" i="17" s="1"/>
  <c r="N289" i="17" s="1"/>
  <c r="O289" i="17" s="1"/>
  <c r="K30" i="43"/>
  <c r="AF30" i="43" s="1"/>
  <c r="AH29" i="43"/>
  <c r="AG29" i="43"/>
  <c r="AE29" i="43"/>
  <c r="AD29" i="43"/>
  <c r="X29" i="43" s="1"/>
  <c r="Y29" i="43" s="1"/>
  <c r="AA29" i="43" s="1"/>
  <c r="S29" i="43"/>
  <c r="P29" i="43"/>
  <c r="N187" i="17" s="1"/>
  <c r="O187" i="17" s="1"/>
  <c r="K29" i="43"/>
  <c r="AF29" i="43" s="1"/>
  <c r="AH28" i="43"/>
  <c r="AG28" i="43"/>
  <c r="AE28" i="43"/>
  <c r="AD28" i="43"/>
  <c r="S28" i="43"/>
  <c r="Q28" i="43"/>
  <c r="P28" i="43"/>
  <c r="L287" i="17" s="1"/>
  <c r="M287" i="17" s="1"/>
  <c r="N287" i="17" s="1"/>
  <c r="O287" i="17" s="1"/>
  <c r="K28" i="43"/>
  <c r="AF28" i="43" s="1"/>
  <c r="AH27" i="43"/>
  <c r="AG27" i="43"/>
  <c r="AE27" i="43"/>
  <c r="AD27" i="43"/>
  <c r="S27" i="43"/>
  <c r="P27" i="43"/>
  <c r="K27" i="43"/>
  <c r="AF27" i="43" s="1"/>
  <c r="AH26" i="43"/>
  <c r="AG26" i="43"/>
  <c r="AE26" i="43"/>
  <c r="AD26" i="43"/>
  <c r="S26" i="43"/>
  <c r="V26" i="43" s="1"/>
  <c r="P26" i="43"/>
  <c r="K26" i="43"/>
  <c r="AF26" i="43" s="1"/>
  <c r="AH25" i="43"/>
  <c r="AG25" i="43"/>
  <c r="AE25" i="43"/>
  <c r="AD25" i="43"/>
  <c r="S25" i="43"/>
  <c r="P25" i="43"/>
  <c r="L276" i="17" s="1"/>
  <c r="M276" i="17" s="1"/>
  <c r="N276" i="17" s="1"/>
  <c r="O276" i="17" s="1"/>
  <c r="K25" i="43"/>
  <c r="AF25" i="43" s="1"/>
  <c r="AJ25" i="43" s="1"/>
  <c r="AH24" i="43"/>
  <c r="AG24" i="43"/>
  <c r="AE24" i="43"/>
  <c r="AD24" i="43"/>
  <c r="S24" i="43"/>
  <c r="P24" i="43"/>
  <c r="K24" i="43"/>
  <c r="AF24" i="43" s="1"/>
  <c r="AH23" i="43"/>
  <c r="AG23" i="43"/>
  <c r="AE23" i="43"/>
  <c r="AD23" i="43"/>
  <c r="S23" i="43"/>
  <c r="P23" i="43"/>
  <c r="K23" i="43"/>
  <c r="AF23" i="43" s="1"/>
  <c r="AH22" i="43"/>
  <c r="AG22" i="43"/>
  <c r="AE22" i="43"/>
  <c r="AD22" i="43"/>
  <c r="S22" i="43"/>
  <c r="P22" i="43"/>
  <c r="L255" i="17" s="1"/>
  <c r="K22" i="43"/>
  <c r="AH21" i="43"/>
  <c r="AG21" i="43"/>
  <c r="AE21" i="43"/>
  <c r="AD21" i="43"/>
  <c r="S21" i="43"/>
  <c r="P21" i="43"/>
  <c r="L253" i="17" s="1"/>
  <c r="K21" i="43"/>
  <c r="AF21" i="43" s="1"/>
  <c r="AH20" i="43"/>
  <c r="AG20" i="43"/>
  <c r="R20" i="43" s="1"/>
  <c r="AE20" i="43"/>
  <c r="AD20" i="43"/>
  <c r="S20" i="43"/>
  <c r="P20" i="43"/>
  <c r="Q20" i="43" s="1"/>
  <c r="K20" i="43"/>
  <c r="AF20" i="43" s="1"/>
  <c r="AH19" i="43"/>
  <c r="AG19" i="43"/>
  <c r="AJ19" i="43" s="1"/>
  <c r="AE19" i="43"/>
  <c r="AD19" i="43"/>
  <c r="S19" i="43"/>
  <c r="P19" i="43"/>
  <c r="L271" i="17" s="1"/>
  <c r="K19" i="43"/>
  <c r="AF19" i="43" s="1"/>
  <c r="AH18" i="43"/>
  <c r="AG18" i="43"/>
  <c r="AP18" i="43" s="1"/>
  <c r="AE18" i="43"/>
  <c r="AD18" i="43"/>
  <c r="S18" i="43"/>
  <c r="P18" i="43"/>
  <c r="L13" i="17" s="1"/>
  <c r="K18" i="43"/>
  <c r="AF18" i="43" s="1"/>
  <c r="AH17" i="43"/>
  <c r="AG17" i="43"/>
  <c r="AE17" i="43"/>
  <c r="AD17" i="43"/>
  <c r="S17" i="43"/>
  <c r="P17" i="43"/>
  <c r="L223" i="17" s="1"/>
  <c r="K17" i="43"/>
  <c r="AF17" i="43" s="1"/>
  <c r="AH16" i="43"/>
  <c r="AG16" i="43"/>
  <c r="AP16" i="43" s="1"/>
  <c r="AE16" i="43"/>
  <c r="AD16" i="43"/>
  <c r="S16" i="43"/>
  <c r="P16" i="43"/>
  <c r="L221" i="17" s="1"/>
  <c r="K16" i="43"/>
  <c r="AF16" i="43" s="1"/>
  <c r="AH15" i="43"/>
  <c r="AG15" i="43"/>
  <c r="AE15" i="43"/>
  <c r="AD15" i="43"/>
  <c r="R15" i="43" s="1"/>
  <c r="S15" i="43"/>
  <c r="T15" i="43" s="1"/>
  <c r="P15" i="43"/>
  <c r="Q15" i="43" s="1"/>
  <c r="K15" i="43"/>
  <c r="AF15" i="43" s="1"/>
  <c r="AH14" i="43"/>
  <c r="AG14" i="43"/>
  <c r="AE14" i="43"/>
  <c r="AD14" i="43"/>
  <c r="S14" i="43"/>
  <c r="Q14" i="43"/>
  <c r="P14" i="43"/>
  <c r="K14" i="43"/>
  <c r="AF14" i="43" s="1"/>
  <c r="X11" i="43"/>
  <c r="AA11" i="43" s="1"/>
  <c r="K150" i="42"/>
  <c r="L150" i="42" s="1"/>
  <c r="L150" i="39"/>
  <c r="M150" i="39" s="1"/>
  <c r="N150" i="39" s="1"/>
  <c r="I150" i="39"/>
  <c r="J150" i="39" s="1"/>
  <c r="L152" i="39"/>
  <c r="M152" i="39" s="1"/>
  <c r="N152" i="39" s="1"/>
  <c r="I152" i="39"/>
  <c r="J152" i="39" s="1"/>
  <c r="L157" i="39"/>
  <c r="M157" i="39" s="1"/>
  <c r="N157" i="39" s="1"/>
  <c r="I157" i="39"/>
  <c r="J157" i="39" s="1"/>
  <c r="I293" i="39"/>
  <c r="J293" i="39" s="1"/>
  <c r="L148" i="39"/>
  <c r="M148" i="39" s="1"/>
  <c r="N148" i="39" s="1"/>
  <c r="I148" i="39"/>
  <c r="J148" i="39" s="1"/>
  <c r="L151" i="39"/>
  <c r="M151" i="39" s="1"/>
  <c r="N151" i="39" s="1"/>
  <c r="I151" i="39"/>
  <c r="J151" i="39" s="1"/>
  <c r="L155" i="39"/>
  <c r="M155" i="39" s="1"/>
  <c r="N155" i="39" s="1"/>
  <c r="I155" i="39"/>
  <c r="J155" i="39" s="1"/>
  <c r="I438" i="39"/>
  <c r="J438" i="39" s="1"/>
  <c r="I495" i="39"/>
  <c r="J495" i="39" s="1"/>
  <c r="I494" i="39"/>
  <c r="J494" i="39" s="1"/>
  <c r="I294" i="39"/>
  <c r="J294" i="39" s="1"/>
  <c r="I295" i="39"/>
  <c r="J295" i="39" s="1"/>
  <c r="I296" i="39"/>
  <c r="J296" i="39" s="1"/>
  <c r="I437" i="39"/>
  <c r="J437" i="39" s="1"/>
  <c r="I298" i="39"/>
  <c r="J298" i="39" s="1"/>
  <c r="I297" i="39"/>
  <c r="J297" i="39" s="1"/>
  <c r="I496" i="39"/>
  <c r="J496" i="39" s="1"/>
  <c r="L149" i="39"/>
  <c r="M149" i="39" s="1"/>
  <c r="N149" i="39" s="1"/>
  <c r="I149" i="39"/>
  <c r="J149" i="39" s="1"/>
  <c r="L154" i="39"/>
  <c r="M154" i="39" s="1"/>
  <c r="N154" i="39" s="1"/>
  <c r="I154" i="39"/>
  <c r="J154" i="39" s="1"/>
  <c r="L156" i="39"/>
  <c r="M156" i="39" s="1"/>
  <c r="N156" i="39" s="1"/>
  <c r="I156" i="39"/>
  <c r="J156" i="39" s="1"/>
  <c r="I398" i="39"/>
  <c r="J398" i="39" s="1"/>
  <c r="L145" i="39"/>
  <c r="M145" i="39" s="1"/>
  <c r="N145" i="39" s="1"/>
  <c r="I145" i="39"/>
  <c r="J145" i="39" s="1"/>
  <c r="L120" i="39"/>
  <c r="M120" i="39" s="1"/>
  <c r="N120" i="39" s="1"/>
  <c r="I120" i="39"/>
  <c r="J120" i="39" s="1"/>
  <c r="I436" i="39"/>
  <c r="J436" i="39" s="1"/>
  <c r="I291" i="39"/>
  <c r="J291" i="39" s="1"/>
  <c r="I292" i="39"/>
  <c r="J292" i="39" s="1"/>
  <c r="K48" i="42"/>
  <c r="L48" i="42" s="1"/>
  <c r="K98" i="42"/>
  <c r="L98" i="42" s="1"/>
  <c r="M115" i="42"/>
  <c r="N115" i="42" s="1"/>
  <c r="O115" i="42" s="1"/>
  <c r="P115" i="42" s="1"/>
  <c r="K115" i="42"/>
  <c r="L115" i="42" s="1"/>
  <c r="L153" i="17"/>
  <c r="M153" i="17" s="1"/>
  <c r="N153" i="17" s="1"/>
  <c r="O153" i="17" s="1"/>
  <c r="L151" i="17"/>
  <c r="N3" i="42"/>
  <c r="N4" i="42"/>
  <c r="J83" i="42" s="1"/>
  <c r="N2" i="42"/>
  <c r="L3" i="39"/>
  <c r="L4" i="39"/>
  <c r="I289" i="39"/>
  <c r="J289" i="39" s="1"/>
  <c r="L144" i="39"/>
  <c r="M144" i="39" s="1"/>
  <c r="N144" i="39" s="1"/>
  <c r="I144" i="39"/>
  <c r="J144" i="39" s="1"/>
  <c r="L143" i="39"/>
  <c r="M143" i="39" s="1"/>
  <c r="N143" i="39" s="1"/>
  <c r="I143" i="39"/>
  <c r="J143" i="39" s="1"/>
  <c r="L146" i="39"/>
  <c r="M146" i="39" s="1"/>
  <c r="N146" i="39" s="1"/>
  <c r="I146" i="39"/>
  <c r="J146" i="39" s="1"/>
  <c r="I493" i="39"/>
  <c r="J493" i="39" s="1"/>
  <c r="I435" i="39"/>
  <c r="J435" i="39" s="1"/>
  <c r="I290" i="39"/>
  <c r="J290" i="39" s="1"/>
  <c r="I288" i="39"/>
  <c r="J288" i="39" s="1"/>
  <c r="I492" i="39"/>
  <c r="J492" i="39" s="1"/>
  <c r="K149" i="42"/>
  <c r="L149" i="42" s="1"/>
  <c r="I392" i="39"/>
  <c r="J392" i="39" s="1"/>
  <c r="L196" i="17"/>
  <c r="L169" i="17"/>
  <c r="L150" i="17"/>
  <c r="M150" i="17" s="1"/>
  <c r="L112" i="17"/>
  <c r="M112" i="17" s="1"/>
  <c r="N112" i="17" s="1"/>
  <c r="O112" i="17" s="1"/>
  <c r="L39" i="17"/>
  <c r="M39" i="17" s="1"/>
  <c r="N39" i="17" s="1"/>
  <c r="O39" i="17" s="1"/>
  <c r="I391" i="39"/>
  <c r="J391" i="39" s="1"/>
  <c r="J196" i="17"/>
  <c r="K196" i="17" s="1"/>
  <c r="P196" i="17" s="1"/>
  <c r="J169" i="17"/>
  <c r="K169" i="17" s="1"/>
  <c r="I390" i="39"/>
  <c r="J390" i="39" s="1"/>
  <c r="L147" i="39"/>
  <c r="M147" i="39" s="1"/>
  <c r="N147" i="39" s="1"/>
  <c r="I147" i="39"/>
  <c r="J147" i="39" s="1"/>
  <c r="I287" i="39"/>
  <c r="J287" i="39" s="1"/>
  <c r="I286" i="39"/>
  <c r="J286" i="39" s="1"/>
  <c r="I285" i="39"/>
  <c r="J285" i="39" s="1"/>
  <c r="K148" i="42"/>
  <c r="L148" i="42" s="1"/>
  <c r="K114" i="42"/>
  <c r="L114" i="42" s="1"/>
  <c r="I284" i="39"/>
  <c r="J284" i="39" s="1"/>
  <c r="I434" i="39"/>
  <c r="J434" i="39" s="1"/>
  <c r="I433" i="39"/>
  <c r="J433" i="39" s="1"/>
  <c r="I283" i="39"/>
  <c r="J283" i="39" s="1"/>
  <c r="L139" i="39"/>
  <c r="M139" i="39" s="1"/>
  <c r="N139" i="39" s="1"/>
  <c r="I139" i="39"/>
  <c r="J139" i="39" s="1"/>
  <c r="L136" i="39"/>
  <c r="M136" i="39" s="1"/>
  <c r="N136" i="39" s="1"/>
  <c r="I136" i="39"/>
  <c r="J136" i="39" s="1"/>
  <c r="L142" i="39"/>
  <c r="M142" i="39" s="1"/>
  <c r="N142" i="39" s="1"/>
  <c r="I142" i="39"/>
  <c r="J142" i="39" s="1"/>
  <c r="L141" i="39"/>
  <c r="M141" i="39" s="1"/>
  <c r="N141" i="39" s="1"/>
  <c r="I141" i="39"/>
  <c r="J141" i="39" s="1"/>
  <c r="L133" i="39"/>
  <c r="M133" i="39" s="1"/>
  <c r="N133" i="39" s="1"/>
  <c r="I133" i="39"/>
  <c r="J133" i="39" s="1"/>
  <c r="I280" i="39"/>
  <c r="J280" i="39" s="1"/>
  <c r="K35" i="42"/>
  <c r="L35" i="42" s="1"/>
  <c r="K36" i="42"/>
  <c r="L36" i="42" s="1"/>
  <c r="K37" i="42"/>
  <c r="L37" i="42" s="1"/>
  <c r="K38" i="42"/>
  <c r="L38" i="42" s="1"/>
  <c r="K39" i="42"/>
  <c r="L39" i="42" s="1"/>
  <c r="K40" i="42"/>
  <c r="L40" i="42" s="1"/>
  <c r="K41" i="42"/>
  <c r="L41" i="42" s="1"/>
  <c r="K42" i="42"/>
  <c r="L42" i="42" s="1"/>
  <c r="K43" i="42"/>
  <c r="L43" i="42" s="1"/>
  <c r="K44" i="42"/>
  <c r="L44" i="42" s="1"/>
  <c r="K45" i="42"/>
  <c r="L45" i="42" s="1"/>
  <c r="K46" i="42"/>
  <c r="L46" i="42" s="1"/>
  <c r="K47" i="42"/>
  <c r="L47" i="42" s="1"/>
  <c r="M97" i="42"/>
  <c r="N97" i="42" s="1"/>
  <c r="O97" i="42" s="1"/>
  <c r="P97" i="42" s="1"/>
  <c r="K97" i="42"/>
  <c r="L97" i="42" s="1"/>
  <c r="K147" i="42"/>
  <c r="L147" i="42" s="1"/>
  <c r="K146" i="42"/>
  <c r="L146" i="42" s="1"/>
  <c r="K145" i="42"/>
  <c r="L145" i="42" s="1"/>
  <c r="K144" i="42"/>
  <c r="L144" i="42" s="1"/>
  <c r="K143" i="42"/>
  <c r="L143" i="42" s="1"/>
  <c r="L240" i="17"/>
  <c r="I389" i="39"/>
  <c r="J389" i="39" s="1"/>
  <c r="L138" i="39"/>
  <c r="M138" i="39" s="1"/>
  <c r="N138" i="39" s="1"/>
  <c r="I138" i="39"/>
  <c r="J138" i="39" s="1"/>
  <c r="L135" i="39"/>
  <c r="M135" i="39" s="1"/>
  <c r="N135" i="39" s="1"/>
  <c r="L134" i="39"/>
  <c r="M134" i="39" s="1"/>
  <c r="N134" i="39" s="1"/>
  <c r="L132" i="39"/>
  <c r="M132" i="39" s="1"/>
  <c r="N132" i="39" s="1"/>
  <c r="L140" i="39"/>
  <c r="M140" i="39" s="1"/>
  <c r="N140" i="39" s="1"/>
  <c r="L137" i="39"/>
  <c r="M137" i="39" s="1"/>
  <c r="N137" i="39" s="1"/>
  <c r="I135" i="39"/>
  <c r="J135" i="39" s="1"/>
  <c r="I134" i="39"/>
  <c r="J134" i="39" s="1"/>
  <c r="I132" i="39"/>
  <c r="J132" i="39" s="1"/>
  <c r="I140" i="39"/>
  <c r="J140" i="39" s="1"/>
  <c r="I114" i="39"/>
  <c r="J114" i="39" s="1"/>
  <c r="I116" i="39"/>
  <c r="J116" i="39" s="1"/>
  <c r="I525" i="39"/>
  <c r="J525" i="39" s="1"/>
  <c r="I521" i="39"/>
  <c r="J521" i="39" s="1"/>
  <c r="I119" i="39"/>
  <c r="J119" i="39" s="1"/>
  <c r="I122" i="39"/>
  <c r="J122" i="39" s="1"/>
  <c r="I121" i="39"/>
  <c r="J121" i="39" s="1"/>
  <c r="I123" i="39"/>
  <c r="J123" i="39" s="1"/>
  <c r="I124" i="39"/>
  <c r="J124" i="39" s="1"/>
  <c r="I126" i="39"/>
  <c r="J126" i="39" s="1"/>
  <c r="I127" i="39"/>
  <c r="J127" i="39" s="1"/>
  <c r="I125" i="39"/>
  <c r="J125" i="39" s="1"/>
  <c r="I129" i="39"/>
  <c r="J129" i="39" s="1"/>
  <c r="I131" i="39"/>
  <c r="J131" i="39" s="1"/>
  <c r="I130" i="39"/>
  <c r="J130" i="39" s="1"/>
  <c r="I128" i="39"/>
  <c r="J128" i="39" s="1"/>
  <c r="I137" i="39"/>
  <c r="J137" i="39" s="1"/>
  <c r="I491" i="39"/>
  <c r="J491" i="39" s="1"/>
  <c r="I432" i="39"/>
  <c r="J432" i="39" s="1"/>
  <c r="K431" i="39"/>
  <c r="L431" i="39" s="1"/>
  <c r="M431" i="39" s="1"/>
  <c r="N431" i="39" s="1"/>
  <c r="I431" i="39"/>
  <c r="J431" i="39" s="1"/>
  <c r="B431" i="39"/>
  <c r="I430" i="39"/>
  <c r="J430" i="39" s="1"/>
  <c r="I281" i="39"/>
  <c r="J281" i="39" s="1"/>
  <c r="I282" i="39"/>
  <c r="J282" i="39" s="1"/>
  <c r="K279" i="39"/>
  <c r="L279" i="39" s="1"/>
  <c r="M279" i="39" s="1"/>
  <c r="N279" i="39" s="1"/>
  <c r="I279" i="39"/>
  <c r="J279" i="39" s="1"/>
  <c r="B279" i="39"/>
  <c r="I278" i="39"/>
  <c r="J278" i="39" s="1"/>
  <c r="I277" i="39"/>
  <c r="J277" i="39" s="1"/>
  <c r="I276" i="39"/>
  <c r="J276" i="39" s="1"/>
  <c r="I274" i="39"/>
  <c r="J274" i="39" s="1"/>
  <c r="I275" i="39"/>
  <c r="J275" i="39" s="1"/>
  <c r="I89" i="39"/>
  <c r="I90" i="39"/>
  <c r="I99" i="39"/>
  <c r="I102" i="39"/>
  <c r="I103" i="39"/>
  <c r="I104" i="39"/>
  <c r="I105" i="39"/>
  <c r="I109" i="39"/>
  <c r="I110" i="39"/>
  <c r="I111" i="39"/>
  <c r="I112" i="39"/>
  <c r="I117" i="39"/>
  <c r="I483" i="39"/>
  <c r="J483" i="39" s="1"/>
  <c r="I484" i="39"/>
  <c r="J484" i="39" s="1"/>
  <c r="I485" i="39"/>
  <c r="J485" i="39" s="1"/>
  <c r="I486" i="39"/>
  <c r="J486" i="39" s="1"/>
  <c r="K112" i="42"/>
  <c r="L112" i="42" s="1"/>
  <c r="L193" i="17"/>
  <c r="J193" i="17"/>
  <c r="K193" i="17" s="1"/>
  <c r="J192" i="17"/>
  <c r="J269" i="17"/>
  <c r="K269" i="17" s="1"/>
  <c r="J333" i="17"/>
  <c r="K333" i="17" s="1"/>
  <c r="P333" i="17" s="1"/>
  <c r="J191" i="17"/>
  <c r="K191" i="17" s="1"/>
  <c r="J190" i="17"/>
  <c r="K190" i="17" s="1"/>
  <c r="J267" i="17"/>
  <c r="J15" i="17"/>
  <c r="J183" i="17"/>
  <c r="K183" i="17" s="1"/>
  <c r="J182" i="17"/>
  <c r="K182" i="17" s="1"/>
  <c r="J332" i="17"/>
  <c r="K332" i="17" s="1"/>
  <c r="J314" i="17"/>
  <c r="K388" i="39"/>
  <c r="L388" i="39" s="1"/>
  <c r="M388" i="39" s="1"/>
  <c r="N388" i="39" s="1"/>
  <c r="I388" i="39"/>
  <c r="J388" i="39" s="1"/>
  <c r="M96" i="42"/>
  <c r="N96" i="42" s="1"/>
  <c r="O96" i="42" s="1"/>
  <c r="P96" i="42" s="1"/>
  <c r="K96" i="42"/>
  <c r="L96" i="42" s="1"/>
  <c r="L128" i="39"/>
  <c r="M128" i="39" s="1"/>
  <c r="N128" i="39" s="1"/>
  <c r="L130" i="39"/>
  <c r="M130" i="39" s="1"/>
  <c r="N130" i="39" s="1"/>
  <c r="L131" i="39"/>
  <c r="M131" i="39" s="1"/>
  <c r="N131" i="39" s="1"/>
  <c r="L129" i="39"/>
  <c r="M129" i="39" s="1"/>
  <c r="N129" i="39" s="1"/>
  <c r="K94" i="42"/>
  <c r="L94" i="42" s="1"/>
  <c r="K95" i="42"/>
  <c r="L95" i="42" s="1"/>
  <c r="L125" i="39"/>
  <c r="M125" i="39" s="1"/>
  <c r="N125" i="39" s="1"/>
  <c r="L127" i="39"/>
  <c r="M127" i="39" s="1"/>
  <c r="N127" i="39" s="1"/>
  <c r="L126" i="39"/>
  <c r="M126" i="39" s="1"/>
  <c r="N126" i="39" s="1"/>
  <c r="I490" i="39"/>
  <c r="J490" i="39" s="1"/>
  <c r="I273" i="39"/>
  <c r="J273" i="39" s="1"/>
  <c r="I271" i="39"/>
  <c r="J271" i="39" s="1"/>
  <c r="I272" i="39"/>
  <c r="J272" i="39" s="1"/>
  <c r="I429" i="39"/>
  <c r="J429" i="39" s="1"/>
  <c r="K142" i="42"/>
  <c r="L142" i="42" s="1"/>
  <c r="I489" i="39"/>
  <c r="J489" i="39" s="1"/>
  <c r="I488" i="39"/>
  <c r="J488" i="39" s="1"/>
  <c r="I487" i="39"/>
  <c r="J487" i="39" s="1"/>
  <c r="I482" i="39"/>
  <c r="J482" i="39" s="1"/>
  <c r="I481" i="39"/>
  <c r="J481" i="39" s="1"/>
  <c r="I480" i="39"/>
  <c r="J480" i="39" s="1"/>
  <c r="I479" i="39"/>
  <c r="J479" i="39" s="1"/>
  <c r="I478" i="39"/>
  <c r="J478" i="39" s="1"/>
  <c r="I477" i="39"/>
  <c r="J477" i="39" s="1"/>
  <c r="I476" i="39"/>
  <c r="J476" i="39" s="1"/>
  <c r="I475" i="39"/>
  <c r="J475" i="39" s="1"/>
  <c r="I474" i="39"/>
  <c r="J474" i="39" s="1"/>
  <c r="I473" i="39"/>
  <c r="J473" i="39" s="1"/>
  <c r="I472" i="39"/>
  <c r="J472" i="39" s="1"/>
  <c r="I471" i="39"/>
  <c r="J471" i="39" s="1"/>
  <c r="I470" i="39"/>
  <c r="J470" i="39" s="1"/>
  <c r="I469" i="39"/>
  <c r="J469" i="39" s="1"/>
  <c r="I468" i="39"/>
  <c r="J468" i="39" s="1"/>
  <c r="I467" i="39"/>
  <c r="J467" i="39" s="1"/>
  <c r="I466" i="39"/>
  <c r="J466" i="39" s="1"/>
  <c r="I465" i="39"/>
  <c r="J465" i="39" s="1"/>
  <c r="I464" i="39"/>
  <c r="J464" i="39" s="1"/>
  <c r="I463" i="39"/>
  <c r="J463" i="39" s="1"/>
  <c r="I462" i="39"/>
  <c r="J462" i="39" s="1"/>
  <c r="I461" i="39"/>
  <c r="J461" i="39" s="1"/>
  <c r="I460" i="39"/>
  <c r="J460" i="39" s="1"/>
  <c r="I459" i="39"/>
  <c r="J459" i="39" s="1"/>
  <c r="I458" i="39"/>
  <c r="J458" i="39" s="1"/>
  <c r="I457" i="39"/>
  <c r="J457" i="39" s="1"/>
  <c r="I267" i="39"/>
  <c r="J267" i="39" s="1"/>
  <c r="I268" i="39"/>
  <c r="J268" i="39" s="1"/>
  <c r="I269" i="39"/>
  <c r="J269" i="39" s="1"/>
  <c r="I270" i="39"/>
  <c r="J270" i="39" s="1"/>
  <c r="I265" i="39"/>
  <c r="J265" i="39" s="1"/>
  <c r="I264" i="39"/>
  <c r="J264" i="39" s="1"/>
  <c r="I266" i="39"/>
  <c r="J266" i="39" s="1"/>
  <c r="I262" i="39"/>
  <c r="J262" i="39" s="1"/>
  <c r="I263" i="39"/>
  <c r="J263" i="39" s="1"/>
  <c r="I261" i="39"/>
  <c r="J261" i="39" s="1"/>
  <c r="I258" i="39"/>
  <c r="J258" i="39" s="1"/>
  <c r="I260" i="39"/>
  <c r="J260" i="39" s="1"/>
  <c r="I259" i="39"/>
  <c r="J259" i="39" s="1"/>
  <c r="I257" i="39"/>
  <c r="J257" i="39" s="1"/>
  <c r="I256" i="39"/>
  <c r="J256" i="39" s="1"/>
  <c r="I255" i="39"/>
  <c r="J255" i="39" s="1"/>
  <c r="I254" i="39"/>
  <c r="J254" i="39" s="1"/>
  <c r="I253" i="39"/>
  <c r="J253" i="39" s="1"/>
  <c r="I251" i="39"/>
  <c r="J251" i="39" s="1"/>
  <c r="I250" i="39"/>
  <c r="J250" i="39" s="1"/>
  <c r="I252" i="39"/>
  <c r="J252" i="39" s="1"/>
  <c r="I249" i="39"/>
  <c r="J249" i="39" s="1"/>
  <c r="I248" i="39"/>
  <c r="J248" i="39" s="1"/>
  <c r="I247" i="39"/>
  <c r="J247" i="39" s="1"/>
  <c r="I246" i="39"/>
  <c r="J246" i="39" s="1"/>
  <c r="I245" i="39"/>
  <c r="J245" i="39" s="1"/>
  <c r="I244" i="39"/>
  <c r="J244" i="39" s="1"/>
  <c r="I243" i="39"/>
  <c r="J243" i="39" s="1"/>
  <c r="I242" i="39"/>
  <c r="J242" i="39" s="1"/>
  <c r="I241" i="39"/>
  <c r="J241" i="39" s="1"/>
  <c r="I240" i="39"/>
  <c r="J240" i="39" s="1"/>
  <c r="I239" i="39"/>
  <c r="J239" i="39" s="1"/>
  <c r="I238" i="39"/>
  <c r="J238" i="39" s="1"/>
  <c r="I237" i="39"/>
  <c r="J237" i="39" s="1"/>
  <c r="I236" i="39"/>
  <c r="J236" i="39" s="1"/>
  <c r="I235" i="39"/>
  <c r="J235" i="39" s="1"/>
  <c r="I234" i="39"/>
  <c r="J234" i="39" s="1"/>
  <c r="I233" i="39"/>
  <c r="J233" i="39" s="1"/>
  <c r="I232" i="39"/>
  <c r="J232" i="39" s="1"/>
  <c r="I231" i="39"/>
  <c r="J231" i="39" s="1"/>
  <c r="I230" i="39"/>
  <c r="J230" i="39" s="1"/>
  <c r="I229" i="39"/>
  <c r="J229" i="39" s="1"/>
  <c r="I228" i="39"/>
  <c r="J228" i="39" s="1"/>
  <c r="I227" i="39"/>
  <c r="J227" i="39" s="1"/>
  <c r="I226" i="39"/>
  <c r="J226" i="39" s="1"/>
  <c r="I225" i="39"/>
  <c r="J225" i="39" s="1"/>
  <c r="I224" i="39"/>
  <c r="J224" i="39" s="1"/>
  <c r="I223" i="39"/>
  <c r="J223" i="39" s="1"/>
  <c r="I222" i="39"/>
  <c r="J222" i="39" s="1"/>
  <c r="I221" i="39"/>
  <c r="J221" i="39" s="1"/>
  <c r="I220" i="39"/>
  <c r="J220" i="39" s="1"/>
  <c r="I428" i="39"/>
  <c r="J428" i="39" s="1"/>
  <c r="I427" i="39"/>
  <c r="J427" i="39" s="1"/>
  <c r="I426" i="39"/>
  <c r="J426" i="39" s="1"/>
  <c r="I425" i="39"/>
  <c r="J425" i="39" s="1"/>
  <c r="I424" i="39"/>
  <c r="J424" i="39" s="1"/>
  <c r="I423" i="39"/>
  <c r="J423" i="39" s="1"/>
  <c r="I422" i="39"/>
  <c r="J422" i="39" s="1"/>
  <c r="I421" i="39"/>
  <c r="J421" i="39" s="1"/>
  <c r="I420" i="39"/>
  <c r="J420" i="39" s="1"/>
  <c r="I419" i="39"/>
  <c r="J419" i="39" s="1"/>
  <c r="I418" i="39"/>
  <c r="J418" i="39" s="1"/>
  <c r="I417" i="39"/>
  <c r="J417" i="39" s="1"/>
  <c r="I416" i="39"/>
  <c r="J416" i="39" s="1"/>
  <c r="K93" i="42"/>
  <c r="L93" i="42" s="1"/>
  <c r="L148" i="17"/>
  <c r="M148" i="17" s="1"/>
  <c r="N148" i="17" s="1"/>
  <c r="O148" i="17" s="1"/>
  <c r="K166" i="42"/>
  <c r="L166" i="42" s="1"/>
  <c r="K110" i="42"/>
  <c r="L110" i="42" s="1"/>
  <c r="K108" i="42"/>
  <c r="L108" i="42" s="1"/>
  <c r="K141" i="42"/>
  <c r="L141" i="42" s="1"/>
  <c r="K427" i="39"/>
  <c r="L427" i="39" s="1"/>
  <c r="M427" i="39" s="1"/>
  <c r="N427" i="39" s="1"/>
  <c r="B427" i="39"/>
  <c r="K266" i="39"/>
  <c r="L266" i="39" s="1"/>
  <c r="M266" i="39" s="1"/>
  <c r="N266" i="39" s="1"/>
  <c r="K140" i="42"/>
  <c r="L140" i="42" s="1"/>
  <c r="K124" i="39"/>
  <c r="L124" i="39" s="1"/>
  <c r="M124" i="39" s="1"/>
  <c r="N124" i="39" s="1"/>
  <c r="B124" i="39"/>
  <c r="B191" i="39" s="1"/>
  <c r="K123" i="39"/>
  <c r="L121" i="39"/>
  <c r="M121" i="39" s="1"/>
  <c r="N121" i="39" s="1"/>
  <c r="L122" i="39"/>
  <c r="M122" i="39" s="1"/>
  <c r="N122" i="39" s="1"/>
  <c r="K426" i="39"/>
  <c r="L426" i="39" s="1"/>
  <c r="M426" i="39" s="1"/>
  <c r="N426" i="39" s="1"/>
  <c r="B426" i="39"/>
  <c r="K91" i="42"/>
  <c r="L91" i="42" s="1"/>
  <c r="K425" i="39"/>
  <c r="L425" i="39" s="1"/>
  <c r="M425" i="39" s="1"/>
  <c r="N425" i="39" s="1"/>
  <c r="M90" i="42"/>
  <c r="N90" i="42" s="1"/>
  <c r="O90" i="42" s="1"/>
  <c r="P90" i="42" s="1"/>
  <c r="Q11" i="17"/>
  <c r="K135" i="42"/>
  <c r="L135" i="42" s="1"/>
  <c r="K136" i="42"/>
  <c r="L136" i="42" s="1"/>
  <c r="K137" i="42"/>
  <c r="L137" i="42" s="1"/>
  <c r="K138" i="42"/>
  <c r="L138" i="42" s="1"/>
  <c r="K139" i="42"/>
  <c r="L139" i="42" s="1"/>
  <c r="K130" i="42"/>
  <c r="L130" i="42" s="1"/>
  <c r="K131" i="42"/>
  <c r="L131" i="42" s="1"/>
  <c r="K132" i="42"/>
  <c r="L132" i="42" s="1"/>
  <c r="K133" i="42"/>
  <c r="L133" i="42" s="1"/>
  <c r="K134" i="42"/>
  <c r="L134" i="42" s="1"/>
  <c r="K90" i="42"/>
  <c r="L90" i="42" s="1"/>
  <c r="L143" i="17"/>
  <c r="M143" i="17" s="1"/>
  <c r="N143" i="17" s="1"/>
  <c r="O143" i="17" s="1"/>
  <c r="K82" i="42"/>
  <c r="L82" i="42" s="1"/>
  <c r="L35" i="17"/>
  <c r="M35" i="17" s="1"/>
  <c r="N35" i="17" s="1"/>
  <c r="O35" i="17" s="1"/>
  <c r="L142" i="17"/>
  <c r="M142" i="17" s="1"/>
  <c r="N142" i="17" s="1"/>
  <c r="O142" i="17" s="1"/>
  <c r="L168" i="17"/>
  <c r="M168" i="17" s="1"/>
  <c r="N168" i="17" s="1"/>
  <c r="O168" i="17" s="1"/>
  <c r="J168" i="17"/>
  <c r="K168" i="17" s="1"/>
  <c r="L103" i="17"/>
  <c r="M103" i="17" s="1"/>
  <c r="N103" i="17" s="1"/>
  <c r="O103" i="17" s="1"/>
  <c r="L32" i="17"/>
  <c r="M32" i="17" s="1"/>
  <c r="N32" i="17" s="1"/>
  <c r="O32" i="17" s="1"/>
  <c r="M136" i="42"/>
  <c r="N136" i="42" s="1"/>
  <c r="K87" i="42"/>
  <c r="L87" i="42" s="1"/>
  <c r="K88" i="42"/>
  <c r="L88" i="42" s="1"/>
  <c r="K89" i="42"/>
  <c r="L89" i="42" s="1"/>
  <c r="K84" i="42"/>
  <c r="L84" i="42" s="1"/>
  <c r="M50" i="42"/>
  <c r="B43" i="26" s="1"/>
  <c r="L521" i="39"/>
  <c r="M521" i="39" s="1"/>
  <c r="N521" i="39" s="1"/>
  <c r="L525" i="39"/>
  <c r="M525" i="39" s="1"/>
  <c r="N525" i="39" s="1"/>
  <c r="L119" i="39"/>
  <c r="M119" i="39" s="1"/>
  <c r="N119" i="39" s="1"/>
  <c r="I363" i="39"/>
  <c r="J363" i="39" s="1"/>
  <c r="I351" i="39"/>
  <c r="J351" i="39" s="1"/>
  <c r="I375" i="39"/>
  <c r="J375" i="39" s="1"/>
  <c r="I371" i="39"/>
  <c r="J371" i="39" s="1"/>
  <c r="I347" i="39"/>
  <c r="J347" i="39" s="1"/>
  <c r="I357" i="39"/>
  <c r="J357" i="39" s="1"/>
  <c r="I358" i="39"/>
  <c r="J358" i="39" s="1"/>
  <c r="I360" i="39"/>
  <c r="J360" i="39" s="1"/>
  <c r="I364" i="39"/>
  <c r="J364" i="39" s="1"/>
  <c r="I368" i="39"/>
  <c r="J368" i="39" s="1"/>
  <c r="I369" i="39"/>
  <c r="J369" i="39" s="1"/>
  <c r="I372" i="39"/>
  <c r="J372" i="39" s="1"/>
  <c r="I373" i="39"/>
  <c r="J373" i="39" s="1"/>
  <c r="I374" i="39"/>
  <c r="J374" i="39" s="1"/>
  <c r="I378" i="39"/>
  <c r="J378" i="39" s="1"/>
  <c r="I377" i="39"/>
  <c r="J377" i="39" s="1"/>
  <c r="I376" i="39"/>
  <c r="J376" i="39" s="1"/>
  <c r="I348" i="39"/>
  <c r="J348" i="39" s="1"/>
  <c r="I349" i="39"/>
  <c r="J349" i="39" s="1"/>
  <c r="I352" i="39"/>
  <c r="J352" i="39" s="1"/>
  <c r="I356" i="39"/>
  <c r="J356" i="39" s="1"/>
  <c r="I353" i="39"/>
  <c r="J353" i="39" s="1"/>
  <c r="I365" i="39"/>
  <c r="J365" i="39" s="1"/>
  <c r="I366" i="39"/>
  <c r="J366" i="39" s="1"/>
  <c r="I361" i="39"/>
  <c r="J361" i="39" s="1"/>
  <c r="I362" i="39"/>
  <c r="J362" i="39" s="1"/>
  <c r="I339" i="39"/>
  <c r="J339" i="39" s="1"/>
  <c r="I337" i="39"/>
  <c r="J337" i="39" s="1"/>
  <c r="I340" i="39"/>
  <c r="J340" i="39" s="1"/>
  <c r="I343" i="39"/>
  <c r="J343" i="39" s="1"/>
  <c r="I350" i="39"/>
  <c r="J350" i="39" s="1"/>
  <c r="I367" i="39"/>
  <c r="J367" i="39" s="1"/>
  <c r="I370" i="39"/>
  <c r="J370" i="39" s="1"/>
  <c r="I344" i="39"/>
  <c r="J344" i="39" s="1"/>
  <c r="I345" i="39"/>
  <c r="J345" i="39" s="1"/>
  <c r="I346" i="39"/>
  <c r="J346" i="39" s="1"/>
  <c r="I354" i="39"/>
  <c r="J354" i="39" s="1"/>
  <c r="I355" i="39"/>
  <c r="J355" i="39" s="1"/>
  <c r="I338" i="39"/>
  <c r="J338" i="39" s="1"/>
  <c r="I341" i="39"/>
  <c r="J341" i="39" s="1"/>
  <c r="I51" i="39"/>
  <c r="J51" i="39" s="1"/>
  <c r="L51" i="39"/>
  <c r="M51" i="39" s="1"/>
  <c r="N51" i="39" s="1"/>
  <c r="I65" i="39"/>
  <c r="J65" i="39" s="1"/>
  <c r="L65" i="39"/>
  <c r="M65" i="39" s="1"/>
  <c r="N65" i="39" s="1"/>
  <c r="I66" i="39"/>
  <c r="J66" i="39" s="1"/>
  <c r="L66" i="39"/>
  <c r="M66" i="39" s="1"/>
  <c r="N66" i="39" s="1"/>
  <c r="I67" i="39"/>
  <c r="J67" i="39" s="1"/>
  <c r="L67" i="39"/>
  <c r="M67" i="39" s="1"/>
  <c r="N67" i="39" s="1"/>
  <c r="I69" i="39"/>
  <c r="J69" i="39" s="1"/>
  <c r="L69" i="39"/>
  <c r="M69" i="39" s="1"/>
  <c r="N69" i="39" s="1"/>
  <c r="I72" i="39"/>
  <c r="J72" i="39" s="1"/>
  <c r="L72" i="39"/>
  <c r="M72" i="39" s="1"/>
  <c r="N72" i="39" s="1"/>
  <c r="I84" i="39"/>
  <c r="J84" i="39" s="1"/>
  <c r="L84" i="39"/>
  <c r="M84" i="39" s="1"/>
  <c r="N84" i="39" s="1"/>
  <c r="I82" i="39"/>
  <c r="J82" i="39" s="1"/>
  <c r="L82" i="39"/>
  <c r="M82" i="39" s="1"/>
  <c r="N82" i="39" s="1"/>
  <c r="I80" i="39"/>
  <c r="J80" i="39" s="1"/>
  <c r="L80" i="39"/>
  <c r="M80" i="39" s="1"/>
  <c r="N80" i="39" s="1"/>
  <c r="I83" i="39"/>
  <c r="J83" i="39" s="1"/>
  <c r="L83" i="39"/>
  <c r="M83" i="39" s="1"/>
  <c r="N83" i="39" s="1"/>
  <c r="I81" i="39"/>
  <c r="J81" i="39" s="1"/>
  <c r="L81" i="39"/>
  <c r="M81" i="39" s="1"/>
  <c r="N81" i="39" s="1"/>
  <c r="I91" i="39"/>
  <c r="J91" i="39" s="1"/>
  <c r="L91" i="39"/>
  <c r="M91" i="39" s="1"/>
  <c r="N91" i="39" s="1"/>
  <c r="I92" i="39"/>
  <c r="J92" i="39" s="1"/>
  <c r="L92" i="39"/>
  <c r="M92" i="39" s="1"/>
  <c r="N92" i="39" s="1"/>
  <c r="I100" i="39"/>
  <c r="J100" i="39" s="1"/>
  <c r="L100" i="39"/>
  <c r="M100" i="39" s="1"/>
  <c r="N100" i="39" s="1"/>
  <c r="I41" i="39"/>
  <c r="J41" i="39" s="1"/>
  <c r="L41" i="39"/>
  <c r="M41" i="39" s="1"/>
  <c r="N41" i="39" s="1"/>
  <c r="I106" i="39"/>
  <c r="J106" i="39" s="1"/>
  <c r="L106" i="39"/>
  <c r="M106" i="39" s="1"/>
  <c r="N106" i="39" s="1"/>
  <c r="L114" i="39"/>
  <c r="M114" i="39" s="1"/>
  <c r="N114" i="39" s="1"/>
  <c r="I42" i="39"/>
  <c r="J42" i="39" s="1"/>
  <c r="L42" i="39"/>
  <c r="M42" i="39" s="1"/>
  <c r="N42" i="39" s="1"/>
  <c r="I43" i="39"/>
  <c r="J43" i="39" s="1"/>
  <c r="L43" i="39"/>
  <c r="M43" i="39" s="1"/>
  <c r="N43" i="39" s="1"/>
  <c r="I52" i="39"/>
  <c r="J52" i="39" s="1"/>
  <c r="L52" i="39"/>
  <c r="M52" i="39" s="1"/>
  <c r="N52" i="39" s="1"/>
  <c r="I44" i="39"/>
  <c r="J44" i="39" s="1"/>
  <c r="L44" i="39"/>
  <c r="M44" i="39" s="1"/>
  <c r="N44" i="39" s="1"/>
  <c r="I73" i="39"/>
  <c r="J73" i="39" s="1"/>
  <c r="L73" i="39"/>
  <c r="M73" i="39" s="1"/>
  <c r="N73" i="39" s="1"/>
  <c r="I101" i="39"/>
  <c r="J101" i="39" s="1"/>
  <c r="L101" i="39"/>
  <c r="M101" i="39" s="1"/>
  <c r="N101" i="39" s="1"/>
  <c r="I45" i="39"/>
  <c r="J45" i="39" s="1"/>
  <c r="L45" i="39"/>
  <c r="M45" i="39" s="1"/>
  <c r="N45" i="39" s="1"/>
  <c r="I29" i="39"/>
  <c r="J29" i="39" s="1"/>
  <c r="L29" i="39"/>
  <c r="M29" i="39" s="1"/>
  <c r="N29" i="39" s="1"/>
  <c r="I30" i="39"/>
  <c r="J30" i="39" s="1"/>
  <c r="L30" i="39"/>
  <c r="M30" i="39" s="1"/>
  <c r="N30" i="39" s="1"/>
  <c r="I53" i="39"/>
  <c r="J53" i="39" s="1"/>
  <c r="L53" i="39"/>
  <c r="M53" i="39" s="1"/>
  <c r="N53" i="39" s="1"/>
  <c r="I13" i="39"/>
  <c r="J13" i="39" s="1"/>
  <c r="L13" i="39"/>
  <c r="I19" i="39"/>
  <c r="J19" i="39" s="1"/>
  <c r="L19" i="39"/>
  <c r="M19" i="39" s="1"/>
  <c r="N19" i="39" s="1"/>
  <c r="I54" i="39"/>
  <c r="J54" i="39" s="1"/>
  <c r="L54" i="39"/>
  <c r="M54" i="39" s="1"/>
  <c r="N54" i="39" s="1"/>
  <c r="I20" i="39"/>
  <c r="J20" i="39" s="1"/>
  <c r="L20" i="39"/>
  <c r="M20" i="39" s="1"/>
  <c r="N20" i="39" s="1"/>
  <c r="I35" i="39"/>
  <c r="J35" i="39" s="1"/>
  <c r="L35" i="39"/>
  <c r="M35" i="39" s="1"/>
  <c r="N35" i="39" s="1"/>
  <c r="I56" i="39"/>
  <c r="J56" i="39" s="1"/>
  <c r="L56" i="39"/>
  <c r="M56" i="39" s="1"/>
  <c r="N56" i="39" s="1"/>
  <c r="I68" i="39"/>
  <c r="J68" i="39" s="1"/>
  <c r="L68" i="39"/>
  <c r="M68" i="39" s="1"/>
  <c r="N68" i="39" s="1"/>
  <c r="I86" i="39"/>
  <c r="J86" i="39" s="1"/>
  <c r="L86" i="39"/>
  <c r="M86" i="39" s="1"/>
  <c r="N86" i="39" s="1"/>
  <c r="I21" i="39"/>
  <c r="J21" i="39" s="1"/>
  <c r="L21" i="39"/>
  <c r="M21" i="39" s="1"/>
  <c r="N21" i="39" s="1"/>
  <c r="I46" i="39"/>
  <c r="J46" i="39" s="1"/>
  <c r="L46" i="39"/>
  <c r="M46" i="39" s="1"/>
  <c r="N46" i="39" s="1"/>
  <c r="I14" i="39"/>
  <c r="J14" i="39" s="1"/>
  <c r="L14" i="39"/>
  <c r="M14" i="39" s="1"/>
  <c r="N14" i="39" s="1"/>
  <c r="I47" i="39"/>
  <c r="J47" i="39" s="1"/>
  <c r="L47" i="39"/>
  <c r="M47" i="39" s="1"/>
  <c r="N47" i="39" s="1"/>
  <c r="I48" i="39"/>
  <c r="J48" i="39" s="1"/>
  <c r="L48" i="39"/>
  <c r="M48" i="39" s="1"/>
  <c r="N48" i="39" s="1"/>
  <c r="I57" i="39"/>
  <c r="J57" i="39" s="1"/>
  <c r="L57" i="39"/>
  <c r="M57" i="39" s="1"/>
  <c r="N57" i="39" s="1"/>
  <c r="I58" i="39"/>
  <c r="J58" i="39" s="1"/>
  <c r="L58" i="39"/>
  <c r="M58" i="39" s="1"/>
  <c r="N58" i="39" s="1"/>
  <c r="I93" i="39"/>
  <c r="J93" i="39" s="1"/>
  <c r="L93" i="39"/>
  <c r="M93" i="39" s="1"/>
  <c r="N93" i="39" s="1"/>
  <c r="I107" i="39"/>
  <c r="J107" i="39" s="1"/>
  <c r="L107" i="39"/>
  <c r="M107" i="39" s="1"/>
  <c r="N107" i="39" s="1"/>
  <c r="I36" i="39"/>
  <c r="J36" i="39" s="1"/>
  <c r="L36" i="39"/>
  <c r="M36" i="39" s="1"/>
  <c r="N36" i="39" s="1"/>
  <c r="I37" i="39"/>
  <c r="J37" i="39" s="1"/>
  <c r="L37" i="39"/>
  <c r="M37" i="39" s="1"/>
  <c r="N37" i="39" s="1"/>
  <c r="I38" i="39"/>
  <c r="J38" i="39" s="1"/>
  <c r="L38" i="39"/>
  <c r="M38" i="39" s="1"/>
  <c r="N38" i="39" s="1"/>
  <c r="I27" i="39"/>
  <c r="J27" i="39" s="1"/>
  <c r="L27" i="39"/>
  <c r="M27" i="39" s="1"/>
  <c r="N27" i="39" s="1"/>
  <c r="I49" i="39"/>
  <c r="J49" i="39" s="1"/>
  <c r="L49" i="39"/>
  <c r="M49" i="39" s="1"/>
  <c r="N49" i="39" s="1"/>
  <c r="I39" i="39"/>
  <c r="J39" i="39" s="1"/>
  <c r="L39" i="39"/>
  <c r="M39" i="39" s="1"/>
  <c r="N39" i="39" s="1"/>
  <c r="I199" i="39"/>
  <c r="J199" i="39" s="1"/>
  <c r="I194" i="39"/>
  <c r="J194" i="39" s="1"/>
  <c r="I213" i="39"/>
  <c r="J213" i="39" s="1"/>
  <c r="I200" i="39"/>
  <c r="J200" i="39" s="1"/>
  <c r="I195" i="39"/>
  <c r="J195" i="39" s="1"/>
  <c r="I15" i="39"/>
  <c r="J15" i="39" s="1"/>
  <c r="L15" i="39"/>
  <c r="M15" i="39" s="1"/>
  <c r="N15" i="39" s="1"/>
  <c r="I60" i="39"/>
  <c r="J60" i="39" s="1"/>
  <c r="L60" i="39"/>
  <c r="M60" i="39" s="1"/>
  <c r="N60" i="39" s="1"/>
  <c r="I70" i="39"/>
  <c r="J70" i="39" s="1"/>
  <c r="L70" i="39"/>
  <c r="M70" i="39" s="1"/>
  <c r="N70" i="39" s="1"/>
  <c r="I94" i="39"/>
  <c r="J94" i="39" s="1"/>
  <c r="L94" i="39"/>
  <c r="M94" i="39" s="1"/>
  <c r="N94" i="39" s="1"/>
  <c r="I95" i="39"/>
  <c r="J95" i="39" s="1"/>
  <c r="L95" i="39"/>
  <c r="M95" i="39" s="1"/>
  <c r="N95" i="39" s="1"/>
  <c r="I96" i="39"/>
  <c r="J96" i="39" s="1"/>
  <c r="L96" i="39"/>
  <c r="M96" i="39" s="1"/>
  <c r="N96" i="39" s="1"/>
  <c r="I97" i="39"/>
  <c r="J97" i="39" s="1"/>
  <c r="L97" i="39"/>
  <c r="M97" i="39" s="1"/>
  <c r="N97" i="39" s="1"/>
  <c r="I108" i="39"/>
  <c r="J108" i="39" s="1"/>
  <c r="L108" i="39"/>
  <c r="M108" i="39" s="1"/>
  <c r="N108" i="39" s="1"/>
  <c r="I59" i="39"/>
  <c r="J59" i="39" s="1"/>
  <c r="L59" i="39"/>
  <c r="M59" i="39" s="1"/>
  <c r="N59" i="39" s="1"/>
  <c r="I76" i="39"/>
  <c r="J76" i="39" s="1"/>
  <c r="L76" i="39"/>
  <c r="M76" i="39" s="1"/>
  <c r="N76" i="39" s="1"/>
  <c r="I32" i="39"/>
  <c r="J32" i="39" s="1"/>
  <c r="L32" i="39"/>
  <c r="M32" i="39" s="1"/>
  <c r="N32" i="39" s="1"/>
  <c r="I33" i="39"/>
  <c r="J33" i="39" s="1"/>
  <c r="L33" i="39"/>
  <c r="M33" i="39" s="1"/>
  <c r="N33" i="39" s="1"/>
  <c r="I22" i="39"/>
  <c r="J22" i="39" s="1"/>
  <c r="L22" i="39"/>
  <c r="M22" i="39" s="1"/>
  <c r="N22" i="39" s="1"/>
  <c r="I34" i="39"/>
  <c r="J34" i="39" s="1"/>
  <c r="L34" i="39"/>
  <c r="M34" i="39" s="1"/>
  <c r="N34" i="39" s="1"/>
  <c r="I23" i="39"/>
  <c r="J23" i="39" s="1"/>
  <c r="L23" i="39"/>
  <c r="M23" i="39" s="1"/>
  <c r="N23" i="39" s="1"/>
  <c r="I50" i="39"/>
  <c r="J50" i="39" s="1"/>
  <c r="L50" i="39"/>
  <c r="M50" i="39" s="1"/>
  <c r="N50" i="39" s="1"/>
  <c r="I215" i="39"/>
  <c r="J215" i="39" s="1"/>
  <c r="I216" i="39"/>
  <c r="J216" i="39" s="1"/>
  <c r="I196" i="39"/>
  <c r="J196" i="39" s="1"/>
  <c r="I197" i="39"/>
  <c r="J197" i="39" s="1"/>
  <c r="I198" i="39"/>
  <c r="J198" i="39" s="1"/>
  <c r="I63" i="39"/>
  <c r="J63" i="39" s="1"/>
  <c r="L63" i="39"/>
  <c r="M63" i="39" s="1"/>
  <c r="N63" i="39" s="1"/>
  <c r="L116" i="39"/>
  <c r="M116" i="39" s="1"/>
  <c r="N116" i="39" s="1"/>
  <c r="I61" i="39"/>
  <c r="J61" i="39" s="1"/>
  <c r="L61" i="39"/>
  <c r="M61" i="39" s="1"/>
  <c r="N61" i="39" s="1"/>
  <c r="I62" i="39"/>
  <c r="J62" i="39" s="1"/>
  <c r="L62" i="39"/>
  <c r="M62" i="39" s="1"/>
  <c r="N62" i="39" s="1"/>
  <c r="I342" i="39"/>
  <c r="J342" i="39" s="1"/>
  <c r="I24" i="39"/>
  <c r="J24" i="39" s="1"/>
  <c r="L24" i="39"/>
  <c r="M24" i="39" s="1"/>
  <c r="N24" i="39" s="1"/>
  <c r="I16" i="39"/>
  <c r="J16" i="39" s="1"/>
  <c r="L16" i="39"/>
  <c r="M16" i="39" s="1"/>
  <c r="N16" i="39" s="1"/>
  <c r="I17" i="39"/>
  <c r="J17" i="39" s="1"/>
  <c r="L17" i="39"/>
  <c r="M17" i="39" s="1"/>
  <c r="N17" i="39" s="1"/>
  <c r="I18" i="39"/>
  <c r="J18" i="39" s="1"/>
  <c r="L18" i="39"/>
  <c r="M18" i="39" s="1"/>
  <c r="N18" i="39" s="1"/>
  <c r="I28" i="39"/>
  <c r="J28" i="39" s="1"/>
  <c r="L28" i="39"/>
  <c r="M28" i="39" s="1"/>
  <c r="N28" i="39" s="1"/>
  <c r="I98" i="39"/>
  <c r="J98" i="39" s="1"/>
  <c r="L98" i="39"/>
  <c r="M98" i="39" s="1"/>
  <c r="N98" i="39" s="1"/>
  <c r="I40" i="39"/>
  <c r="J40" i="39" s="1"/>
  <c r="L40" i="39"/>
  <c r="M40" i="39" s="1"/>
  <c r="N40" i="39" s="1"/>
  <c r="I25" i="39"/>
  <c r="J25" i="39" s="1"/>
  <c r="L25" i="39"/>
  <c r="M25" i="39" s="1"/>
  <c r="N25" i="39" s="1"/>
  <c r="I207" i="39"/>
  <c r="J207" i="39" s="1"/>
  <c r="I209" i="39"/>
  <c r="J209" i="39" s="1"/>
  <c r="I211" i="39"/>
  <c r="J211" i="39" s="1"/>
  <c r="I218" i="39"/>
  <c r="J218" i="39" s="1"/>
  <c r="I219" i="39"/>
  <c r="J219" i="39" s="1"/>
  <c r="I214" i="39"/>
  <c r="J214" i="39" s="1"/>
  <c r="I201" i="39"/>
  <c r="J201" i="39" s="1"/>
  <c r="I206" i="39"/>
  <c r="J206" i="39" s="1"/>
  <c r="I212" i="39"/>
  <c r="J212" i="39" s="1"/>
  <c r="I210" i="39"/>
  <c r="J210" i="39" s="1"/>
  <c r="I208" i="39"/>
  <c r="J208" i="39" s="1"/>
  <c r="I217" i="39"/>
  <c r="J217" i="39" s="1"/>
  <c r="I203" i="39"/>
  <c r="J203" i="39" s="1"/>
  <c r="I202" i="39"/>
  <c r="J202" i="39" s="1"/>
  <c r="I204" i="39"/>
  <c r="J204" i="39" s="1"/>
  <c r="I205" i="39"/>
  <c r="J205" i="39" s="1"/>
  <c r="I74" i="39"/>
  <c r="J74" i="39" s="1"/>
  <c r="L74" i="39"/>
  <c r="M74" i="39" s="1"/>
  <c r="N74" i="39" s="1"/>
  <c r="I85" i="39"/>
  <c r="J85" i="39" s="1"/>
  <c r="L85" i="39"/>
  <c r="M85" i="39" s="1"/>
  <c r="N85" i="39" s="1"/>
  <c r="I75" i="39"/>
  <c r="J75" i="39" s="1"/>
  <c r="L75" i="39"/>
  <c r="M75" i="39" s="1"/>
  <c r="N75" i="39" s="1"/>
  <c r="I26" i="39"/>
  <c r="J26" i="39" s="1"/>
  <c r="L26" i="39"/>
  <c r="M26" i="39" s="1"/>
  <c r="N26" i="39" s="1"/>
  <c r="I31" i="39"/>
  <c r="J31" i="39" s="1"/>
  <c r="L31" i="39"/>
  <c r="M31" i="39" s="1"/>
  <c r="N31" i="39" s="1"/>
  <c r="I55" i="39"/>
  <c r="J55" i="39" s="1"/>
  <c r="L55" i="39"/>
  <c r="M55" i="39" s="1"/>
  <c r="N55" i="39" s="1"/>
  <c r="I77" i="39"/>
  <c r="J77" i="39" s="1"/>
  <c r="L77" i="39"/>
  <c r="M77" i="39" s="1"/>
  <c r="N77" i="39" s="1"/>
  <c r="I71" i="39"/>
  <c r="J71" i="39" s="1"/>
  <c r="L71" i="39"/>
  <c r="M71" i="39" s="1"/>
  <c r="N71" i="39" s="1"/>
  <c r="I78" i="39"/>
  <c r="J78" i="39" s="1"/>
  <c r="L78" i="39"/>
  <c r="M78" i="39" s="1"/>
  <c r="N78" i="39" s="1"/>
  <c r="I79" i="39"/>
  <c r="J79" i="39" s="1"/>
  <c r="L79" i="39"/>
  <c r="M79" i="39" s="1"/>
  <c r="N79" i="39" s="1"/>
  <c r="I87" i="39"/>
  <c r="J87" i="39" s="1"/>
  <c r="L87" i="39"/>
  <c r="M87" i="39" s="1"/>
  <c r="N87" i="39" s="1"/>
  <c r="I88" i="39"/>
  <c r="J88" i="39" s="1"/>
  <c r="L88" i="39"/>
  <c r="M88" i="39" s="1"/>
  <c r="N88" i="39" s="1"/>
  <c r="I64" i="39"/>
  <c r="J64" i="39" s="1"/>
  <c r="L64" i="39"/>
  <c r="M64" i="39" s="1"/>
  <c r="N64" i="39" s="1"/>
  <c r="K56" i="42"/>
  <c r="L56" i="42" s="1"/>
  <c r="K78" i="42"/>
  <c r="L78" i="42" s="1"/>
  <c r="K79" i="42"/>
  <c r="L79" i="42" s="1"/>
  <c r="K80" i="42"/>
  <c r="L80" i="42" s="1"/>
  <c r="K81" i="42"/>
  <c r="L81" i="42" s="1"/>
  <c r="K77" i="42"/>
  <c r="L77" i="42" s="1"/>
  <c r="K74" i="42"/>
  <c r="L74" i="42" s="1"/>
  <c r="K75" i="42"/>
  <c r="L75" i="42" s="1"/>
  <c r="K76" i="42"/>
  <c r="L76" i="42" s="1"/>
  <c r="K72" i="42"/>
  <c r="L72" i="42" s="1"/>
  <c r="K64" i="42"/>
  <c r="L64" i="42" s="1"/>
  <c r="K65" i="42"/>
  <c r="L65" i="42" s="1"/>
  <c r="K66" i="42"/>
  <c r="L66" i="42" s="1"/>
  <c r="K73" i="42"/>
  <c r="L73" i="42" s="1"/>
  <c r="K68" i="42"/>
  <c r="L68" i="42" s="1"/>
  <c r="K69" i="42"/>
  <c r="L69" i="42" s="1"/>
  <c r="K70" i="42"/>
  <c r="L70" i="42" s="1"/>
  <c r="K71" i="42"/>
  <c r="L71" i="42" s="1"/>
  <c r="K67" i="42"/>
  <c r="L67" i="42" s="1"/>
  <c r="K59" i="42"/>
  <c r="L59" i="42" s="1"/>
  <c r="K60" i="42"/>
  <c r="L60" i="42" s="1"/>
  <c r="K61" i="42"/>
  <c r="L61" i="42" s="1"/>
  <c r="K58" i="42"/>
  <c r="L58" i="42" s="1"/>
  <c r="K54" i="42"/>
  <c r="L54" i="42" s="1"/>
  <c r="K55" i="42"/>
  <c r="L55" i="42" s="1"/>
  <c r="K86" i="42"/>
  <c r="L86" i="42" s="1"/>
  <c r="K62" i="42"/>
  <c r="L62" i="42" s="1"/>
  <c r="K29" i="42"/>
  <c r="L29" i="42" s="1"/>
  <c r="K30" i="42"/>
  <c r="L30" i="42" s="1"/>
  <c r="K31" i="42"/>
  <c r="L31" i="42" s="1"/>
  <c r="K32" i="42"/>
  <c r="L32" i="42" s="1"/>
  <c r="K33" i="42"/>
  <c r="L33" i="42" s="1"/>
  <c r="K34" i="42"/>
  <c r="L34" i="42" s="1"/>
  <c r="K23" i="42"/>
  <c r="K20" i="42"/>
  <c r="K21" i="42"/>
  <c r="K22" i="42"/>
  <c r="K158" i="42"/>
  <c r="K19" i="42"/>
  <c r="K13" i="42"/>
  <c r="K18" i="42"/>
  <c r="L18" i="42" s="1"/>
  <c r="K157" i="42"/>
  <c r="L157" i="42" s="1"/>
  <c r="J224" i="17"/>
  <c r="J226" i="17"/>
  <c r="K226" i="17" s="1"/>
  <c r="J273" i="17"/>
  <c r="J275" i="17"/>
  <c r="K275" i="17" s="1"/>
  <c r="J136" i="17"/>
  <c r="K136" i="17" s="1"/>
  <c r="H53" i="26"/>
  <c r="D53" i="26"/>
  <c r="H8" i="26"/>
  <c r="AP14" i="43"/>
  <c r="AJ15" i="43"/>
  <c r="R18" i="43"/>
  <c r="X23" i="43"/>
  <c r="Y23" i="43" s="1"/>
  <c r="AA23" i="43" s="1"/>
  <c r="AP31" i="43"/>
  <c r="AJ31" i="43"/>
  <c r="AJ47" i="43"/>
  <c r="AP47" i="43"/>
  <c r="X49" i="43"/>
  <c r="Y49" i="43" s="1"/>
  <c r="AA49" i="43" s="1"/>
  <c r="AB49" i="43" s="1"/>
  <c r="X25" i="43"/>
  <c r="Y25" i="43" s="1"/>
  <c r="AA25" i="43" s="1"/>
  <c r="R25" i="43"/>
  <c r="V25" i="43" s="1"/>
  <c r="AP25" i="43"/>
  <c r="AJ49" i="43"/>
  <c r="AP49" i="43"/>
  <c r="R14" i="43"/>
  <c r="AJ20" i="43"/>
  <c r="AL20" i="43" s="1"/>
  <c r="AP26" i="43"/>
  <c r="AJ57" i="43"/>
  <c r="X21" i="43"/>
  <c r="Y21" i="43" s="1"/>
  <c r="AA21" i="43" s="1"/>
  <c r="R21" i="43"/>
  <c r="V21" i="43" s="1"/>
  <c r="AJ28" i="43"/>
  <c r="AP28" i="43"/>
  <c r="AJ29" i="43"/>
  <c r="R29" i="43"/>
  <c r="V29" i="43" s="1"/>
  <c r="AP29" i="43"/>
  <c r="AP32" i="43"/>
  <c r="AP34" i="43"/>
  <c r="AP38" i="43"/>
  <c r="AP42" i="43"/>
  <c r="AP44" i="43"/>
  <c r="AJ46" i="43"/>
  <c r="X46" i="43"/>
  <c r="Y46" i="43" s="1"/>
  <c r="AA46" i="43" s="1"/>
  <c r="AP46" i="43"/>
  <c r="AN53" i="43"/>
  <c r="X32" i="43"/>
  <c r="Y32" i="43" s="1"/>
  <c r="AA32" i="43" s="1"/>
  <c r="AJ33" i="43"/>
  <c r="AJ37" i="43"/>
  <c r="R38" i="43"/>
  <c r="X38" i="43"/>
  <c r="Y38" i="43" s="1"/>
  <c r="AA38" i="43" s="1"/>
  <c r="R42" i="43"/>
  <c r="X42" i="43"/>
  <c r="Y42" i="43" s="1"/>
  <c r="AA42" i="43" s="1"/>
  <c r="AJ43" i="43"/>
  <c r="R44" i="43"/>
  <c r="AJ45" i="43"/>
  <c r="AP54" i="43"/>
  <c r="R62" i="43"/>
  <c r="V62" i="43" s="1"/>
  <c r="AL62" i="43" s="1"/>
  <c r="AJ62" i="43"/>
  <c r="AN62" i="43"/>
  <c r="X84" i="43"/>
  <c r="Y84" i="43" s="1"/>
  <c r="AA84" i="43" s="1"/>
  <c r="R84" i="43"/>
  <c r="AJ84" i="43"/>
  <c r="AP84" i="43"/>
  <c r="R54" i="43"/>
  <c r="AJ56" i="43"/>
  <c r="AN66" i="43"/>
  <c r="AN69" i="43"/>
  <c r="AJ69" i="43"/>
  <c r="AJ70" i="43"/>
  <c r="AP70" i="43" s="1"/>
  <c r="AN70" i="43"/>
  <c r="R86" i="43"/>
  <c r="T86" i="43" s="1"/>
  <c r="AP86" i="43"/>
  <c r="AJ96" i="43"/>
  <c r="AP96" i="43"/>
  <c r="AP97" i="43"/>
  <c r="AJ97" i="43"/>
  <c r="AJ59" i="43"/>
  <c r="AN71" i="43"/>
  <c r="X71" i="43"/>
  <c r="Y71" i="43"/>
  <c r="AA71" i="43" s="1"/>
  <c r="R71" i="43"/>
  <c r="AJ71" i="43"/>
  <c r="AJ72" i="43"/>
  <c r="AN72" i="43"/>
  <c r="X88" i="43"/>
  <c r="Y88" i="43" s="1"/>
  <c r="AA88" i="43" s="1"/>
  <c r="R88" i="43"/>
  <c r="AJ88" i="43"/>
  <c r="R94" i="43"/>
  <c r="V94" i="43" s="1"/>
  <c r="AL94" i="43" s="1"/>
  <c r="AP94" i="43"/>
  <c r="R26" i="43"/>
  <c r="R28" i="43"/>
  <c r="R49" i="43"/>
  <c r="R51" i="43"/>
  <c r="T51" i="43" s="1"/>
  <c r="AN58" i="43"/>
  <c r="X63" i="43"/>
  <c r="Y63" i="43" s="1"/>
  <c r="AA63" i="43" s="1"/>
  <c r="R63" i="43"/>
  <c r="AJ63" i="43"/>
  <c r="R82" i="43"/>
  <c r="R90" i="43"/>
  <c r="AP90" i="43"/>
  <c r="AP93" i="43"/>
  <c r="R66" i="43"/>
  <c r="V66" i="43" s="1"/>
  <c r="AN68" i="43"/>
  <c r="R75" i="43"/>
  <c r="T75" i="43" s="1"/>
  <c r="X75" i="43"/>
  <c r="Y75" i="43" s="1"/>
  <c r="AA75" i="43" s="1"/>
  <c r="AN75" i="43"/>
  <c r="R93" i="43"/>
  <c r="AJ94" i="43"/>
  <c r="Q95" i="43"/>
  <c r="AP95" i="43"/>
  <c r="R104" i="43"/>
  <c r="V104" i="43" s="1"/>
  <c r="AL104" i="43" s="1"/>
  <c r="X111" i="43"/>
  <c r="Y111" i="43" s="1"/>
  <c r="AA111" i="43" s="1"/>
  <c r="R111" i="43"/>
  <c r="V111" i="43" s="1"/>
  <c r="R121" i="43"/>
  <c r="T121" i="43" s="1"/>
  <c r="P114" i="43"/>
  <c r="AJ100" i="43"/>
  <c r="AN100" i="43"/>
  <c r="N114" i="43"/>
  <c r="AJ128" i="43"/>
  <c r="AP128" i="43"/>
  <c r="R128" i="43"/>
  <c r="V128" i="43" s="1"/>
  <c r="AL128" i="43" s="1"/>
  <c r="AN103" i="43"/>
  <c r="AN105" i="43"/>
  <c r="AN107" i="43"/>
  <c r="R109" i="43"/>
  <c r="T111" i="43"/>
  <c r="AP122" i="43"/>
  <c r="AP124" i="43"/>
  <c r="AP130" i="43"/>
  <c r="X130" i="43"/>
  <c r="Y130" i="43"/>
  <c r="AA130" i="43" s="1"/>
  <c r="AJ103" i="43"/>
  <c r="AJ105" i="43"/>
  <c r="AJ107" i="43"/>
  <c r="AJ111" i="43"/>
  <c r="AN111" i="43"/>
  <c r="AJ122" i="43"/>
  <c r="AJ124" i="43"/>
  <c r="AJ126" i="43"/>
  <c r="AP133" i="43"/>
  <c r="AJ133" i="43"/>
  <c r="AJ134" i="43"/>
  <c r="X136" i="43"/>
  <c r="Y136" i="43" s="1"/>
  <c r="AA136" i="43" s="1"/>
  <c r="AP136" i="43"/>
  <c r="R136" i="43"/>
  <c r="V136" i="43" s="1"/>
  <c r="R103" i="43"/>
  <c r="V103" i="43" s="1"/>
  <c r="AL103" i="43" s="1"/>
  <c r="AJ104" i="43"/>
  <c r="AJ106" i="43"/>
  <c r="AJ108" i="43"/>
  <c r="X122" i="43"/>
  <c r="Y122" i="43" s="1"/>
  <c r="AA122" i="43" s="1"/>
  <c r="AJ123" i="43"/>
  <c r="AL123" i="43" s="1"/>
  <c r="AJ125" i="43"/>
  <c r="AJ127" i="43"/>
  <c r="X128" i="43"/>
  <c r="Y128" i="43" s="1"/>
  <c r="AA128" i="43" s="1"/>
  <c r="AJ129" i="43"/>
  <c r="AP156" i="43"/>
  <c r="R157" i="43"/>
  <c r="V157" i="43" s="1"/>
  <c r="AJ170" i="43"/>
  <c r="AP170" i="43"/>
  <c r="X170" i="43"/>
  <c r="Y170" i="43"/>
  <c r="AA170" i="43" s="1"/>
  <c r="R170" i="43"/>
  <c r="R159" i="43"/>
  <c r="AP159" i="43"/>
  <c r="AJ174" i="43"/>
  <c r="AP174" i="43"/>
  <c r="X110" i="43"/>
  <c r="Y110" i="43" s="1"/>
  <c r="AA110" i="43" s="1"/>
  <c r="R137" i="43"/>
  <c r="AJ140" i="43"/>
  <c r="AJ143" i="43"/>
  <c r="X156" i="43"/>
  <c r="Y156" i="43" s="1"/>
  <c r="AA156" i="43" s="1"/>
  <c r="AP169" i="43"/>
  <c r="AJ171" i="43"/>
  <c r="AP172" i="43"/>
  <c r="X172" i="43"/>
  <c r="Y172" i="43" s="1"/>
  <c r="AA172" i="43" s="1"/>
  <c r="R169" i="43"/>
  <c r="T169" i="43" s="1"/>
  <c r="X171" i="43"/>
  <c r="Y171" i="43" s="1"/>
  <c r="AA171" i="43" s="1"/>
  <c r="R171" i="43"/>
  <c r="V171" i="43" s="1"/>
  <c r="AP179" i="43"/>
  <c r="R181" i="43"/>
  <c r="V181" i="43"/>
  <c r="R182" i="43"/>
  <c r="R209" i="43"/>
  <c r="V209" i="43"/>
  <c r="AP178" i="43"/>
  <c r="AJ184" i="43"/>
  <c r="AP184" i="43"/>
  <c r="X174" i="43"/>
  <c r="Y174" i="43" s="1"/>
  <c r="AA174" i="43" s="1"/>
  <c r="R174" i="43"/>
  <c r="V174" i="43" s="1"/>
  <c r="X176" i="43"/>
  <c r="Y176" i="43" s="1"/>
  <c r="AA176" i="43" s="1"/>
  <c r="AB176" i="43" s="1"/>
  <c r="AC176" i="43" s="1"/>
  <c r="R179" i="43"/>
  <c r="V179" i="43"/>
  <c r="AP182" i="43"/>
  <c r="X182" i="43"/>
  <c r="Y182" i="43" s="1"/>
  <c r="AA182" i="43" s="1"/>
  <c r="R141" i="43"/>
  <c r="R156" i="43"/>
  <c r="R178" i="43"/>
  <c r="V178" i="43" s="1"/>
  <c r="AP180" i="43"/>
  <c r="AJ183" i="43"/>
  <c r="X221" i="43"/>
  <c r="Y221" i="43" s="1"/>
  <c r="AA221" i="43" s="1"/>
  <c r="R221" i="43"/>
  <c r="V221" i="43" s="1"/>
  <c r="X225" i="43"/>
  <c r="Y225" i="43" s="1"/>
  <c r="AA225" i="43" s="1"/>
  <c r="X218" i="43"/>
  <c r="Y218" i="43" s="1"/>
  <c r="AA218" i="43" s="1"/>
  <c r="R218" i="43"/>
  <c r="T218" i="43" s="1"/>
  <c r="R236" i="43"/>
  <c r="V236" i="43" s="1"/>
  <c r="AB236" i="43" s="1"/>
  <c r="AC236" i="43" s="1"/>
  <c r="T209" i="43"/>
  <c r="X233" i="43"/>
  <c r="Y233" i="43" s="1"/>
  <c r="AA233" i="43" s="1"/>
  <c r="R233" i="43"/>
  <c r="T233" i="43" s="1"/>
  <c r="R207" i="43"/>
  <c r="V207" i="43" s="1"/>
  <c r="X207" i="43"/>
  <c r="Y207" i="43" s="1"/>
  <c r="AA207" i="43" s="1"/>
  <c r="R211" i="43"/>
  <c r="V211" i="43" s="1"/>
  <c r="X211" i="43"/>
  <c r="Y211" i="43" s="1"/>
  <c r="AA211" i="43" s="1"/>
  <c r="R219" i="43"/>
  <c r="T219" i="43" s="1"/>
  <c r="X234" i="43"/>
  <c r="Y234" i="43" s="1"/>
  <c r="AA234" i="43" s="1"/>
  <c r="R234" i="43"/>
  <c r="V234" i="43" s="1"/>
  <c r="R237" i="43"/>
  <c r="T237" i="43" s="1"/>
  <c r="R220" i="43"/>
  <c r="X238" i="43"/>
  <c r="Y238" i="43"/>
  <c r="AA238" i="43" s="1"/>
  <c r="R238" i="43"/>
  <c r="T238" i="43" s="1"/>
  <c r="X262" i="43"/>
  <c r="Y262" i="43" s="1"/>
  <c r="AA262" i="43" s="1"/>
  <c r="X255" i="43"/>
  <c r="Y255" i="43" s="1"/>
  <c r="AA255" i="43" s="1"/>
  <c r="T247" i="43"/>
  <c r="R262" i="43"/>
  <c r="V262" i="43"/>
  <c r="R268" i="43"/>
  <c r="V268" i="43" s="1"/>
  <c r="V220" i="43"/>
  <c r="T220" i="43"/>
  <c r="V227" i="43"/>
  <c r="T248" i="43"/>
  <c r="T207" i="43"/>
  <c r="T171" i="43"/>
  <c r="R161" i="43"/>
  <c r="V161" i="43" s="1"/>
  <c r="V121" i="43"/>
  <c r="T47" i="43"/>
  <c r="V47" i="43"/>
  <c r="AL47" i="43" s="1"/>
  <c r="T26" i="43"/>
  <c r="V32" i="43"/>
  <c r="AL32" i="43" s="1"/>
  <c r="T32" i="43"/>
  <c r="V18" i="43"/>
  <c r="T18" i="43"/>
  <c r="T21" i="43"/>
  <c r="T156" i="43"/>
  <c r="V156" i="43"/>
  <c r="T122" i="43"/>
  <c r="V75" i="43"/>
  <c r="V14" i="43"/>
  <c r="T14" i="43"/>
  <c r="V15" i="43"/>
  <c r="AL15" i="43" s="1"/>
  <c r="T179" i="43"/>
  <c r="V169" i="43"/>
  <c r="AJ161" i="43"/>
  <c r="T226" i="43"/>
  <c r="T181" i="43"/>
  <c r="AP107" i="43"/>
  <c r="T128" i="43"/>
  <c r="V82" i="43"/>
  <c r="V51" i="43"/>
  <c r="T71" i="43"/>
  <c r="V71" i="43"/>
  <c r="AL71" i="43" s="1"/>
  <c r="V86" i="43"/>
  <c r="T84" i="43"/>
  <c r="V84" i="43"/>
  <c r="AL84" i="43" s="1"/>
  <c r="T62" i="43"/>
  <c r="T49" i="43"/>
  <c r="V49" i="43"/>
  <c r="AL49" i="43" s="1"/>
  <c r="T28" i="43"/>
  <c r="V28" i="43"/>
  <c r="AL28" i="43" s="1"/>
  <c r="AP111" i="43"/>
  <c r="AB84" i="43"/>
  <c r="V38" i="43"/>
  <c r="AL38" i="43" s="1"/>
  <c r="T38" i="43"/>
  <c r="AL25" i="43"/>
  <c r="T20" i="43"/>
  <c r="V20" i="43"/>
  <c r="AP161" i="43"/>
  <c r="T161" i="43"/>
  <c r="X161" i="43"/>
  <c r="Y161" i="43" s="1"/>
  <c r="AA161" i="43" s="1"/>
  <c r="T25" i="43"/>
  <c r="X15" i="43"/>
  <c r="Y15" i="43"/>
  <c r="AA15" i="43" s="1"/>
  <c r="R37" i="43"/>
  <c r="T37" i="43" s="1"/>
  <c r="X123" i="43"/>
  <c r="Y123" i="43" s="1"/>
  <c r="AA123" i="43" s="1"/>
  <c r="R246" i="43"/>
  <c r="T246" i="43" s="1"/>
  <c r="R249" i="43"/>
  <c r="X249" i="43"/>
  <c r="Y249" i="43" s="1"/>
  <c r="AA249" i="43" s="1"/>
  <c r="AB249" i="43" s="1"/>
  <c r="AC249" i="43" s="1"/>
  <c r="R253" i="43"/>
  <c r="V253" i="43" s="1"/>
  <c r="V249" i="43"/>
  <c r="T222" i="43"/>
  <c r="X16" i="43"/>
  <c r="Y16" i="43" s="1"/>
  <c r="AA16" i="43" s="1"/>
  <c r="X45" i="43"/>
  <c r="Y45" i="43"/>
  <c r="AA45" i="43" s="1"/>
  <c r="AP60" i="43"/>
  <c r="X62" i="43"/>
  <c r="Y62" i="43" s="1"/>
  <c r="AA62" i="43" s="1"/>
  <c r="X104" i="43"/>
  <c r="Y104" i="43" s="1"/>
  <c r="AA104" i="43" s="1"/>
  <c r="R176" i="43"/>
  <c r="T176" i="43" s="1"/>
  <c r="AB66" i="43"/>
  <c r="T262" i="43"/>
  <c r="T221" i="43"/>
  <c r="T136" i="43"/>
  <c r="R39" i="43"/>
  <c r="V39" i="43" s="1"/>
  <c r="X121" i="43"/>
  <c r="Y121" i="43" s="1"/>
  <c r="AA121" i="43" s="1"/>
  <c r="X125" i="43"/>
  <c r="Y125" i="43" s="1"/>
  <c r="AA125" i="43" s="1"/>
  <c r="X129" i="43"/>
  <c r="Y129" i="43" s="1"/>
  <c r="AA129" i="43" s="1"/>
  <c r="X203" i="43"/>
  <c r="Y203" i="43" s="1"/>
  <c r="AA203" i="43" s="1"/>
  <c r="X217" i="43"/>
  <c r="Y217" i="43"/>
  <c r="AA217" i="43" s="1"/>
  <c r="X222" i="43"/>
  <c r="Y222" i="43" s="1"/>
  <c r="AA222" i="43" s="1"/>
  <c r="V237" i="43"/>
  <c r="AB237" i="43" s="1"/>
  <c r="AC237" i="43" s="1"/>
  <c r="X61" i="43"/>
  <c r="Y61" i="43" s="1"/>
  <c r="AA61" i="43" s="1"/>
  <c r="V37" i="43"/>
  <c r="AL37" i="43" s="1"/>
  <c r="X33" i="43"/>
  <c r="Y33" i="43" s="1"/>
  <c r="AA33" i="43" s="1"/>
  <c r="AP37" i="43"/>
  <c r="R43" i="43"/>
  <c r="X43" i="43"/>
  <c r="Y43" i="43" s="1"/>
  <c r="AA43" i="43" s="1"/>
  <c r="Y60" i="43"/>
  <c r="AA60" i="43" s="1"/>
  <c r="X67" i="43"/>
  <c r="Y67" i="43" s="1"/>
  <c r="AA67" i="43" s="1"/>
  <c r="R100" i="43"/>
  <c r="T100" i="43" s="1"/>
  <c r="R123" i="43"/>
  <c r="R125" i="43"/>
  <c r="V125" i="43" s="1"/>
  <c r="AL125" i="43" s="1"/>
  <c r="V238" i="43"/>
  <c r="T225" i="43"/>
  <c r="AL111" i="43"/>
  <c r="X41" i="43"/>
  <c r="Y41" i="43" s="1"/>
  <c r="AA41" i="43" s="1"/>
  <c r="AB41" i="43" s="1"/>
  <c r="R74" i="43"/>
  <c r="AP123" i="43"/>
  <c r="AP175" i="43"/>
  <c r="X226" i="43"/>
  <c r="Y226" i="43" s="1"/>
  <c r="AA226" i="43" s="1"/>
  <c r="R239" i="43"/>
  <c r="T239" i="43" s="1"/>
  <c r="V46" i="43"/>
  <c r="AP15" i="43"/>
  <c r="X20" i="43"/>
  <c r="Y20" i="43" s="1"/>
  <c r="AA20" i="43" s="1"/>
  <c r="R41" i="43"/>
  <c r="V41" i="43" s="1"/>
  <c r="R139" i="43"/>
  <c r="T139" i="43" s="1"/>
  <c r="X139" i="43"/>
  <c r="Y139" i="43" s="1"/>
  <c r="AA139" i="43" s="1"/>
  <c r="R175" i="43"/>
  <c r="V175" i="43" s="1"/>
  <c r="X246" i="43"/>
  <c r="Y246" i="43" s="1"/>
  <c r="AA246" i="43" s="1"/>
  <c r="X253" i="43"/>
  <c r="Y253" i="43" s="1"/>
  <c r="AA253" i="43" s="1"/>
  <c r="AB234" i="43"/>
  <c r="AC234" i="43"/>
  <c r="V233" i="43"/>
  <c r="AB233" i="43" s="1"/>
  <c r="V59" i="43"/>
  <c r="AL59" i="43" s="1"/>
  <c r="T234" i="43"/>
  <c r="V74" i="43"/>
  <c r="T74" i="43"/>
  <c r="R203" i="43"/>
  <c r="X74" i="43"/>
  <c r="Y74" i="43" s="1"/>
  <c r="AA74" i="43" s="1"/>
  <c r="R127" i="43"/>
  <c r="V127" i="43" s="1"/>
  <c r="AL127" i="43" s="1"/>
  <c r="R129" i="43"/>
  <c r="I220" i="17"/>
  <c r="J220" i="17" s="1"/>
  <c r="K220" i="17" s="1"/>
  <c r="C3" i="39"/>
  <c r="Q11" i="39" s="1"/>
  <c r="R11" i="39" s="1"/>
  <c r="AC66" i="43"/>
  <c r="V176" i="43"/>
  <c r="V100" i="43"/>
  <c r="AL100" i="43" s="1"/>
  <c r="T175" i="43"/>
  <c r="V239" i="43"/>
  <c r="V123" i="43"/>
  <c r="T123" i="43"/>
  <c r="V43" i="43"/>
  <c r="AL43" i="43" s="1"/>
  <c r="T43" i="43"/>
  <c r="AL46" i="43"/>
  <c r="T127" i="43"/>
  <c r="V67" i="43"/>
  <c r="AB175" i="43"/>
  <c r="AC175" i="43" s="1"/>
  <c r="AB123" i="43"/>
  <c r="P92" i="17" l="1"/>
  <c r="AD49" i="26"/>
  <c r="C43" i="26"/>
  <c r="AC43" i="26"/>
  <c r="AD31" i="26"/>
  <c r="M333" i="39"/>
  <c r="M453" i="39"/>
  <c r="L453" i="39"/>
  <c r="K333" i="39"/>
  <c r="B25" i="26" s="1"/>
  <c r="AC25" i="26" s="1"/>
  <c r="M411" i="39"/>
  <c r="L411" i="39"/>
  <c r="D27" i="26" s="1"/>
  <c r="AE27" i="26" s="1"/>
  <c r="L333" i="39"/>
  <c r="D25" i="26" s="1"/>
  <c r="AE25" i="26" s="1"/>
  <c r="I141" i="17"/>
  <c r="J141" i="17" s="1"/>
  <c r="K141" i="17" s="1"/>
  <c r="I90" i="17"/>
  <c r="J90" i="17" s="1"/>
  <c r="K90" i="17" s="1"/>
  <c r="Q230" i="17"/>
  <c r="R230" i="17" s="1"/>
  <c r="S230" i="17" s="1"/>
  <c r="C3" i="44"/>
  <c r="D3" i="17"/>
  <c r="L5" i="39"/>
  <c r="O325" i="39" s="1"/>
  <c r="P188" i="17"/>
  <c r="P190" i="17"/>
  <c r="P26" i="17"/>
  <c r="P319" i="17"/>
  <c r="P13" i="17"/>
  <c r="P112" i="17"/>
  <c r="Q112" i="17" s="1"/>
  <c r="R112" i="17" s="1"/>
  <c r="S112" i="17" s="1"/>
  <c r="P105" i="17"/>
  <c r="Q105" i="17" s="1"/>
  <c r="R105" i="17" s="1"/>
  <c r="S105" i="17" s="1"/>
  <c r="P101" i="17"/>
  <c r="P85" i="17"/>
  <c r="P309" i="17"/>
  <c r="Q309" i="17" s="1"/>
  <c r="R309" i="17" s="1"/>
  <c r="S309" i="17" s="1"/>
  <c r="P295" i="17"/>
  <c r="Q295" i="17" s="1"/>
  <c r="R295" i="17" s="1"/>
  <c r="S295" i="17" s="1"/>
  <c r="P33" i="17"/>
  <c r="I308" i="17"/>
  <c r="J308" i="17" s="1"/>
  <c r="K308" i="17" s="1"/>
  <c r="P191" i="17"/>
  <c r="P169" i="17"/>
  <c r="P25" i="17"/>
  <c r="Q25" i="17" s="1"/>
  <c r="R25" i="17" s="1"/>
  <c r="S25" i="17" s="1"/>
  <c r="P293" i="17"/>
  <c r="P223" i="17"/>
  <c r="P111" i="17"/>
  <c r="P104" i="17"/>
  <c r="Q104" i="17" s="1"/>
  <c r="R104" i="17" s="1"/>
  <c r="S104" i="17" s="1"/>
  <c r="P269" i="17"/>
  <c r="Q269" i="17" s="1"/>
  <c r="R269" i="17" s="1"/>
  <c r="S269" i="17" s="1"/>
  <c r="I135" i="17"/>
  <c r="J135" i="17" s="1"/>
  <c r="K135" i="17" s="1"/>
  <c r="P275" i="17"/>
  <c r="Q275" i="17" s="1"/>
  <c r="R275" i="17" s="1"/>
  <c r="S275" i="17" s="1"/>
  <c r="P168" i="17"/>
  <c r="Q168" i="17" s="1"/>
  <c r="R168" i="17" s="1"/>
  <c r="S168" i="17" s="1"/>
  <c r="P182" i="17"/>
  <c r="P278" i="17"/>
  <c r="Q278" i="17" s="1"/>
  <c r="R278" i="17" s="1"/>
  <c r="S278" i="17" s="1"/>
  <c r="P330" i="17"/>
  <c r="Q330" i="17" s="1"/>
  <c r="R330" i="17" s="1"/>
  <c r="S330" i="17" s="1"/>
  <c r="P109" i="17"/>
  <c r="Q109" i="17" s="1"/>
  <c r="R109" i="17" s="1"/>
  <c r="S109" i="17" s="1"/>
  <c r="P244" i="17"/>
  <c r="Q244" i="17" s="1"/>
  <c r="R244" i="17" s="1"/>
  <c r="S244" i="17" s="1"/>
  <c r="P93" i="17"/>
  <c r="P145" i="17"/>
  <c r="Q145" i="17" s="1"/>
  <c r="R145" i="17" s="1"/>
  <c r="S145" i="17" s="1"/>
  <c r="P312" i="17"/>
  <c r="P303" i="17"/>
  <c r="P136" i="17"/>
  <c r="P332" i="17"/>
  <c r="Q332" i="17" s="1"/>
  <c r="N5" i="42"/>
  <c r="Q122" i="42" s="1"/>
  <c r="R122" i="42" s="1"/>
  <c r="S122" i="42" s="1"/>
  <c r="T122" i="42" s="1"/>
  <c r="P23" i="17"/>
  <c r="P183" i="17"/>
  <c r="P193" i="17"/>
  <c r="Q92" i="17"/>
  <c r="R92" i="17" s="1"/>
  <c r="S92" i="17" s="1"/>
  <c r="P149" i="17"/>
  <c r="Q149" i="17" s="1"/>
  <c r="R149" i="17" s="1"/>
  <c r="S149" i="17" s="1"/>
  <c r="P32" i="17"/>
  <c r="Q32" i="17" s="1"/>
  <c r="R32" i="17" s="1"/>
  <c r="S32" i="17" s="1"/>
  <c r="P170" i="17"/>
  <c r="P189" i="17"/>
  <c r="Q189" i="17" s="1"/>
  <c r="R189" i="17" s="1"/>
  <c r="S189" i="17" s="1"/>
  <c r="P187" i="17"/>
  <c r="Q187" i="17" s="1"/>
  <c r="R187" i="17" s="1"/>
  <c r="S187" i="17" s="1"/>
  <c r="P108" i="17"/>
  <c r="Q108" i="17" s="1"/>
  <c r="R108" i="17" s="1"/>
  <c r="S108" i="17" s="1"/>
  <c r="P17" i="17"/>
  <c r="P140" i="17"/>
  <c r="P226" i="17"/>
  <c r="Q226" i="17" s="1"/>
  <c r="R226" i="17" s="1"/>
  <c r="S226" i="17" s="1"/>
  <c r="P240" i="17"/>
  <c r="P144" i="17"/>
  <c r="P30" i="17"/>
  <c r="P285" i="17"/>
  <c r="P107" i="17"/>
  <c r="Q107" i="17" s="1"/>
  <c r="R107" i="17" s="1"/>
  <c r="S107" i="17" s="1"/>
  <c r="P317" i="17"/>
  <c r="Q317" i="17" s="1"/>
  <c r="R317" i="17" s="1"/>
  <c r="S317" i="17" s="1"/>
  <c r="P89" i="17"/>
  <c r="P195" i="17"/>
  <c r="Q195" i="17" s="1"/>
  <c r="R195" i="17" s="1"/>
  <c r="S195" i="17" s="1"/>
  <c r="P299" i="17"/>
  <c r="D41" i="26"/>
  <c r="AE41" i="26" s="1"/>
  <c r="P18" i="42"/>
  <c r="L296" i="17"/>
  <c r="M296" i="17" s="1"/>
  <c r="K305" i="17"/>
  <c r="P305" i="17" s="1"/>
  <c r="P127" i="17"/>
  <c r="P159" i="17"/>
  <c r="Q159" i="17" s="1"/>
  <c r="R159" i="17" s="1"/>
  <c r="P160" i="17"/>
  <c r="P75" i="17"/>
  <c r="Q75" i="17" s="1"/>
  <c r="R75" i="17" s="1"/>
  <c r="S75" i="17" s="1"/>
  <c r="P77" i="17"/>
  <c r="P126" i="17"/>
  <c r="Q126" i="17" s="1"/>
  <c r="R126" i="17" s="1"/>
  <c r="S126" i="17" s="1"/>
  <c r="P74" i="17"/>
  <c r="Q74" i="17" s="1"/>
  <c r="R74" i="17" s="1"/>
  <c r="S74" i="17" s="1"/>
  <c r="P78" i="17"/>
  <c r="Q78" i="17" s="1"/>
  <c r="R78" i="17" s="1"/>
  <c r="S78" i="17" s="1"/>
  <c r="P76" i="17"/>
  <c r="Q76" i="17" s="1"/>
  <c r="R76" i="17" s="1"/>
  <c r="S76" i="17" s="1"/>
  <c r="P73" i="17"/>
  <c r="Q73" i="17" s="1"/>
  <c r="R73" i="17" s="1"/>
  <c r="S73" i="17" s="1"/>
  <c r="P79" i="17"/>
  <c r="Q79" i="17" s="1"/>
  <c r="R79" i="17" s="1"/>
  <c r="S79" i="17" s="1"/>
  <c r="P128" i="17"/>
  <c r="AG55" i="44"/>
  <c r="AP55" i="44" s="1"/>
  <c r="L331" i="17"/>
  <c r="M331" i="17" s="1"/>
  <c r="I88" i="17"/>
  <c r="J88" i="17" s="1"/>
  <c r="K88" i="17" s="1"/>
  <c r="N298" i="17"/>
  <c r="O298" i="17" s="1"/>
  <c r="P298" i="17" s="1"/>
  <c r="Q298" i="17" s="1"/>
  <c r="AE91" i="44"/>
  <c r="X91" i="44" s="1"/>
  <c r="Y91" i="44" s="1"/>
  <c r="AA91" i="44" s="1"/>
  <c r="P202" i="17"/>
  <c r="Q202" i="17" s="1"/>
  <c r="R202" i="17" s="1"/>
  <c r="S202" i="17" s="1"/>
  <c r="P124" i="17"/>
  <c r="Q124" i="17" s="1"/>
  <c r="R124" i="17" s="1"/>
  <c r="S124" i="17" s="1"/>
  <c r="P66" i="17"/>
  <c r="Q66" i="17" s="1"/>
  <c r="R66" i="17" s="1"/>
  <c r="S66" i="17" s="1"/>
  <c r="P68" i="17"/>
  <c r="Q68" i="17" s="1"/>
  <c r="R68" i="17" s="1"/>
  <c r="S68" i="17" s="1"/>
  <c r="P67" i="17"/>
  <c r="Q67" i="17" s="1"/>
  <c r="R67" i="17" s="1"/>
  <c r="S67" i="17" s="1"/>
  <c r="P125" i="17"/>
  <c r="Q125" i="17" s="1"/>
  <c r="R125" i="17" s="1"/>
  <c r="S125" i="17" s="1"/>
  <c r="P123" i="17"/>
  <c r="Q123" i="17" s="1"/>
  <c r="R123" i="17" s="1"/>
  <c r="S123" i="17" s="1"/>
  <c r="P72" i="17"/>
  <c r="Q72" i="17" s="1"/>
  <c r="R72" i="17" s="1"/>
  <c r="S72" i="17" s="1"/>
  <c r="P70" i="17"/>
  <c r="Q70" i="17" s="1"/>
  <c r="R70" i="17" s="1"/>
  <c r="S70" i="17" s="1"/>
  <c r="P69" i="17"/>
  <c r="P71" i="17"/>
  <c r="P65" i="17"/>
  <c r="N166" i="42"/>
  <c r="O166" i="42" s="1"/>
  <c r="M167" i="42"/>
  <c r="N167" i="42" s="1"/>
  <c r="L22" i="17"/>
  <c r="M22" i="17" s="1"/>
  <c r="N22" i="17" s="1"/>
  <c r="O22" i="17" s="1"/>
  <c r="I304" i="17"/>
  <c r="J304" i="17" s="1"/>
  <c r="K304" i="17" s="1"/>
  <c r="T260" i="43"/>
  <c r="V260" i="43"/>
  <c r="R271" i="43"/>
  <c r="X271" i="43"/>
  <c r="Y271" i="43" s="1"/>
  <c r="AA271" i="43" s="1"/>
  <c r="V131" i="43"/>
  <c r="T157" i="43"/>
  <c r="AL178" i="43"/>
  <c r="V44" i="43"/>
  <c r="T44" i="43"/>
  <c r="AF22" i="43"/>
  <c r="V142" i="43"/>
  <c r="T142" i="43"/>
  <c r="Q268" i="43"/>
  <c r="X268" i="43"/>
  <c r="Y268" i="43" s="1"/>
  <c r="AA268" i="43" s="1"/>
  <c r="AL39" i="43"/>
  <c r="AP177" i="43"/>
  <c r="AJ177" i="43"/>
  <c r="Q178" i="43"/>
  <c r="X178" i="43"/>
  <c r="Y178" i="43" s="1"/>
  <c r="AA178" i="43" s="1"/>
  <c r="AJ178" i="43"/>
  <c r="Q180" i="43"/>
  <c r="X180" i="43"/>
  <c r="Y180" i="43" s="1"/>
  <c r="AA180" i="43" s="1"/>
  <c r="AJ180" i="43"/>
  <c r="V182" i="43"/>
  <c r="T182" i="43"/>
  <c r="X183" i="43"/>
  <c r="Y183" i="43" s="1"/>
  <c r="AA183" i="43" s="1"/>
  <c r="R183" i="43"/>
  <c r="X208" i="43"/>
  <c r="Y208" i="43" s="1"/>
  <c r="AA208" i="43" s="1"/>
  <c r="R208" i="43"/>
  <c r="T129" i="43"/>
  <c r="V129" i="43"/>
  <c r="T39" i="43"/>
  <c r="AP137" i="43"/>
  <c r="AJ137" i="43"/>
  <c r="X137" i="43"/>
  <c r="Y137" i="43" s="1"/>
  <c r="AA137" i="43" s="1"/>
  <c r="N145" i="43"/>
  <c r="P138" i="43"/>
  <c r="V172" i="43"/>
  <c r="AL172" i="43" s="1"/>
  <c r="T172" i="43"/>
  <c r="V109" i="43"/>
  <c r="AL109" i="43" s="1"/>
  <c r="T109" i="43"/>
  <c r="X109" i="43" s="1"/>
  <c r="Y109" i="43" s="1"/>
  <c r="AA109" i="43" s="1"/>
  <c r="AB109" i="43" s="1"/>
  <c r="AC109" i="43" s="1"/>
  <c r="AR109" i="43" s="1"/>
  <c r="V266" i="43"/>
  <c r="T266" i="43"/>
  <c r="V141" i="43"/>
  <c r="T141" i="43"/>
  <c r="T268" i="43"/>
  <c r="T211" i="43"/>
  <c r="T82" i="43"/>
  <c r="AB43" i="43"/>
  <c r="X177" i="43"/>
  <c r="Y177" i="43" s="1"/>
  <c r="AA177" i="43" s="1"/>
  <c r="AL122" i="43"/>
  <c r="AJ92" i="43"/>
  <c r="X92" i="43"/>
  <c r="Y92" i="43" s="1"/>
  <c r="AA92" i="43" s="1"/>
  <c r="R92" i="43"/>
  <c r="AP92" i="43"/>
  <c r="L101" i="17"/>
  <c r="M101" i="17" s="1"/>
  <c r="N101" i="17" s="1"/>
  <c r="O101" i="17" s="1"/>
  <c r="X93" i="43"/>
  <c r="Y93" i="43" s="1"/>
  <c r="AA93" i="43" s="1"/>
  <c r="AJ93" i="43"/>
  <c r="T94" i="43"/>
  <c r="R95" i="43"/>
  <c r="X95" i="43"/>
  <c r="Y95" i="43" s="1"/>
  <c r="AA95" i="43" s="1"/>
  <c r="X96" i="43"/>
  <c r="Y96" i="43" s="1"/>
  <c r="AA96" i="43" s="1"/>
  <c r="R96" i="43"/>
  <c r="AJ98" i="43"/>
  <c r="X98" i="43"/>
  <c r="Y98" i="43" s="1"/>
  <c r="AA98" i="43" s="1"/>
  <c r="AP98" i="43"/>
  <c r="R101" i="43"/>
  <c r="AJ101" i="43"/>
  <c r="X101" i="43"/>
  <c r="Y101" i="43" s="1"/>
  <c r="AA101" i="43" s="1"/>
  <c r="AN101" i="43"/>
  <c r="Q102" i="43"/>
  <c r="AJ102" i="43"/>
  <c r="T103" i="43"/>
  <c r="T104" i="43"/>
  <c r="T105" i="43"/>
  <c r="V106" i="43"/>
  <c r="AL106" i="43" s="1"/>
  <c r="T106" i="43"/>
  <c r="V107" i="43"/>
  <c r="AL107" i="43" s="1"/>
  <c r="T107" i="43"/>
  <c r="X107" i="43" s="1"/>
  <c r="Y107" i="43" s="1"/>
  <c r="AA107" i="43" s="1"/>
  <c r="AB107" i="43" s="1"/>
  <c r="AC107" i="43" s="1"/>
  <c r="AR107" i="43" s="1"/>
  <c r="AP108" i="43"/>
  <c r="AJ109" i="43"/>
  <c r="AP109" i="43"/>
  <c r="AN109" i="43"/>
  <c r="X112" i="43"/>
  <c r="Y112" i="43" s="1"/>
  <c r="AA112" i="43" s="1"/>
  <c r="AN112" i="43"/>
  <c r="AJ112" i="43"/>
  <c r="R112" i="43"/>
  <c r="L219" i="17"/>
  <c r="L220" i="17" s="1"/>
  <c r="Q119" i="43"/>
  <c r="P145" i="43"/>
  <c r="X119" i="43"/>
  <c r="Y119" i="43" s="1"/>
  <c r="AA119" i="43" s="1"/>
  <c r="X261" i="43"/>
  <c r="Y261" i="43" s="1"/>
  <c r="AA261" i="43" s="1"/>
  <c r="R261" i="43"/>
  <c r="V258" i="43"/>
  <c r="AB46" i="43"/>
  <c r="AC46" i="43" s="1"/>
  <c r="AB253" i="43"/>
  <c r="AC253" i="43" s="1"/>
  <c r="V246" i="43"/>
  <c r="AB246" i="43" s="1"/>
  <c r="AC246" i="43" s="1"/>
  <c r="AL161" i="43"/>
  <c r="V137" i="43"/>
  <c r="T137" i="43"/>
  <c r="V54" i="43"/>
  <c r="T54" i="43"/>
  <c r="R65" i="43"/>
  <c r="V65" i="43" s="1"/>
  <c r="AN65" i="43"/>
  <c r="X65" i="43"/>
  <c r="Y65" i="43" s="1"/>
  <c r="AA65" i="43" s="1"/>
  <c r="R69" i="43"/>
  <c r="X69" i="43"/>
  <c r="Y69" i="43" s="1"/>
  <c r="AA69" i="43" s="1"/>
  <c r="X70" i="43"/>
  <c r="Y70" i="43" s="1"/>
  <c r="AA70" i="43" s="1"/>
  <c r="R70" i="43"/>
  <c r="T267" i="43"/>
  <c r="X267" i="43" s="1"/>
  <c r="Y267" i="43" s="1"/>
  <c r="AA267" i="43" s="1"/>
  <c r="AB267" i="43" s="1"/>
  <c r="AC267" i="43" s="1"/>
  <c r="V267" i="43"/>
  <c r="AC272" i="43"/>
  <c r="R272" i="43"/>
  <c r="V272" i="43" s="1"/>
  <c r="X272" i="43"/>
  <c r="Y272" i="43" s="1"/>
  <c r="AA272" i="43" s="1"/>
  <c r="AB272" i="43" s="1"/>
  <c r="V90" i="43"/>
  <c r="T90" i="43"/>
  <c r="T203" i="43"/>
  <c r="V203" i="43"/>
  <c r="AB203" i="43" s="1"/>
  <c r="AC203" i="43" s="1"/>
  <c r="AB125" i="43"/>
  <c r="AC125" i="43" s="1"/>
  <c r="AJ23" i="43"/>
  <c r="AP23" i="43"/>
  <c r="R23" i="43"/>
  <c r="N185" i="17"/>
  <c r="O185" i="17" s="1"/>
  <c r="Q24" i="43"/>
  <c r="T58" i="43"/>
  <c r="V58" i="43"/>
  <c r="X245" i="43"/>
  <c r="Y245" i="43" s="1"/>
  <c r="AA245" i="43" s="1"/>
  <c r="R245" i="43"/>
  <c r="AJ27" i="43"/>
  <c r="X27" i="43"/>
  <c r="Y27" i="43" s="1"/>
  <c r="AA27" i="43" s="1"/>
  <c r="AJ66" i="43"/>
  <c r="AP66" i="43" s="1"/>
  <c r="AR66" i="43" s="1"/>
  <c r="X85" i="43"/>
  <c r="Y85" i="43" s="1"/>
  <c r="AA85" i="43" s="1"/>
  <c r="R85" i="43"/>
  <c r="AP85" i="43"/>
  <c r="X251" i="43"/>
  <c r="Y251" i="43" s="1"/>
  <c r="AA251" i="43" s="1"/>
  <c r="R251" i="43"/>
  <c r="K453" i="39"/>
  <c r="B29" i="26" s="1"/>
  <c r="AC29" i="26" s="1"/>
  <c r="AL176" i="43"/>
  <c r="V139" i="43"/>
  <c r="AB139" i="43" s="1"/>
  <c r="AC139" i="43" s="1"/>
  <c r="AL41" i="43"/>
  <c r="T249" i="43"/>
  <c r="X258" i="43"/>
  <c r="Y258" i="43" s="1"/>
  <c r="AA258" i="43" s="1"/>
  <c r="V218" i="43"/>
  <c r="X247" i="43"/>
  <c r="Y247" i="43" s="1"/>
  <c r="AA247" i="43" s="1"/>
  <c r="V170" i="43"/>
  <c r="AL170" i="43" s="1"/>
  <c r="AJ82" i="43"/>
  <c r="AL82" i="43" s="1"/>
  <c r="AP91" i="43"/>
  <c r="R34" i="43"/>
  <c r="AJ36" i="43"/>
  <c r="AP36" i="43"/>
  <c r="AJ67" i="43"/>
  <c r="AL67" i="43" s="1"/>
  <c r="AN67" i="43"/>
  <c r="Q68" i="43"/>
  <c r="AJ68" i="43"/>
  <c r="X82" i="43"/>
  <c r="Y82" i="43" s="1"/>
  <c r="AA82" i="43" s="1"/>
  <c r="AB82" i="43" s="1"/>
  <c r="R97" i="43"/>
  <c r="X97" i="43"/>
  <c r="Y97" i="43" s="1"/>
  <c r="AA97" i="43" s="1"/>
  <c r="R98" i="43"/>
  <c r="X99" i="43"/>
  <c r="Y99" i="43" s="1"/>
  <c r="AA99" i="43" s="1"/>
  <c r="R99" i="43"/>
  <c r="AJ99" i="43"/>
  <c r="AP99" i="43"/>
  <c r="AB103" i="43"/>
  <c r="AC103" i="43" s="1"/>
  <c r="R105" i="43"/>
  <c r="V105" i="43" s="1"/>
  <c r="AL105" i="43" s="1"/>
  <c r="X105" i="43"/>
  <c r="Y105" i="43" s="1"/>
  <c r="AA105" i="43" s="1"/>
  <c r="R108" i="43"/>
  <c r="AN110" i="43"/>
  <c r="AJ110" i="43"/>
  <c r="R110" i="43"/>
  <c r="AP119" i="43"/>
  <c r="AJ119" i="43"/>
  <c r="R119" i="43"/>
  <c r="V122" i="43"/>
  <c r="AP138" i="43"/>
  <c r="R138" i="43"/>
  <c r="Q181" i="43"/>
  <c r="AJ181" i="43"/>
  <c r="AL181" i="43" s="1"/>
  <c r="X181" i="43"/>
  <c r="Y181" i="43" s="1"/>
  <c r="AA181" i="43" s="1"/>
  <c r="Q182" i="43"/>
  <c r="AJ182" i="43"/>
  <c r="AL182" i="43" s="1"/>
  <c r="R184" i="43"/>
  <c r="X184" i="43"/>
  <c r="Y184" i="43" s="1"/>
  <c r="AA184" i="43" s="1"/>
  <c r="X210" i="43"/>
  <c r="Y210" i="43" s="1"/>
  <c r="AA210" i="43" s="1"/>
  <c r="R210" i="43"/>
  <c r="V222" i="43"/>
  <c r="AB222" i="43" s="1"/>
  <c r="AC222" i="43" s="1"/>
  <c r="R224" i="43"/>
  <c r="V224" i="43" s="1"/>
  <c r="T272" i="43"/>
  <c r="X277" i="43"/>
  <c r="Y277" i="43" s="1"/>
  <c r="AA277" i="43" s="1"/>
  <c r="AO158" i="44"/>
  <c r="AJ61" i="43"/>
  <c r="AP61" i="43"/>
  <c r="AJ64" i="43"/>
  <c r="AN64" i="43"/>
  <c r="T66" i="43"/>
  <c r="AJ89" i="43"/>
  <c r="X89" i="43"/>
  <c r="Y89" i="43" s="1"/>
  <c r="AA89" i="43" s="1"/>
  <c r="R89" i="43"/>
  <c r="AP89" i="43"/>
  <c r="L95" i="17"/>
  <c r="M95" i="17" s="1"/>
  <c r="N95" i="17" s="1"/>
  <c r="O95" i="17" s="1"/>
  <c r="X90" i="43"/>
  <c r="Y90" i="43" s="1"/>
  <c r="AA90" i="43" s="1"/>
  <c r="AB90" i="43" s="1"/>
  <c r="AP135" i="43"/>
  <c r="X135" i="43"/>
  <c r="Y135" i="43" s="1"/>
  <c r="AA135" i="43" s="1"/>
  <c r="AJ135" i="43"/>
  <c r="R135" i="43"/>
  <c r="L140" i="17"/>
  <c r="M140" i="17" s="1"/>
  <c r="N140" i="17" s="1"/>
  <c r="O140" i="17" s="1"/>
  <c r="Q137" i="43"/>
  <c r="Q169" i="43"/>
  <c r="AJ169" i="43"/>
  <c r="AL169" i="43" s="1"/>
  <c r="X169" i="43"/>
  <c r="Y169" i="43" s="1"/>
  <c r="AA169" i="43" s="1"/>
  <c r="AB169" i="43" s="1"/>
  <c r="X173" i="43"/>
  <c r="Y173" i="43" s="1"/>
  <c r="AA173" i="43" s="1"/>
  <c r="R173" i="43"/>
  <c r="AP176" i="43"/>
  <c r="AJ176" i="43"/>
  <c r="X179" i="43"/>
  <c r="Y179" i="43" s="1"/>
  <c r="AA179" i="43" s="1"/>
  <c r="AJ179" i="43"/>
  <c r="AL179" i="43" s="1"/>
  <c r="X256" i="43"/>
  <c r="Y256" i="43" s="1"/>
  <c r="AA256" i="43" s="1"/>
  <c r="R256" i="43"/>
  <c r="R259" i="43"/>
  <c r="X259" i="43"/>
  <c r="Y259" i="43" s="1"/>
  <c r="AA259" i="43" s="1"/>
  <c r="AJ52" i="43"/>
  <c r="X52" i="43"/>
  <c r="Y52" i="43" s="1"/>
  <c r="AA52" i="43" s="1"/>
  <c r="R52" i="43"/>
  <c r="L30" i="17"/>
  <c r="L31" i="17" s="1"/>
  <c r="M31" i="17" s="1"/>
  <c r="AJ53" i="43"/>
  <c r="P54" i="43"/>
  <c r="AJ54" i="43"/>
  <c r="R252" i="43"/>
  <c r="AJ136" i="43"/>
  <c r="V63" i="43"/>
  <c r="AL63" i="43" s="1"/>
  <c r="T63" i="43"/>
  <c r="R60" i="43"/>
  <c r="AP41" i="43"/>
  <c r="AJ41" i="43"/>
  <c r="L172" i="17"/>
  <c r="L173" i="17" s="1"/>
  <c r="M173" i="17" s="1"/>
  <c r="X44" i="43"/>
  <c r="Y44" i="43" s="1"/>
  <c r="AA44" i="43" s="1"/>
  <c r="AP51" i="43"/>
  <c r="AJ51" i="43"/>
  <c r="AL51" i="43" s="1"/>
  <c r="X51" i="43"/>
  <c r="Y51" i="43" s="1"/>
  <c r="AA51" i="43" s="1"/>
  <c r="Q53" i="43"/>
  <c r="R53" i="43" s="1"/>
  <c r="X57" i="43"/>
  <c r="Y57" i="43" s="1"/>
  <c r="AA57" i="43" s="1"/>
  <c r="AB57" i="43" s="1"/>
  <c r="AC57" i="43" s="1"/>
  <c r="R57" i="43"/>
  <c r="V57" i="43" s="1"/>
  <c r="AL57" i="43" s="1"/>
  <c r="AJ87" i="43"/>
  <c r="X87" i="43"/>
  <c r="Y87" i="43" s="1"/>
  <c r="AA87" i="43" s="1"/>
  <c r="R87" i="43"/>
  <c r="AP87" i="43"/>
  <c r="Q90" i="43"/>
  <c r="X133" i="43"/>
  <c r="Y133" i="43" s="1"/>
  <c r="AA133" i="43" s="1"/>
  <c r="R133" i="43"/>
  <c r="X134" i="43"/>
  <c r="Y134" i="43" s="1"/>
  <c r="AA134" i="43" s="1"/>
  <c r="AP134" i="43"/>
  <c r="R134" i="43"/>
  <c r="V134" i="43" s="1"/>
  <c r="X160" i="43"/>
  <c r="Y160" i="43" s="1"/>
  <c r="AA160" i="43" s="1"/>
  <c r="R160" i="43"/>
  <c r="AJ160" i="43"/>
  <c r="AP160" i="43"/>
  <c r="R255" i="43"/>
  <c r="T236" i="43"/>
  <c r="R61" i="43"/>
  <c r="X59" i="43"/>
  <c r="Y59" i="43" s="1"/>
  <c r="AA59" i="43" s="1"/>
  <c r="AB59" i="43" s="1"/>
  <c r="AP59" i="43" s="1"/>
  <c r="AB238" i="43"/>
  <c r="AC238" i="43" s="1"/>
  <c r="AB161" i="43"/>
  <c r="AC161" i="43" s="1"/>
  <c r="R269" i="43"/>
  <c r="X248" i="43"/>
  <c r="Y248" i="43" s="1"/>
  <c r="AA248" i="43" s="1"/>
  <c r="AB248" i="43" s="1"/>
  <c r="AC248" i="43" s="1"/>
  <c r="AJ173" i="43"/>
  <c r="AJ90" i="43"/>
  <c r="AP52" i="43"/>
  <c r="R36" i="43"/>
  <c r="X36" i="43"/>
  <c r="Y36" i="43" s="1"/>
  <c r="AA36" i="43" s="1"/>
  <c r="AJ40" i="43"/>
  <c r="R40" i="43"/>
  <c r="X40" i="43"/>
  <c r="Y40" i="43" s="1"/>
  <c r="AA40" i="43" s="1"/>
  <c r="AP40" i="43"/>
  <c r="V42" i="43"/>
  <c r="T42" i="43"/>
  <c r="AJ83" i="43"/>
  <c r="X83" i="43"/>
  <c r="Y83" i="43" s="1"/>
  <c r="AA83" i="43" s="1"/>
  <c r="R83" i="43"/>
  <c r="AP83" i="43"/>
  <c r="X86" i="43"/>
  <c r="Y86" i="43" s="1"/>
  <c r="AA86" i="43" s="1"/>
  <c r="AJ132" i="43"/>
  <c r="X132" i="43"/>
  <c r="Y132" i="43" s="1"/>
  <c r="AA132" i="43" s="1"/>
  <c r="AP132" i="43"/>
  <c r="R132" i="43"/>
  <c r="AJ159" i="43"/>
  <c r="R254" i="43"/>
  <c r="X254" i="43"/>
  <c r="Y254" i="43" s="1"/>
  <c r="AA254" i="43" s="1"/>
  <c r="L87" i="17"/>
  <c r="Q86" i="43"/>
  <c r="AP131" i="43"/>
  <c r="AJ131" i="43"/>
  <c r="AJ142" i="43"/>
  <c r="AP142" i="43" s="1"/>
  <c r="AN142" i="43"/>
  <c r="X142" i="43"/>
  <c r="Y142" i="43" s="1"/>
  <c r="AA142" i="43" s="1"/>
  <c r="AN143" i="43"/>
  <c r="R143" i="43"/>
  <c r="X143" i="43"/>
  <c r="Y143" i="43" s="1"/>
  <c r="AA143" i="43" s="1"/>
  <c r="L224" i="17"/>
  <c r="M224" i="17" s="1"/>
  <c r="N224" i="17" s="1"/>
  <c r="O224" i="17" s="1"/>
  <c r="AJ156" i="43"/>
  <c r="X158" i="43"/>
  <c r="Y158" i="43" s="1"/>
  <c r="AA158" i="43" s="1"/>
  <c r="R158" i="43"/>
  <c r="AJ158" i="43"/>
  <c r="AP158" i="43"/>
  <c r="P155" i="44"/>
  <c r="X131" i="43"/>
  <c r="Y131" i="43" s="1"/>
  <c r="AA131" i="43" s="1"/>
  <c r="AB131" i="43" s="1"/>
  <c r="AC131" i="43" s="1"/>
  <c r="AN131" i="43" s="1"/>
  <c r="AR131" i="43" s="1"/>
  <c r="V219" i="43"/>
  <c r="T174" i="43"/>
  <c r="X265" i="43"/>
  <c r="Y265" i="43" s="1"/>
  <c r="AA265" i="43" s="1"/>
  <c r="AB221" i="43"/>
  <c r="AC221" i="43" s="1"/>
  <c r="V159" i="43"/>
  <c r="AL159" i="43" s="1"/>
  <c r="T159" i="43"/>
  <c r="X157" i="43"/>
  <c r="Y157" i="43" s="1"/>
  <c r="AA157" i="43" s="1"/>
  <c r="AC157" i="43" s="1"/>
  <c r="R55" i="43"/>
  <c r="V55" i="43" s="1"/>
  <c r="AB55" i="43" s="1"/>
  <c r="AC55" i="43" s="1"/>
  <c r="R91" i="43"/>
  <c r="AJ85" i="43"/>
  <c r="AP27" i="43"/>
  <c r="T29" i="43"/>
  <c r="X30" i="43"/>
  <c r="Y30" i="43" s="1"/>
  <c r="AA30" i="43" s="1"/>
  <c r="R30" i="43"/>
  <c r="X31" i="43"/>
  <c r="Y31" i="43" s="1"/>
  <c r="AA31" i="43" s="1"/>
  <c r="R126" i="43"/>
  <c r="X126" i="43"/>
  <c r="Y126" i="43" s="1"/>
  <c r="AA126" i="43" s="1"/>
  <c r="R130" i="43"/>
  <c r="AJ130" i="43"/>
  <c r="X141" i="43"/>
  <c r="Y141" i="43" s="1"/>
  <c r="AA141" i="43" s="1"/>
  <c r="AN141" i="43"/>
  <c r="AJ141" i="43"/>
  <c r="AP141" i="43" s="1"/>
  <c r="Q156" i="43"/>
  <c r="R232" i="43"/>
  <c r="X232" i="43"/>
  <c r="Y232" i="43" s="1"/>
  <c r="AA232" i="43" s="1"/>
  <c r="M108" i="42"/>
  <c r="N108" i="42" s="1"/>
  <c r="P119" i="44"/>
  <c r="L134" i="17"/>
  <c r="M134" i="17" s="1"/>
  <c r="N134" i="17" s="1"/>
  <c r="O134" i="17" s="1"/>
  <c r="Q132" i="43"/>
  <c r="R64" i="43"/>
  <c r="R250" i="43"/>
  <c r="X159" i="43"/>
  <c r="Y159" i="43" s="1"/>
  <c r="AA159" i="43" s="1"/>
  <c r="AB159" i="43" s="1"/>
  <c r="AC159" i="43" s="1"/>
  <c r="AJ157" i="43"/>
  <c r="AL157" i="43" s="1"/>
  <c r="T88" i="43"/>
  <c r="V88" i="43"/>
  <c r="AL88" i="43" s="1"/>
  <c r="AJ91" i="43"/>
  <c r="R27" i="43"/>
  <c r="L319" i="17"/>
  <c r="L320" i="17" s="1"/>
  <c r="M320" i="17" s="1"/>
  <c r="X26" i="43"/>
  <c r="Y26" i="43" s="1"/>
  <c r="AA26" i="43" s="1"/>
  <c r="AJ26" i="43"/>
  <c r="AL26" i="43" s="1"/>
  <c r="X72" i="43"/>
  <c r="Y72" i="43" s="1"/>
  <c r="AA72" i="43" s="1"/>
  <c r="R72" i="43"/>
  <c r="V73" i="43"/>
  <c r="T73" i="43"/>
  <c r="X73" i="43" s="1"/>
  <c r="Y73" i="43" s="1"/>
  <c r="AA73" i="43" s="1"/>
  <c r="AB73" i="43" s="1"/>
  <c r="AJ74" i="43"/>
  <c r="AN74" i="43"/>
  <c r="AP120" i="43"/>
  <c r="R120" i="43"/>
  <c r="X120" i="43"/>
  <c r="Y120" i="43" s="1"/>
  <c r="AA120" i="43" s="1"/>
  <c r="AJ120" i="43"/>
  <c r="L231" i="17"/>
  <c r="L232" i="17" s="1"/>
  <c r="M232" i="17" s="1"/>
  <c r="AJ121" i="43"/>
  <c r="AL121" i="43" s="1"/>
  <c r="R124" i="43"/>
  <c r="X124" i="43"/>
  <c r="Y124" i="43" s="1"/>
  <c r="AA124" i="43" s="1"/>
  <c r="AP139" i="43"/>
  <c r="AJ139" i="43"/>
  <c r="AL139" i="43" s="1"/>
  <c r="AN140" i="43"/>
  <c r="R140" i="43"/>
  <c r="AP140" i="43"/>
  <c r="T217" i="43"/>
  <c r="V217" i="43"/>
  <c r="AB217" i="43" s="1"/>
  <c r="AC217" i="43" s="1"/>
  <c r="Q219" i="43"/>
  <c r="X219" i="43"/>
  <c r="Y219" i="43" s="1"/>
  <c r="AA219" i="43" s="1"/>
  <c r="AB219" i="43" s="1"/>
  <c r="AC219" i="43" s="1"/>
  <c r="Q220" i="43"/>
  <c r="X220" i="43"/>
  <c r="Y220" i="43" s="1"/>
  <c r="AA220" i="43" s="1"/>
  <c r="X235" i="43"/>
  <c r="Y235" i="43" s="1"/>
  <c r="AA235" i="43" s="1"/>
  <c r="R235" i="43"/>
  <c r="T277" i="43"/>
  <c r="AP20" i="43"/>
  <c r="R277" i="43"/>
  <c r="V277" i="43" s="1"/>
  <c r="Q48" i="44"/>
  <c r="Q19" i="43"/>
  <c r="Q82" i="43"/>
  <c r="Q83" i="43"/>
  <c r="AN99" i="43"/>
  <c r="Q133" i="43"/>
  <c r="R257" i="43"/>
  <c r="Q22" i="44"/>
  <c r="AJ116" i="44"/>
  <c r="AL156" i="43"/>
  <c r="AN59" i="43"/>
  <c r="AN108" i="43"/>
  <c r="AP125" i="43"/>
  <c r="AB111" i="43"/>
  <c r="AC111" i="43" s="1"/>
  <c r="AR111" i="43" s="1"/>
  <c r="V93" i="43"/>
  <c r="AL93" i="43" s="1"/>
  <c r="AP57" i="43"/>
  <c r="X214" i="43"/>
  <c r="Y214" i="43" s="1"/>
  <c r="AA214" i="43" s="1"/>
  <c r="X270" i="43"/>
  <c r="Y270" i="43" s="1"/>
  <c r="AA270" i="43" s="1"/>
  <c r="P136" i="44"/>
  <c r="Q136" i="44" s="1"/>
  <c r="P48" i="44"/>
  <c r="AP30" i="43"/>
  <c r="X28" i="43"/>
  <c r="Y28" i="43" s="1"/>
  <c r="AA28" i="43" s="1"/>
  <c r="Q125" i="43"/>
  <c r="AP181" i="43"/>
  <c r="Q33" i="43"/>
  <c r="AJ42" i="43"/>
  <c r="AJ44" i="43"/>
  <c r="C31" i="26"/>
  <c r="P5" i="44"/>
  <c r="AE130" i="44" s="1"/>
  <c r="P243" i="17"/>
  <c r="Q243" i="17" s="1"/>
  <c r="R243" i="17" s="1"/>
  <c r="S243" i="17" s="1"/>
  <c r="P142" i="17"/>
  <c r="Q142" i="17" s="1"/>
  <c r="R142" i="17" s="1"/>
  <c r="S142" i="17" s="1"/>
  <c r="P138" i="17"/>
  <c r="P328" i="17"/>
  <c r="P110" i="17"/>
  <c r="Q110" i="17" s="1"/>
  <c r="R110" i="17" s="1"/>
  <c r="S110" i="17" s="1"/>
  <c r="P106" i="17"/>
  <c r="Q106" i="17" s="1"/>
  <c r="R106" i="17" s="1"/>
  <c r="S106" i="17" s="1"/>
  <c r="P103" i="17"/>
  <c r="Q103" i="17" s="1"/>
  <c r="R103" i="17" s="1"/>
  <c r="S103" i="17" s="1"/>
  <c r="P316" i="17"/>
  <c r="Q316" i="17" s="1"/>
  <c r="R316" i="17" s="1"/>
  <c r="S316" i="17" s="1"/>
  <c r="P95" i="17"/>
  <c r="P87" i="17"/>
  <c r="P150" i="17"/>
  <c r="Q150" i="17" s="1"/>
  <c r="R150" i="17" s="1"/>
  <c r="S150" i="17" s="1"/>
  <c r="P229" i="17"/>
  <c r="Q229" i="17" s="1"/>
  <c r="R229" i="17" s="1"/>
  <c r="S229" i="17" s="1"/>
  <c r="P134" i="17"/>
  <c r="P307" i="17"/>
  <c r="P120" i="17"/>
  <c r="Q120" i="17" s="1"/>
  <c r="R120" i="17" s="1"/>
  <c r="S120" i="17" s="1"/>
  <c r="P200" i="17"/>
  <c r="P122" i="17"/>
  <c r="Q122" i="17" s="1"/>
  <c r="R122" i="17" s="1"/>
  <c r="S122" i="17" s="1"/>
  <c r="P121" i="17"/>
  <c r="Q121" i="17" s="1"/>
  <c r="R121" i="17" s="1"/>
  <c r="S121" i="17" s="1"/>
  <c r="L277" i="17"/>
  <c r="M277" i="17" s="1"/>
  <c r="K238" i="17"/>
  <c r="P238" i="17" s="1"/>
  <c r="M254" i="17"/>
  <c r="I296" i="17"/>
  <c r="J296" i="17" s="1"/>
  <c r="K296" i="17" s="1"/>
  <c r="K224" i="17"/>
  <c r="P224" i="17" s="1"/>
  <c r="K267" i="17"/>
  <c r="P267" i="17" s="1"/>
  <c r="L222" i="17"/>
  <c r="M255" i="17"/>
  <c r="N255" i="17" s="1"/>
  <c r="O255" i="17" s="1"/>
  <c r="M279" i="17"/>
  <c r="N279" i="17" s="1"/>
  <c r="O279" i="17" s="1"/>
  <c r="M241" i="17"/>
  <c r="N241" i="17" s="1"/>
  <c r="O241" i="17" s="1"/>
  <c r="K276" i="17"/>
  <c r="P276" i="17" s="1"/>
  <c r="Q276" i="17" s="1"/>
  <c r="R276" i="17" s="1"/>
  <c r="S276" i="17" s="1"/>
  <c r="K253" i="17"/>
  <c r="P253" i="17" s="1"/>
  <c r="I237" i="17"/>
  <c r="J237" i="17" s="1"/>
  <c r="K237" i="17" s="1"/>
  <c r="K248" i="17"/>
  <c r="P248" i="17" s="1"/>
  <c r="Q248" i="17" s="1"/>
  <c r="R248" i="17" s="1"/>
  <c r="S248" i="17" s="1"/>
  <c r="M223" i="17"/>
  <c r="N223" i="17" s="1"/>
  <c r="O223" i="17" s="1"/>
  <c r="M217" i="17"/>
  <c r="N217" i="17" s="1"/>
  <c r="O217" i="17" s="1"/>
  <c r="M227" i="17"/>
  <c r="N227" i="17" s="1"/>
  <c r="O227" i="17" s="1"/>
  <c r="I256" i="17"/>
  <c r="J256" i="17" s="1"/>
  <c r="K256" i="17" s="1"/>
  <c r="I239" i="17"/>
  <c r="J239" i="17" s="1"/>
  <c r="K239" i="17" s="1"/>
  <c r="M253" i="17"/>
  <c r="N253" i="17" s="1"/>
  <c r="O253" i="17" s="1"/>
  <c r="L249" i="17"/>
  <c r="M249" i="17" s="1"/>
  <c r="K250" i="17"/>
  <c r="P250" i="17" s="1"/>
  <c r="Q245" i="17"/>
  <c r="R245" i="17" s="1"/>
  <c r="S245" i="17" s="1"/>
  <c r="L251" i="17"/>
  <c r="K279" i="17"/>
  <c r="P279" i="17" s="1"/>
  <c r="I242" i="17"/>
  <c r="J242" i="17" s="1"/>
  <c r="K242" i="17" s="1"/>
  <c r="L218" i="17"/>
  <c r="K273" i="17"/>
  <c r="P273" i="17" s="1"/>
  <c r="M240" i="17"/>
  <c r="N240" i="17" s="1"/>
  <c r="O240" i="17" s="1"/>
  <c r="M271" i="17"/>
  <c r="N271" i="17" s="1"/>
  <c r="O271" i="17" s="1"/>
  <c r="I272" i="17"/>
  <c r="J272" i="17" s="1"/>
  <c r="K272" i="17" s="1"/>
  <c r="K219" i="17"/>
  <c r="P219" i="17" s="1"/>
  <c r="K217" i="17"/>
  <c r="P217" i="17" s="1"/>
  <c r="M237" i="17"/>
  <c r="X224" i="43"/>
  <c r="Y224" i="43" s="1"/>
  <c r="AA224" i="43" s="1"/>
  <c r="R214" i="43"/>
  <c r="AN116" i="44"/>
  <c r="AB67" i="43"/>
  <c r="AB129" i="43"/>
  <c r="AC129" i="43" s="1"/>
  <c r="AB141" i="43"/>
  <c r="AC141" i="43" s="1"/>
  <c r="AL141" i="43"/>
  <c r="AB182" i="43"/>
  <c r="AC182" i="43" s="1"/>
  <c r="AB104" i="43"/>
  <c r="AC104" i="43" s="1"/>
  <c r="AR104" i="43" s="1"/>
  <c r="AP104" i="43"/>
  <c r="AN161" i="43"/>
  <c r="AR161" i="43" s="1"/>
  <c r="AB88" i="43"/>
  <c r="AC88" i="43" s="1"/>
  <c r="AN88" i="43" s="1"/>
  <c r="AR88" i="43" s="1"/>
  <c r="AB42" i="43"/>
  <c r="AC42" i="43" s="1"/>
  <c r="AB220" i="43"/>
  <c r="AC220" i="43"/>
  <c r="AB142" i="43"/>
  <c r="AB94" i="43"/>
  <c r="AC94" i="43" s="1"/>
  <c r="AN94" i="43" s="1"/>
  <c r="AR94" i="43" s="1"/>
  <c r="AB181" i="43"/>
  <c r="AC181" i="43" s="1"/>
  <c r="AN181" i="43" s="1"/>
  <c r="AR181" i="43" s="1"/>
  <c r="AL29" i="43"/>
  <c r="AP21" i="43"/>
  <c r="AJ21" i="43"/>
  <c r="AL21" i="43" s="1"/>
  <c r="AB247" i="43"/>
  <c r="AB207" i="43"/>
  <c r="AB156" i="43"/>
  <c r="AL136" i="43"/>
  <c r="R48" i="43"/>
  <c r="AJ48" i="43"/>
  <c r="X48" i="43"/>
  <c r="Y48" i="43" s="1"/>
  <c r="AA48" i="43" s="1"/>
  <c r="AP48" i="43"/>
  <c r="AB268" i="43"/>
  <c r="AC268" i="43" s="1"/>
  <c r="AB44" i="43"/>
  <c r="AC44" i="43" s="1"/>
  <c r="AB32" i="43"/>
  <c r="AC32" i="43" s="1"/>
  <c r="AN32" i="43" s="1"/>
  <c r="AP17" i="43"/>
  <c r="AJ17" i="43"/>
  <c r="R17" i="43"/>
  <c r="R24" i="43"/>
  <c r="AJ24" i="43"/>
  <c r="AP24" i="43"/>
  <c r="X24" i="43"/>
  <c r="Y24" i="43" s="1"/>
  <c r="AA24" i="43" s="1"/>
  <c r="P107" i="44"/>
  <c r="Q104" i="44"/>
  <c r="AJ115" i="44"/>
  <c r="AN115" i="44"/>
  <c r="AB75" i="43"/>
  <c r="AC75" i="43" s="1"/>
  <c r="AB122" i="43"/>
  <c r="AC122" i="43" s="1"/>
  <c r="AB211" i="43"/>
  <c r="AC211" i="43" s="1"/>
  <c r="AL134" i="43"/>
  <c r="AB28" i="43"/>
  <c r="AC28" i="43" s="1"/>
  <c r="AJ50" i="43"/>
  <c r="R50" i="43"/>
  <c r="X50" i="43"/>
  <c r="Y50" i="43" s="1"/>
  <c r="AA50" i="43" s="1"/>
  <c r="AP50" i="43"/>
  <c r="AB25" i="43"/>
  <c r="AC25" i="43" s="1"/>
  <c r="Q17" i="43"/>
  <c r="Q21" i="43"/>
  <c r="AJ34" i="43"/>
  <c r="X37" i="43"/>
  <c r="Y37" i="43" s="1"/>
  <c r="AA37" i="43" s="1"/>
  <c r="AB37" i="43" s="1"/>
  <c r="AC37" i="43" s="1"/>
  <c r="AN37" i="43" s="1"/>
  <c r="AR37" i="43" s="1"/>
  <c r="Q41" i="43"/>
  <c r="Q45" i="43"/>
  <c r="Q48" i="43"/>
  <c r="Q51" i="43"/>
  <c r="L26" i="17"/>
  <c r="AJ60" i="43"/>
  <c r="Q92" i="43"/>
  <c r="Q93" i="43"/>
  <c r="Q176" i="43"/>
  <c r="Q25" i="43"/>
  <c r="Q29" i="43"/>
  <c r="Q34" i="43"/>
  <c r="Q36" i="43"/>
  <c r="Q52" i="43"/>
  <c r="AJ65" i="43"/>
  <c r="AL65" i="43" s="1"/>
  <c r="AN106" i="43"/>
  <c r="AP121" i="43"/>
  <c r="Q122" i="43"/>
  <c r="Q113" i="44"/>
  <c r="Q119" i="44" s="1"/>
  <c r="Q38" i="43"/>
  <c r="X39" i="43"/>
  <c r="Y39" i="43" s="1"/>
  <c r="AA39" i="43" s="1"/>
  <c r="AB39" i="43" s="1"/>
  <c r="AC39" i="43" s="1"/>
  <c r="AN39" i="43" s="1"/>
  <c r="AP43" i="43"/>
  <c r="AJ75" i="43"/>
  <c r="AL75" i="43" s="1"/>
  <c r="X106" i="43"/>
  <c r="Y106" i="43" s="1"/>
  <c r="AA106" i="43" s="1"/>
  <c r="Q120" i="43"/>
  <c r="Q126" i="43"/>
  <c r="Q128" i="43"/>
  <c r="Q129" i="43"/>
  <c r="X239" i="43"/>
  <c r="Y239" i="43" s="1"/>
  <c r="AA239" i="43" s="1"/>
  <c r="R270" i="43"/>
  <c r="M83" i="42"/>
  <c r="N83" i="42" s="1"/>
  <c r="O83" i="42" s="1"/>
  <c r="P83" i="42" s="1"/>
  <c r="N82" i="42"/>
  <c r="O82" i="42" s="1"/>
  <c r="P82" i="42" s="1"/>
  <c r="N119" i="44"/>
  <c r="X17" i="43"/>
  <c r="Y17" i="43" s="1"/>
  <c r="AA17" i="43" s="1"/>
  <c r="R31" i="43"/>
  <c r="AJ58" i="43"/>
  <c r="AL58" i="43" s="1"/>
  <c r="AJ95" i="43"/>
  <c r="X100" i="43"/>
  <c r="Y100" i="43" s="1"/>
  <c r="AA100" i="43" s="1"/>
  <c r="AJ138" i="43"/>
  <c r="N164" i="43"/>
  <c r="R177" i="43"/>
  <c r="X209" i="43"/>
  <c r="Y209" i="43" s="1"/>
  <c r="AA209" i="43" s="1"/>
  <c r="AB209" i="43" s="1"/>
  <c r="AC209" i="43" s="1"/>
  <c r="Q155" i="44"/>
  <c r="Q91" i="44"/>
  <c r="N167" i="17"/>
  <c r="L123" i="39"/>
  <c r="M123" i="39" s="1"/>
  <c r="N123" i="39" s="1"/>
  <c r="K191" i="39"/>
  <c r="B23" i="26" s="1"/>
  <c r="N457" i="39"/>
  <c r="N511" i="39" s="1"/>
  <c r="D29" i="26"/>
  <c r="AE29" i="26" s="1"/>
  <c r="N416" i="39"/>
  <c r="N453" i="39" s="1"/>
  <c r="N337" i="39"/>
  <c r="N411" i="39" s="1"/>
  <c r="M13" i="39"/>
  <c r="N194" i="39"/>
  <c r="N333" i="39" s="1"/>
  <c r="M193" i="17"/>
  <c r="M196" i="17"/>
  <c r="N196" i="17" s="1"/>
  <c r="O196" i="17" s="1"/>
  <c r="C53" i="26"/>
  <c r="S11" i="17"/>
  <c r="D3" i="43"/>
  <c r="AE214" i="44"/>
  <c r="X214" i="44" s="1"/>
  <c r="Y214" i="44" s="1"/>
  <c r="AA214" i="44" s="1"/>
  <c r="AG95" i="44"/>
  <c r="AP95" i="44" s="1"/>
  <c r="P233" i="17"/>
  <c r="Q233" i="17" s="1"/>
  <c r="M221" i="17"/>
  <c r="N221" i="17" s="1"/>
  <c r="O221" i="17" s="1"/>
  <c r="AG77" i="44"/>
  <c r="AJ77" i="44" s="1"/>
  <c r="I102" i="17"/>
  <c r="J102" i="17" s="1"/>
  <c r="K102" i="17" s="1"/>
  <c r="P153" i="17"/>
  <c r="Q153" i="17" s="1"/>
  <c r="R153" i="17" s="1"/>
  <c r="S153" i="17" s="1"/>
  <c r="I14" i="17"/>
  <c r="J14" i="17" s="1"/>
  <c r="K14" i="17" s="1"/>
  <c r="AG150" i="44"/>
  <c r="AP150" i="44" s="1"/>
  <c r="I313" i="17"/>
  <c r="J313" i="17" s="1"/>
  <c r="K313" i="17" s="1"/>
  <c r="K241" i="17"/>
  <c r="P241" i="17" s="1"/>
  <c r="Q333" i="17"/>
  <c r="R333" i="17" s="1"/>
  <c r="S333" i="17" s="1"/>
  <c r="I320" i="17"/>
  <c r="J320" i="17" s="1"/>
  <c r="K320" i="17" s="1"/>
  <c r="AG199" i="44"/>
  <c r="I280" i="17"/>
  <c r="J280" i="17" s="1"/>
  <c r="K280" i="17" s="1"/>
  <c r="Q144" i="17"/>
  <c r="R144" i="17" s="1"/>
  <c r="S144" i="17" s="1"/>
  <c r="AG179" i="44"/>
  <c r="P50" i="17"/>
  <c r="Q50" i="17" s="1"/>
  <c r="K174" i="17"/>
  <c r="P174" i="17" s="1"/>
  <c r="M305" i="17"/>
  <c r="N305" i="17" s="1"/>
  <c r="O305" i="17" s="1"/>
  <c r="AG135" i="44"/>
  <c r="AJ135" i="44" s="1"/>
  <c r="AG196" i="44"/>
  <c r="K236" i="17"/>
  <c r="P236" i="17" s="1"/>
  <c r="L327" i="17"/>
  <c r="M327" i="17" s="1"/>
  <c r="AG69" i="44"/>
  <c r="AJ69" i="44" s="1"/>
  <c r="AG28" i="44"/>
  <c r="AP28" i="44" s="1"/>
  <c r="I254" i="17"/>
  <c r="J254" i="17" s="1"/>
  <c r="K254" i="17" s="1"/>
  <c r="I96" i="17"/>
  <c r="J96" i="17" s="1"/>
  <c r="K96" i="17" s="1"/>
  <c r="P157" i="42"/>
  <c r="M303" i="17"/>
  <c r="I34" i="17"/>
  <c r="J34" i="17" s="1"/>
  <c r="K34" i="17" s="1"/>
  <c r="N306" i="17"/>
  <c r="O306" i="17" s="1"/>
  <c r="P306" i="17" s="1"/>
  <c r="Q306" i="17" s="1"/>
  <c r="R306" i="17" s="1"/>
  <c r="S306" i="17" s="1"/>
  <c r="M250" i="17"/>
  <c r="N250" i="17" s="1"/>
  <c r="O250" i="17" s="1"/>
  <c r="I251" i="17"/>
  <c r="J251" i="17" s="1"/>
  <c r="K251" i="17" s="1"/>
  <c r="L280" i="17"/>
  <c r="M280" i="17" s="1"/>
  <c r="N150" i="17"/>
  <c r="O150" i="17" s="1"/>
  <c r="M28" i="17"/>
  <c r="N28" i="17" s="1"/>
  <c r="O28" i="17" s="1"/>
  <c r="I24" i="17"/>
  <c r="J24" i="17" s="1"/>
  <c r="K24" i="17" s="1"/>
  <c r="I98" i="17"/>
  <c r="J98" i="17" s="1"/>
  <c r="K98" i="17" s="1"/>
  <c r="N332" i="17"/>
  <c r="L14" i="17"/>
  <c r="M14" i="17" s="1"/>
  <c r="M293" i="17"/>
  <c r="N293" i="17" s="1"/>
  <c r="O293" i="17" s="1"/>
  <c r="I268" i="17"/>
  <c r="J268" i="17" s="1"/>
  <c r="K268" i="17" s="1"/>
  <c r="P36" i="17"/>
  <c r="Q36" i="17" s="1"/>
  <c r="R36" i="17" s="1"/>
  <c r="S36" i="17" s="1"/>
  <c r="P44" i="17"/>
  <c r="Q44" i="17" s="1"/>
  <c r="P201" i="17"/>
  <c r="Q201" i="17" s="1"/>
  <c r="R201" i="17" s="1"/>
  <c r="S201" i="17" s="1"/>
  <c r="P119" i="17"/>
  <c r="Q119" i="17" s="1"/>
  <c r="R119" i="17" s="1"/>
  <c r="S119" i="17" s="1"/>
  <c r="L288" i="17"/>
  <c r="M288" i="17" s="1"/>
  <c r="K21" i="17"/>
  <c r="P21" i="17" s="1"/>
  <c r="Q21" i="17" s="1"/>
  <c r="R21" i="17" s="1"/>
  <c r="S21" i="17" s="1"/>
  <c r="M234" i="17"/>
  <c r="N234" i="17" s="1"/>
  <c r="O234" i="17" s="1"/>
  <c r="L228" i="17"/>
  <c r="M228" i="17" s="1"/>
  <c r="L272" i="17"/>
  <c r="M272" i="17" s="1"/>
  <c r="I86" i="17"/>
  <c r="J86" i="17" s="1"/>
  <c r="K86" i="17" s="1"/>
  <c r="K255" i="17"/>
  <c r="P255" i="17" s="1"/>
  <c r="K289" i="17"/>
  <c r="P289" i="17" s="1"/>
  <c r="Q289" i="17" s="1"/>
  <c r="R289" i="17" s="1"/>
  <c r="S289" i="17" s="1"/>
  <c r="J111" i="42"/>
  <c r="K111" i="42" s="1"/>
  <c r="L111" i="42" s="1"/>
  <c r="I331" i="17"/>
  <c r="J331" i="17" s="1"/>
  <c r="K331" i="17" s="1"/>
  <c r="M13" i="17"/>
  <c r="I171" i="17"/>
  <c r="J171" i="17" s="1"/>
  <c r="K171" i="17" s="1"/>
  <c r="AB11" i="44"/>
  <c r="AC11" i="44" s="1"/>
  <c r="Y11" i="44"/>
  <c r="C3" i="42"/>
  <c r="S11" i="42" s="1"/>
  <c r="T11" i="42" s="1"/>
  <c r="P37" i="17"/>
  <c r="Q37" i="17" s="1"/>
  <c r="R37" i="17" s="1"/>
  <c r="S37" i="17" s="1"/>
  <c r="K83" i="42"/>
  <c r="L83" i="42" s="1"/>
  <c r="L20" i="17"/>
  <c r="M20" i="17" s="1"/>
  <c r="M312" i="17"/>
  <c r="N312" i="17" s="1"/>
  <c r="O312" i="17" s="1"/>
  <c r="M91" i="17"/>
  <c r="N91" i="17" s="1"/>
  <c r="O91" i="17" s="1"/>
  <c r="M310" i="17"/>
  <c r="N310" i="17" s="1"/>
  <c r="O310" i="17" s="1"/>
  <c r="J113" i="42"/>
  <c r="K113" i="42" s="1"/>
  <c r="L113" i="42" s="1"/>
  <c r="J85" i="42"/>
  <c r="K85" i="42" s="1"/>
  <c r="L85" i="42" s="1"/>
  <c r="K271" i="17"/>
  <c r="P271" i="17" s="1"/>
  <c r="K186" i="17"/>
  <c r="P186" i="17" s="1"/>
  <c r="M97" i="17"/>
  <c r="N97" i="17" s="1"/>
  <c r="O97" i="17" s="1"/>
  <c r="M297" i="17"/>
  <c r="N297" i="17" s="1"/>
  <c r="O297" i="17" s="1"/>
  <c r="J63" i="42"/>
  <c r="K63" i="42" s="1"/>
  <c r="L63" i="42" s="1"/>
  <c r="J109" i="42"/>
  <c r="K109" i="42" s="1"/>
  <c r="L109" i="42" s="1"/>
  <c r="I27" i="17"/>
  <c r="M236" i="17"/>
  <c r="N236" i="17" s="1"/>
  <c r="O236" i="17" s="1"/>
  <c r="J57" i="42"/>
  <c r="K57" i="42" s="1"/>
  <c r="L57" i="42" s="1"/>
  <c r="J167" i="42"/>
  <c r="K167" i="42" s="1"/>
  <c r="L167" i="42" s="1"/>
  <c r="I18" i="17"/>
  <c r="J18" i="17" s="1"/>
  <c r="K18" i="17" s="1"/>
  <c r="P155" i="17"/>
  <c r="Q155" i="17" s="1"/>
  <c r="R155" i="17" s="1"/>
  <c r="S155" i="17" s="1"/>
  <c r="P61" i="17"/>
  <c r="Q61" i="17" s="1"/>
  <c r="R61" i="17" s="1"/>
  <c r="S61" i="17" s="1"/>
  <c r="P63" i="17"/>
  <c r="P62" i="17"/>
  <c r="Q62" i="17" s="1"/>
  <c r="R62" i="17" s="1"/>
  <c r="S62" i="17" s="1"/>
  <c r="P60" i="17"/>
  <c r="Q60" i="17" s="1"/>
  <c r="R60" i="17" s="1"/>
  <c r="S60" i="17" s="1"/>
  <c r="P198" i="17"/>
  <c r="Q198" i="17" s="1"/>
  <c r="R198" i="17" s="1"/>
  <c r="S198" i="17" s="1"/>
  <c r="AG141" i="44"/>
  <c r="AP141" i="44" s="1"/>
  <c r="Q35" i="17"/>
  <c r="R35" i="17" s="1"/>
  <c r="S35" i="17" s="1"/>
  <c r="Q111" i="17"/>
  <c r="R111" i="17" s="1"/>
  <c r="S111" i="17" s="1"/>
  <c r="P152" i="17"/>
  <c r="Q152" i="17" s="1"/>
  <c r="R152" i="17" s="1"/>
  <c r="S152" i="17" s="1"/>
  <c r="N311" i="17"/>
  <c r="O311" i="17" s="1"/>
  <c r="K91" i="17"/>
  <c r="P91" i="17" s="1"/>
  <c r="L294" i="17"/>
  <c r="M294" i="17" s="1"/>
  <c r="I277" i="17"/>
  <c r="J277" i="17" s="1"/>
  <c r="K277" i="17" s="1"/>
  <c r="I329" i="17"/>
  <c r="J329" i="17" s="1"/>
  <c r="K329" i="17" s="1"/>
  <c r="I249" i="17"/>
  <c r="J249" i="17" s="1"/>
  <c r="K249" i="17" s="1"/>
  <c r="P148" i="17"/>
  <c r="Q148" i="17" s="1"/>
  <c r="M23" i="17"/>
  <c r="N23" i="17" s="1"/>
  <c r="O23" i="17" s="1"/>
  <c r="AG134" i="44"/>
  <c r="AJ134" i="44" s="1"/>
  <c r="AG191" i="44"/>
  <c r="AG81" i="44"/>
  <c r="AP81" i="44" s="1"/>
  <c r="AG45" i="44"/>
  <c r="AJ45" i="44" s="1"/>
  <c r="AG96" i="44"/>
  <c r="AP96" i="44" s="1"/>
  <c r="AG89" i="44"/>
  <c r="AP89" i="44" s="1"/>
  <c r="I20" i="17"/>
  <c r="J20" i="17" s="1"/>
  <c r="K20" i="17" s="1"/>
  <c r="I31" i="17"/>
  <c r="J31" i="17" s="1"/>
  <c r="K31" i="17" s="1"/>
  <c r="K192" i="17"/>
  <c r="P192" i="17" s="1"/>
  <c r="L304" i="17"/>
  <c r="M304" i="17" s="1"/>
  <c r="L290" i="17"/>
  <c r="M290" i="17" s="1"/>
  <c r="N290" i="17" s="1"/>
  <c r="O290" i="17" s="1"/>
  <c r="P290" i="17" s="1"/>
  <c r="AG40" i="44"/>
  <c r="AG46" i="44"/>
  <c r="AJ46" i="44" s="1"/>
  <c r="AG200" i="44"/>
  <c r="AG72" i="44"/>
  <c r="AP72" i="44" s="1"/>
  <c r="AG201" i="44"/>
  <c r="AG67" i="44"/>
  <c r="AJ67" i="44" s="1"/>
  <c r="AG145" i="44"/>
  <c r="AJ145" i="44" s="1"/>
  <c r="AG41" i="44"/>
  <c r="AP41" i="44" s="1"/>
  <c r="AG92" i="44"/>
  <c r="AJ92" i="44" s="1"/>
  <c r="I286" i="17"/>
  <c r="J286" i="17" s="1"/>
  <c r="K286" i="17" s="1"/>
  <c r="I139" i="17"/>
  <c r="J139" i="17" s="1"/>
  <c r="K139" i="17" s="1"/>
  <c r="AG139" i="44"/>
  <c r="AJ139" i="44" s="1"/>
  <c r="AG207" i="44"/>
  <c r="AG181" i="44"/>
  <c r="AG12" i="44"/>
  <c r="AJ12" i="44" s="1"/>
  <c r="AG188" i="44"/>
  <c r="K310" i="17"/>
  <c r="P310" i="17" s="1"/>
  <c r="K99" i="17"/>
  <c r="P99" i="17" s="1"/>
  <c r="AG39" i="44"/>
  <c r="AJ39" i="44" s="1"/>
  <c r="N190" i="17"/>
  <c r="O190" i="17" s="1"/>
  <c r="L256" i="17"/>
  <c r="AG142" i="44"/>
  <c r="AP142" i="44" s="1"/>
  <c r="AG63" i="44"/>
  <c r="AJ63" i="44" s="1"/>
  <c r="AG99" i="44"/>
  <c r="AJ99" i="44" s="1"/>
  <c r="AG208" i="44"/>
  <c r="AG66" i="44"/>
  <c r="AG189" i="44"/>
  <c r="AG62" i="44"/>
  <c r="AJ62" i="44" s="1"/>
  <c r="I294" i="17"/>
  <c r="J294" i="17" s="1"/>
  <c r="K294" i="17" s="1"/>
  <c r="Q39" i="17"/>
  <c r="R39" i="17" s="1"/>
  <c r="S39" i="17" s="1"/>
  <c r="O308" i="39"/>
  <c r="P308" i="39" s="1"/>
  <c r="P270" i="17"/>
  <c r="Q270" i="17" s="1"/>
  <c r="P59" i="17"/>
  <c r="P56" i="17"/>
  <c r="P58" i="17"/>
  <c r="P157" i="17"/>
  <c r="S119" i="44"/>
  <c r="K314" i="17"/>
  <c r="P314" i="17" s="1"/>
  <c r="I315" i="17"/>
  <c r="J315" i="17" s="1"/>
  <c r="K315" i="17" s="1"/>
  <c r="K15" i="17"/>
  <c r="P15" i="17" s="1"/>
  <c r="I16" i="17"/>
  <c r="J16" i="17" s="1"/>
  <c r="K16" i="17" s="1"/>
  <c r="M169" i="17"/>
  <c r="N169" i="17" s="1"/>
  <c r="O169" i="17" s="1"/>
  <c r="K246" i="17"/>
  <c r="P246" i="17" s="1"/>
  <c r="I247" i="17"/>
  <c r="J247" i="17" s="1"/>
  <c r="K247" i="17" s="1"/>
  <c r="K28" i="17"/>
  <c r="P28" i="17" s="1"/>
  <c r="I29" i="17"/>
  <c r="J29" i="17" s="1"/>
  <c r="K29" i="17" s="1"/>
  <c r="K172" i="17"/>
  <c r="P172" i="17" s="1"/>
  <c r="I173" i="17"/>
  <c r="J173" i="17" s="1"/>
  <c r="K173" i="17" s="1"/>
  <c r="K291" i="17"/>
  <c r="P291" i="17" s="1"/>
  <c r="I292" i="17"/>
  <c r="J292" i="17" s="1"/>
  <c r="K292" i="17" s="1"/>
  <c r="K287" i="17"/>
  <c r="P287" i="17" s="1"/>
  <c r="Q287" i="17" s="1"/>
  <c r="I288" i="17"/>
  <c r="J288" i="17" s="1"/>
  <c r="K288" i="17" s="1"/>
  <c r="K185" i="17"/>
  <c r="P185" i="17" s="1"/>
  <c r="Q185" i="17" s="1"/>
  <c r="K334" i="17"/>
  <c r="P334" i="17" s="1"/>
  <c r="K221" i="17"/>
  <c r="P221" i="17" s="1"/>
  <c r="I222" i="17"/>
  <c r="J222" i="17" s="1"/>
  <c r="K222" i="17" s="1"/>
  <c r="K234" i="17"/>
  <c r="P234" i="17" s="1"/>
  <c r="I235" i="17"/>
  <c r="J235" i="17" s="1"/>
  <c r="K235" i="17" s="1"/>
  <c r="I327" i="17"/>
  <c r="J327" i="17" s="1"/>
  <c r="K327" i="17" s="1"/>
  <c r="K326" i="17"/>
  <c r="P326" i="17" s="1"/>
  <c r="Q326" i="17" s="1"/>
  <c r="R326" i="17" s="1"/>
  <c r="S326" i="17" s="1"/>
  <c r="K227" i="17"/>
  <c r="P227" i="17" s="1"/>
  <c r="I228" i="17"/>
  <c r="J228" i="17" s="1"/>
  <c r="K228" i="17" s="1"/>
  <c r="K231" i="17"/>
  <c r="P231" i="17" s="1"/>
  <c r="I232" i="17"/>
  <c r="J232" i="17" s="1"/>
  <c r="K232" i="17" s="1"/>
  <c r="AG186" i="44"/>
  <c r="AG149" i="44"/>
  <c r="AJ149" i="44" s="1"/>
  <c r="AG136" i="44"/>
  <c r="AG112" i="44"/>
  <c r="AG78" i="44"/>
  <c r="AG88" i="44"/>
  <c r="AJ88" i="44" s="1"/>
  <c r="AG71" i="44"/>
  <c r="AG17" i="44"/>
  <c r="AG29" i="44"/>
  <c r="AG194" i="44"/>
  <c r="AG153" i="44"/>
  <c r="AG140" i="44"/>
  <c r="AJ140" i="44" s="1"/>
  <c r="AG125" i="44"/>
  <c r="AG82" i="44"/>
  <c r="AJ82" i="44" s="1"/>
  <c r="AG128" i="44"/>
  <c r="AG44" i="44"/>
  <c r="AG15" i="44"/>
  <c r="AJ15" i="44" s="1"/>
  <c r="AG27" i="44"/>
  <c r="AG206" i="44"/>
  <c r="AG183" i="44"/>
  <c r="AG146" i="44"/>
  <c r="AJ146" i="44" s="1"/>
  <c r="AG131" i="44"/>
  <c r="AP131" i="44" s="1"/>
  <c r="AG105" i="44"/>
  <c r="AP105" i="44" s="1"/>
  <c r="AG126" i="44"/>
  <c r="AJ126" i="44" s="1"/>
  <c r="AG56" i="44"/>
  <c r="AJ56" i="44" s="1"/>
  <c r="AG35" i="44"/>
  <c r="AJ35" i="44" s="1"/>
  <c r="AG59" i="44"/>
  <c r="AG180" i="44"/>
  <c r="AG75" i="44"/>
  <c r="AG198" i="44"/>
  <c r="AG84" i="44"/>
  <c r="AP84" i="44" s="1"/>
  <c r="AG209" i="44"/>
  <c r="AG76" i="44"/>
  <c r="AP76" i="44" s="1"/>
  <c r="AG34" i="44"/>
  <c r="AJ34" i="44" s="1"/>
  <c r="AG87" i="44"/>
  <c r="AJ87" i="44" s="1"/>
  <c r="AG204" i="44"/>
  <c r="AG197" i="44"/>
  <c r="AG185" i="44"/>
  <c r="AG148" i="44"/>
  <c r="AG97" i="44"/>
  <c r="AJ97" i="44" s="1"/>
  <c r="AG70" i="44"/>
  <c r="AJ70" i="44" s="1"/>
  <c r="AG79" i="44"/>
  <c r="AP79" i="44" s="1"/>
  <c r="AG102" i="44"/>
  <c r="AJ102" i="44" s="1"/>
  <c r="AG30" i="44"/>
  <c r="AP30" i="44" s="1"/>
  <c r="AG53" i="44"/>
  <c r="AP53" i="44" s="1"/>
  <c r="AG205" i="44"/>
  <c r="AG195" i="44"/>
  <c r="AG152" i="44"/>
  <c r="AP152" i="44" s="1"/>
  <c r="AG101" i="44"/>
  <c r="AJ101" i="44" s="1"/>
  <c r="AG74" i="44"/>
  <c r="AJ74" i="44" s="1"/>
  <c r="AG83" i="44"/>
  <c r="AG65" i="44"/>
  <c r="AP65" i="44" s="1"/>
  <c r="AG19" i="44"/>
  <c r="AP19" i="44" s="1"/>
  <c r="AG61" i="44"/>
  <c r="AJ61" i="44" s="1"/>
  <c r="AG190" i="44"/>
  <c r="AG151" i="44"/>
  <c r="AP151" i="44" s="1"/>
  <c r="AG138" i="44"/>
  <c r="AG114" i="44"/>
  <c r="AJ114" i="44" s="1"/>
  <c r="AG80" i="44"/>
  <c r="AP80" i="44" s="1"/>
  <c r="AG124" i="44"/>
  <c r="AP124" i="44" s="1"/>
  <c r="AG42" i="44"/>
  <c r="AP42" i="44" s="1"/>
  <c r="AG13" i="44"/>
  <c r="AP13" i="44" s="1"/>
  <c r="AG36" i="44"/>
  <c r="AJ36" i="44" s="1"/>
  <c r="AG103" i="44"/>
  <c r="AJ103" i="44" s="1"/>
  <c r="AG73" i="44"/>
  <c r="AP73" i="44" s="1"/>
  <c r="AG176" i="44"/>
  <c r="AG132" i="44"/>
  <c r="AP132" i="44" s="1"/>
  <c r="AG147" i="44"/>
  <c r="AP147" i="44" s="1"/>
  <c r="AG85" i="44"/>
  <c r="AP85" i="44" s="1"/>
  <c r="AG60" i="44"/>
  <c r="AG57" i="44"/>
  <c r="AP57" i="44" s="1"/>
  <c r="AG20" i="44"/>
  <c r="AP20" i="44" s="1"/>
  <c r="AG202" i="44"/>
  <c r="AG182" i="44"/>
  <c r="AG144" i="44"/>
  <c r="AJ144" i="44" s="1"/>
  <c r="AG129" i="44"/>
  <c r="AJ129" i="44" s="1"/>
  <c r="AG86" i="44"/>
  <c r="AJ86" i="44" s="1"/>
  <c r="AG100" i="44"/>
  <c r="AP100" i="44" s="1"/>
  <c r="AG54" i="44"/>
  <c r="AJ54" i="44" s="1"/>
  <c r="AG33" i="44"/>
  <c r="AP33" i="44" s="1"/>
  <c r="AG16" i="44"/>
  <c r="AP16" i="44" s="1"/>
  <c r="AG210" i="44"/>
  <c r="AG187" i="44"/>
  <c r="AG137" i="44"/>
  <c r="AJ137" i="44" s="1"/>
  <c r="AG133" i="44"/>
  <c r="AP133" i="44" s="1"/>
  <c r="AG98" i="44"/>
  <c r="AJ98" i="44" s="1"/>
  <c r="AG130" i="44"/>
  <c r="AG58" i="44"/>
  <c r="AJ58" i="44" s="1"/>
  <c r="AG37" i="44"/>
  <c r="AJ37" i="44" s="1"/>
  <c r="AG14" i="44"/>
  <c r="AG192" i="44"/>
  <c r="AG203" i="44"/>
  <c r="AG143" i="44"/>
  <c r="AP143" i="44" s="1"/>
  <c r="AG94" i="44"/>
  <c r="AP94" i="44" s="1"/>
  <c r="AG93" i="44"/>
  <c r="AJ93" i="44" s="1"/>
  <c r="AG113" i="44"/>
  <c r="AP113" i="44" s="1"/>
  <c r="AG64" i="44"/>
  <c r="AP64" i="44" s="1"/>
  <c r="AG43" i="44"/>
  <c r="AJ43" i="44" s="1"/>
  <c r="AG18" i="44"/>
  <c r="AP18" i="44" s="1"/>
  <c r="AG193" i="44"/>
  <c r="AG68" i="44"/>
  <c r="AP68" i="44" s="1"/>
  <c r="AG32" i="44"/>
  <c r="AP32" i="44" s="1"/>
  <c r="AG127" i="44"/>
  <c r="AJ127" i="44" s="1"/>
  <c r="AG31" i="44"/>
  <c r="AJ31" i="44" s="1"/>
  <c r="AG104" i="44"/>
  <c r="AP104" i="44" s="1"/>
  <c r="AG38" i="44"/>
  <c r="AP38" i="44" s="1"/>
  <c r="AG184" i="44"/>
  <c r="AG90" i="44"/>
  <c r="AP90" i="44" s="1"/>
  <c r="I137" i="17"/>
  <c r="J137" i="17" s="1"/>
  <c r="K137" i="17" s="1"/>
  <c r="O108" i="39"/>
  <c r="P108" i="39" s="1"/>
  <c r="Q108" i="39" s="1"/>
  <c r="R108" i="39" s="1"/>
  <c r="I225" i="17"/>
  <c r="O56" i="42"/>
  <c r="O136" i="42"/>
  <c r="P13" i="42"/>
  <c r="J311" i="17"/>
  <c r="K311" i="17" s="1"/>
  <c r="AJ91" i="44"/>
  <c r="AP91" i="44"/>
  <c r="Q84" i="42"/>
  <c r="K297" i="17"/>
  <c r="P297" i="17" s="1"/>
  <c r="P47" i="17"/>
  <c r="P41" i="17"/>
  <c r="Q41" i="17" s="1"/>
  <c r="R41" i="17" s="1"/>
  <c r="S41" i="17" s="1"/>
  <c r="P117" i="17"/>
  <c r="I274" i="17"/>
  <c r="J274" i="17" s="1"/>
  <c r="K274" i="17" s="1"/>
  <c r="P154" i="17"/>
  <c r="Q154" i="17" s="1"/>
  <c r="R154" i="17" s="1"/>
  <c r="S154" i="17" s="1"/>
  <c r="O483" i="39"/>
  <c r="P483" i="39" s="1"/>
  <c r="Q483" i="39" s="1"/>
  <c r="R483" i="39" s="1"/>
  <c r="O48" i="39"/>
  <c r="P48" i="39" s="1"/>
  <c r="Q48" i="39" s="1"/>
  <c r="R48" i="39" s="1"/>
  <c r="P49" i="17"/>
  <c r="P46" i="17"/>
  <c r="Q46" i="17" s="1"/>
  <c r="R46" i="17" s="1"/>
  <c r="S46" i="17" s="1"/>
  <c r="P197" i="17"/>
  <c r="P284" i="17"/>
  <c r="Q318" i="17"/>
  <c r="R318" i="17" s="1"/>
  <c r="S318" i="17" s="1"/>
  <c r="P113" i="17"/>
  <c r="P143" i="17"/>
  <c r="P51" i="17"/>
  <c r="M154" i="42"/>
  <c r="B41" i="26" s="1"/>
  <c r="AC41" i="26" s="1"/>
  <c r="M57" i="42"/>
  <c r="N57" i="42" s="1"/>
  <c r="M63" i="42"/>
  <c r="N63" i="42" s="1"/>
  <c r="L13" i="42"/>
  <c r="L19" i="42"/>
  <c r="L158" i="42"/>
  <c r="L22" i="42"/>
  <c r="L21" i="42"/>
  <c r="L20" i="42"/>
  <c r="L23" i="42"/>
  <c r="K411" i="39"/>
  <c r="O134" i="39"/>
  <c r="P42" i="17"/>
  <c r="P45" i="17"/>
  <c r="P43" i="17"/>
  <c r="P48" i="17"/>
  <c r="P156" i="17"/>
  <c r="P194" i="17"/>
  <c r="P199" i="17"/>
  <c r="P57" i="17"/>
  <c r="P52" i="17"/>
  <c r="P40" i="17"/>
  <c r="P146" i="17"/>
  <c r="P115" i="17"/>
  <c r="P116" i="17"/>
  <c r="Q116" i="17" s="1"/>
  <c r="R116" i="17" s="1"/>
  <c r="S116" i="17" s="1"/>
  <c r="P114" i="17"/>
  <c r="AN176" i="43"/>
  <c r="AR176" i="43" s="1"/>
  <c r="AN125" i="43"/>
  <c r="AR125" i="43" s="1"/>
  <c r="AN175" i="43"/>
  <c r="AR175" i="43" s="1"/>
  <c r="AN129" i="43"/>
  <c r="AR129" i="43" s="1"/>
  <c r="AC59" i="43"/>
  <c r="AR59" i="43" s="1"/>
  <c r="AC43" i="43"/>
  <c r="AC73" i="43"/>
  <c r="AC233" i="43"/>
  <c r="AC49" i="43"/>
  <c r="AL129" i="43"/>
  <c r="AC41" i="43"/>
  <c r="AC123" i="43"/>
  <c r="AB15" i="43"/>
  <c r="AC15" i="43" s="1"/>
  <c r="AR32" i="43"/>
  <c r="AB74" i="43"/>
  <c r="AC74" i="43" s="1"/>
  <c r="AP103" i="43"/>
  <c r="AB20" i="43"/>
  <c r="AC20" i="43" s="1"/>
  <c r="AB121" i="43"/>
  <c r="AC121" i="43" s="1"/>
  <c r="AB62" i="43"/>
  <c r="AP62" i="43" s="1"/>
  <c r="AC62" i="43"/>
  <c r="AR62" i="43" s="1"/>
  <c r="T125" i="43"/>
  <c r="T41" i="43"/>
  <c r="AC207" i="43"/>
  <c r="AB136" i="43"/>
  <c r="AC136" i="43" s="1"/>
  <c r="AC156" i="43"/>
  <c r="AB226" i="43"/>
  <c r="AC226" i="43" s="1"/>
  <c r="AB225" i="43"/>
  <c r="AC225" i="43" s="1"/>
  <c r="AC90" i="43"/>
  <c r="AC84" i="43"/>
  <c r="AB218" i="43"/>
  <c r="AC218" i="43" s="1"/>
  <c r="AL174" i="43"/>
  <c r="AB174" i="43"/>
  <c r="AC174" i="43" s="1"/>
  <c r="AL171" i="43"/>
  <c r="AB171" i="43"/>
  <c r="AC171" i="43" s="1"/>
  <c r="AB157" i="43"/>
  <c r="AB63" i="43"/>
  <c r="AC63" i="43" s="1"/>
  <c r="AB29" i="43"/>
  <c r="AC29" i="43" s="1"/>
  <c r="AC247" i="43"/>
  <c r="AC142" i="43"/>
  <c r="AR142" i="43" s="1"/>
  <c r="T253" i="43"/>
  <c r="AB172" i="43"/>
  <c r="AC172" i="43" s="1"/>
  <c r="AB128" i="43"/>
  <c r="AC128" i="43" s="1"/>
  <c r="AB65" i="43"/>
  <c r="AC65" i="43" s="1"/>
  <c r="AB38" i="43"/>
  <c r="AC38" i="43" s="1"/>
  <c r="AB21" i="43"/>
  <c r="AC21" i="43"/>
  <c r="AB178" i="43"/>
  <c r="AC178" i="43" s="1"/>
  <c r="AB262" i="43"/>
  <c r="AC262" i="43" s="1"/>
  <c r="AB105" i="43"/>
  <c r="AP105" i="43" s="1"/>
  <c r="AB51" i="43"/>
  <c r="AC51" i="43" s="1"/>
  <c r="AB71" i="43"/>
  <c r="V265" i="43"/>
  <c r="AB265" i="43" s="1"/>
  <c r="AC265" i="43" s="1"/>
  <c r="T134" i="43"/>
  <c r="X14" i="43"/>
  <c r="Y14" i="43" s="1"/>
  <c r="AA14" i="43" s="1"/>
  <c r="AJ14" i="43"/>
  <c r="AJ16" i="43"/>
  <c r="R16" i="43"/>
  <c r="X18" i="43"/>
  <c r="Y18" i="43" s="1"/>
  <c r="AA18" i="43" s="1"/>
  <c r="AJ18" i="43"/>
  <c r="AL18" i="43" s="1"/>
  <c r="X58" i="43"/>
  <c r="Y58" i="43" s="1"/>
  <c r="AA58" i="43" s="1"/>
  <c r="AJ73" i="43"/>
  <c r="AL73" i="43" s="1"/>
  <c r="AP73" i="43"/>
  <c r="AP33" i="43"/>
  <c r="R33" i="43"/>
  <c r="X35" i="43"/>
  <c r="Y35" i="43" s="1"/>
  <c r="AA35" i="43" s="1"/>
  <c r="R35" i="43"/>
  <c r="AP35" i="43"/>
  <c r="L170" i="17"/>
  <c r="Q46" i="43"/>
  <c r="AJ55" i="43"/>
  <c r="AN55" i="43"/>
  <c r="AN56" i="43"/>
  <c r="Q31" i="43"/>
  <c r="X127" i="43"/>
  <c r="Y127" i="43" s="1"/>
  <c r="AA127" i="43" s="1"/>
  <c r="AP127" i="43"/>
  <c r="AP19" i="43"/>
  <c r="X19" i="43"/>
  <c r="Y19" i="43" s="1"/>
  <c r="AA19" i="43" s="1"/>
  <c r="R19" i="43"/>
  <c r="R45" i="43"/>
  <c r="V45" i="43" s="1"/>
  <c r="AL45" i="43" s="1"/>
  <c r="AP45" i="43"/>
  <c r="X47" i="43"/>
  <c r="Y47" i="43" s="1"/>
  <c r="AA47" i="43" s="1"/>
  <c r="M151" i="17"/>
  <c r="N151" i="17" s="1"/>
  <c r="O151" i="17" s="1"/>
  <c r="P151" i="17" s="1"/>
  <c r="L246" i="17"/>
  <c r="Q18" i="43"/>
  <c r="Q23" i="43"/>
  <c r="Q27" i="43"/>
  <c r="Q32" i="43"/>
  <c r="Q37" i="43"/>
  <c r="Q40" i="43"/>
  <c r="Q42" i="43"/>
  <c r="M238" i="17"/>
  <c r="N238" i="17" s="1"/>
  <c r="O238" i="17" s="1"/>
  <c r="Q44" i="43"/>
  <c r="L286" i="17"/>
  <c r="M286" i="17" s="1"/>
  <c r="M285" i="17"/>
  <c r="N285" i="17" s="1"/>
  <c r="O285" i="17" s="1"/>
  <c r="AP75" i="43"/>
  <c r="AR75" i="43" s="1"/>
  <c r="Q84" i="43"/>
  <c r="Q88" i="43"/>
  <c r="M99" i="17"/>
  <c r="Q134" i="43"/>
  <c r="Q174" i="43"/>
  <c r="Q175" i="43"/>
  <c r="AJ175" i="43"/>
  <c r="N184" i="17"/>
  <c r="O184" i="17" s="1"/>
  <c r="N186" i="17"/>
  <c r="O186" i="17" s="1"/>
  <c r="N77" i="43"/>
  <c r="L292" i="17"/>
  <c r="M292" i="17" s="1"/>
  <c r="M291" i="17"/>
  <c r="L18" i="17"/>
  <c r="M18" i="17" s="1"/>
  <c r="M17" i="17"/>
  <c r="N17" i="17" s="1"/>
  <c r="O17" i="17" s="1"/>
  <c r="Q85" i="43"/>
  <c r="Q89" i="43"/>
  <c r="Q123" i="43"/>
  <c r="P162" i="43"/>
  <c r="AP171" i="43"/>
  <c r="M314" i="17"/>
  <c r="R180" i="43"/>
  <c r="P252" i="17"/>
  <c r="N299" i="17"/>
  <c r="O299" i="17" s="1"/>
  <c r="Q39" i="43"/>
  <c r="AP39" i="43"/>
  <c r="AR39" i="43" s="1"/>
  <c r="L175" i="17"/>
  <c r="M175" i="17" s="1"/>
  <c r="N175" i="17" s="1"/>
  <c r="O175" i="17" s="1"/>
  <c r="M174" i="17"/>
  <c r="N174" i="17" s="1"/>
  <c r="O174" i="17" s="1"/>
  <c r="Q56" i="43"/>
  <c r="X56" i="43" s="1"/>
  <c r="Y56" i="43" s="1"/>
  <c r="AA56" i="43" s="1"/>
  <c r="L86" i="17"/>
  <c r="M85" i="17"/>
  <c r="L94" i="17"/>
  <c r="M93" i="17"/>
  <c r="Q91" i="43"/>
  <c r="Q121" i="43"/>
  <c r="Q124" i="43"/>
  <c r="Q127" i="43"/>
  <c r="Q130" i="43"/>
  <c r="Q131" i="43"/>
  <c r="Q177" i="43"/>
  <c r="R223" i="43"/>
  <c r="X227" i="43"/>
  <c r="Y227" i="43" s="1"/>
  <c r="AA227" i="43" s="1"/>
  <c r="X260" i="43"/>
  <c r="Y260" i="43" s="1"/>
  <c r="AA260" i="43" s="1"/>
  <c r="P147" i="17"/>
  <c r="Q16" i="43"/>
  <c r="Q22" i="43"/>
  <c r="Q26" i="43"/>
  <c r="Q30" i="43"/>
  <c r="Q35" i="43"/>
  <c r="L34" i="17"/>
  <c r="M34" i="17" s="1"/>
  <c r="M33" i="17"/>
  <c r="N33" i="17" s="1"/>
  <c r="O33" i="17" s="1"/>
  <c r="M307" i="17"/>
  <c r="L308" i="17"/>
  <c r="L329" i="17"/>
  <c r="M328" i="17"/>
  <c r="N328" i="17" s="1"/>
  <c r="O328" i="17" s="1"/>
  <c r="M138" i="17"/>
  <c r="L139" i="17"/>
  <c r="L136" i="17"/>
  <c r="Q158" i="43"/>
  <c r="AP173" i="43"/>
  <c r="Q183" i="43"/>
  <c r="P185" i="43"/>
  <c r="N187" i="43"/>
  <c r="P38" i="17"/>
  <c r="M273" i="17"/>
  <c r="L274" i="17"/>
  <c r="M274" i="17" s="1"/>
  <c r="Q170" i="43"/>
  <c r="Q171" i="43"/>
  <c r="M15" i="17"/>
  <c r="X266" i="43"/>
  <c r="Y266" i="43" s="1"/>
  <c r="AA266" i="43" s="1"/>
  <c r="Q172" i="43"/>
  <c r="Q173" i="43"/>
  <c r="I94" i="17"/>
  <c r="J94" i="17" s="1"/>
  <c r="K94" i="17" s="1"/>
  <c r="P22" i="44"/>
  <c r="Q55" i="44"/>
  <c r="Q63" i="44"/>
  <c r="N107" i="44"/>
  <c r="N158" i="44" s="1"/>
  <c r="M84" i="42"/>
  <c r="N84" i="42" s="1"/>
  <c r="O84" i="42" s="1"/>
  <c r="P84" i="42" s="1"/>
  <c r="M110" i="42"/>
  <c r="N110" i="42" s="1"/>
  <c r="O110" i="42" s="1"/>
  <c r="P110" i="42" s="1"/>
  <c r="M112" i="42"/>
  <c r="N112" i="42" s="1"/>
  <c r="O112" i="42" s="1"/>
  <c r="P112" i="42" s="1"/>
  <c r="P54" i="17"/>
  <c r="P55" i="17"/>
  <c r="P53" i="17"/>
  <c r="Q19" i="17"/>
  <c r="R19" i="17" s="1"/>
  <c r="S19" i="17" s="1"/>
  <c r="O189" i="17"/>
  <c r="Q83" i="42" l="1"/>
  <c r="Q41" i="42"/>
  <c r="R41" i="42" s="1"/>
  <c r="S41" i="42" s="1"/>
  <c r="T41" i="42" s="1"/>
  <c r="Q87" i="42"/>
  <c r="R87" i="42" s="1"/>
  <c r="S87" i="42" s="1"/>
  <c r="T87" i="42" s="1"/>
  <c r="P175" i="17"/>
  <c r="P22" i="17"/>
  <c r="Q22" i="17" s="1"/>
  <c r="R22" i="17" s="1"/>
  <c r="S22" i="17" s="1"/>
  <c r="Q42" i="42"/>
  <c r="R42" i="42" s="1"/>
  <c r="S42" i="42" s="1"/>
  <c r="T42" i="42" s="1"/>
  <c r="Q55" i="42"/>
  <c r="R55" i="42" s="1"/>
  <c r="S55" i="42" s="1"/>
  <c r="T55" i="42" s="1"/>
  <c r="Q138" i="42"/>
  <c r="R138" i="42" s="1"/>
  <c r="S138" i="42" s="1"/>
  <c r="T138" i="42" s="1"/>
  <c r="Q98" i="42"/>
  <c r="Q145" i="42"/>
  <c r="R145" i="42" s="1"/>
  <c r="S145" i="42" s="1"/>
  <c r="T145" i="42" s="1"/>
  <c r="Q166" i="42"/>
  <c r="AC23" i="26"/>
  <c r="AD41" i="26"/>
  <c r="AD25" i="26"/>
  <c r="AD43" i="26"/>
  <c r="AD29" i="26"/>
  <c r="C25" i="26"/>
  <c r="Q45" i="42"/>
  <c r="R45" i="42" s="1"/>
  <c r="S45" i="42" s="1"/>
  <c r="T45" i="42" s="1"/>
  <c r="Q91" i="42"/>
  <c r="R91" i="42" s="1"/>
  <c r="S91" i="42" s="1"/>
  <c r="T91" i="42" s="1"/>
  <c r="Q157" i="42"/>
  <c r="R157" i="42" s="1"/>
  <c r="Q20" i="42"/>
  <c r="R20" i="42" s="1"/>
  <c r="S20" i="42" s="1"/>
  <c r="T20" i="42" s="1"/>
  <c r="Q147" i="42"/>
  <c r="R147" i="42" s="1"/>
  <c r="S147" i="42" s="1"/>
  <c r="T147" i="42" s="1"/>
  <c r="Q35" i="42"/>
  <c r="R35" i="42" s="1"/>
  <c r="S35" i="42" s="1"/>
  <c r="T35" i="42" s="1"/>
  <c r="Q139" i="42"/>
  <c r="R139" i="42" s="1"/>
  <c r="S139" i="42" s="1"/>
  <c r="T139" i="42" s="1"/>
  <c r="Q75" i="42"/>
  <c r="R75" i="42" s="1"/>
  <c r="S75" i="42" s="1"/>
  <c r="T75" i="42" s="1"/>
  <c r="Q78" i="42"/>
  <c r="R78" i="42" s="1"/>
  <c r="S78" i="42" s="1"/>
  <c r="T78" i="42" s="1"/>
  <c r="Q34" i="42"/>
  <c r="R34" i="42" s="1"/>
  <c r="S34" i="42" s="1"/>
  <c r="T34" i="42" s="1"/>
  <c r="Q18" i="42"/>
  <c r="Q23" i="42"/>
  <c r="R23" i="42" s="1"/>
  <c r="S23" i="42" s="1"/>
  <c r="T23" i="42" s="1"/>
  <c r="Q46" i="42"/>
  <c r="R46" i="42" s="1"/>
  <c r="S46" i="42" s="1"/>
  <c r="T46" i="42" s="1"/>
  <c r="Q130" i="42"/>
  <c r="R130" i="42" s="1"/>
  <c r="Q81" i="42"/>
  <c r="R81" i="42" s="1"/>
  <c r="S81" i="42" s="1"/>
  <c r="T81" i="42" s="1"/>
  <c r="Q30" i="42"/>
  <c r="R30" i="42" s="1"/>
  <c r="S30" i="42" s="1"/>
  <c r="T30" i="42" s="1"/>
  <c r="Q21" i="42"/>
  <c r="R21" i="42" s="1"/>
  <c r="S21" i="42" s="1"/>
  <c r="T21" i="42" s="1"/>
  <c r="Q150" i="42"/>
  <c r="R150" i="42" s="1"/>
  <c r="S150" i="42" s="1"/>
  <c r="T150" i="42" s="1"/>
  <c r="Q39" i="42"/>
  <c r="R39" i="42" s="1"/>
  <c r="S39" i="42" s="1"/>
  <c r="T39" i="42" s="1"/>
  <c r="Q131" i="42"/>
  <c r="R131" i="42" s="1"/>
  <c r="S131" i="42" s="1"/>
  <c r="T131" i="42" s="1"/>
  <c r="Q65" i="42"/>
  <c r="R65" i="42" s="1"/>
  <c r="S65" i="42" s="1"/>
  <c r="T65" i="42" s="1"/>
  <c r="Q56" i="42"/>
  <c r="R56" i="42" s="1"/>
  <c r="S56" i="42" s="1"/>
  <c r="T56" i="42" s="1"/>
  <c r="Q76" i="42"/>
  <c r="R76" i="42" s="1"/>
  <c r="S76" i="42" s="1"/>
  <c r="T76" i="42" s="1"/>
  <c r="Q22" i="42"/>
  <c r="R22" i="42" s="1"/>
  <c r="S22" i="42" s="1"/>
  <c r="T22" i="42" s="1"/>
  <c r="Q115" i="42"/>
  <c r="R115" i="42" s="1"/>
  <c r="S115" i="42" s="1"/>
  <c r="T115" i="42" s="1"/>
  <c r="Q90" i="42"/>
  <c r="R90" i="42" s="1"/>
  <c r="S90" i="42" s="1"/>
  <c r="T90" i="42" s="1"/>
  <c r="Q142" i="42"/>
  <c r="R142" i="42" s="1"/>
  <c r="S142" i="42" s="1"/>
  <c r="T142" i="42" s="1"/>
  <c r="Q43" i="42"/>
  <c r="R43" i="42" s="1"/>
  <c r="S43" i="42" s="1"/>
  <c r="T43" i="42" s="1"/>
  <c r="Q89" i="42"/>
  <c r="R89" i="42" s="1"/>
  <c r="S89" i="42" s="1"/>
  <c r="T89" i="42" s="1"/>
  <c r="Q60" i="42"/>
  <c r="R60" i="42" s="1"/>
  <c r="S60" i="42" s="1"/>
  <c r="T60" i="42" s="1"/>
  <c r="Q80" i="42"/>
  <c r="R80" i="42" s="1"/>
  <c r="S80" i="42" s="1"/>
  <c r="T80" i="42" s="1"/>
  <c r="Q66" i="42"/>
  <c r="R66" i="42" s="1"/>
  <c r="S66" i="42" s="1"/>
  <c r="T66" i="42" s="1"/>
  <c r="Q118" i="42"/>
  <c r="R118" i="42" s="1"/>
  <c r="S118" i="42" s="1"/>
  <c r="T118" i="42" s="1"/>
  <c r="Q101" i="42"/>
  <c r="R101" i="42" s="1"/>
  <c r="S101" i="42" s="1"/>
  <c r="T101" i="42" s="1"/>
  <c r="Q48" i="42"/>
  <c r="R48" i="42" s="1"/>
  <c r="Q149" i="42"/>
  <c r="R149" i="42" s="1"/>
  <c r="S149" i="42" s="1"/>
  <c r="T149" i="42" s="1"/>
  <c r="Q36" i="42"/>
  <c r="R36" i="42" s="1"/>
  <c r="S36" i="42" s="1"/>
  <c r="T36" i="42" s="1"/>
  <c r="Q93" i="42"/>
  <c r="R93" i="42" s="1"/>
  <c r="S93" i="42" s="1"/>
  <c r="T93" i="42" s="1"/>
  <c r="Q141" i="42"/>
  <c r="R141" i="42" s="1"/>
  <c r="S141" i="42" s="1"/>
  <c r="T141" i="42" s="1"/>
  <c r="Q47" i="42"/>
  <c r="R47" i="42" s="1"/>
  <c r="S47" i="42" s="1"/>
  <c r="T47" i="42" s="1"/>
  <c r="Q95" i="42"/>
  <c r="R95" i="42" s="1"/>
  <c r="S95" i="42" s="1"/>
  <c r="T95" i="42" s="1"/>
  <c r="Q54" i="42"/>
  <c r="R54" i="42" s="1"/>
  <c r="Q74" i="42"/>
  <c r="R74" i="42" s="1"/>
  <c r="S74" i="42" s="1"/>
  <c r="T74" i="42" s="1"/>
  <c r="Q69" i="42"/>
  <c r="R69" i="42" s="1"/>
  <c r="S69" i="42" s="1"/>
  <c r="T69" i="42" s="1"/>
  <c r="Q33" i="42"/>
  <c r="R33" i="42" s="1"/>
  <c r="S33" i="42" s="1"/>
  <c r="T33" i="42" s="1"/>
  <c r="Q102" i="42"/>
  <c r="R102" i="42" s="1"/>
  <c r="S102" i="42" s="1"/>
  <c r="T102" i="42" s="1"/>
  <c r="Q97" i="42"/>
  <c r="R97" i="42" s="1"/>
  <c r="S97" i="42" s="1"/>
  <c r="T97" i="42" s="1"/>
  <c r="Q114" i="42"/>
  <c r="R114" i="42" s="1"/>
  <c r="S114" i="42" s="1"/>
  <c r="T114" i="42" s="1"/>
  <c r="Q40" i="42"/>
  <c r="R40" i="42" s="1"/>
  <c r="S40" i="42" s="1"/>
  <c r="T40" i="42" s="1"/>
  <c r="Q148" i="42"/>
  <c r="R148" i="42" s="1"/>
  <c r="S148" i="42" s="1"/>
  <c r="T148" i="42" s="1"/>
  <c r="Q140" i="42"/>
  <c r="R140" i="42" s="1"/>
  <c r="S140" i="42" s="1"/>
  <c r="T140" i="42" s="1"/>
  <c r="Q146" i="42"/>
  <c r="R146" i="42" s="1"/>
  <c r="S146" i="42" s="1"/>
  <c r="T146" i="42" s="1"/>
  <c r="Q132" i="42"/>
  <c r="R132" i="42" s="1"/>
  <c r="S132" i="42" s="1"/>
  <c r="T132" i="42" s="1"/>
  <c r="Q86" i="42"/>
  <c r="R86" i="42" s="1"/>
  <c r="S86" i="42" s="1"/>
  <c r="T86" i="42" s="1"/>
  <c r="Q64" i="42"/>
  <c r="R64" i="42" s="1"/>
  <c r="S64" i="42" s="1"/>
  <c r="T64" i="42" s="1"/>
  <c r="Q71" i="42"/>
  <c r="R71" i="42" s="1"/>
  <c r="S71" i="42" s="1"/>
  <c r="T71" i="42" s="1"/>
  <c r="Q121" i="42"/>
  <c r="R121" i="42" s="1"/>
  <c r="S121" i="42" s="1"/>
  <c r="T121" i="42" s="1"/>
  <c r="Q124" i="42"/>
  <c r="R124" i="42" s="1"/>
  <c r="S124" i="42" s="1"/>
  <c r="T124" i="42" s="1"/>
  <c r="Q116" i="42"/>
  <c r="R116" i="42" s="1"/>
  <c r="S116" i="42" s="1"/>
  <c r="T116" i="42" s="1"/>
  <c r="Q38" i="42"/>
  <c r="R38" i="42" s="1"/>
  <c r="S38" i="42" s="1"/>
  <c r="T38" i="42" s="1"/>
  <c r="Q44" i="42"/>
  <c r="R44" i="42" s="1"/>
  <c r="S44" i="42" s="1"/>
  <c r="T44" i="42" s="1"/>
  <c r="Q37" i="42"/>
  <c r="R37" i="42" s="1"/>
  <c r="Q137" i="42"/>
  <c r="R137" i="42" s="1"/>
  <c r="S137" i="42" s="1"/>
  <c r="T137" i="42" s="1"/>
  <c r="Q112" i="42"/>
  <c r="R112" i="42" s="1"/>
  <c r="S112" i="42" s="1"/>
  <c r="T112" i="42" s="1"/>
  <c r="Q82" i="42"/>
  <c r="R82" i="42" s="1"/>
  <c r="S82" i="42" s="1"/>
  <c r="T82" i="42" s="1"/>
  <c r="Q31" i="42"/>
  <c r="R31" i="42" s="1"/>
  <c r="S31" i="42" s="1"/>
  <c r="T31" i="42" s="1"/>
  <c r="Q73" i="42"/>
  <c r="R73" i="42" s="1"/>
  <c r="S73" i="42" s="1"/>
  <c r="T73" i="42" s="1"/>
  <c r="Q32" i="42"/>
  <c r="R32" i="42" s="1"/>
  <c r="S32" i="42" s="1"/>
  <c r="T32" i="42" s="1"/>
  <c r="Q108" i="42"/>
  <c r="O108" i="42"/>
  <c r="P108" i="42" s="1"/>
  <c r="O343" i="39"/>
  <c r="P343" i="39" s="1"/>
  <c r="Q343" i="39" s="1"/>
  <c r="R343" i="39" s="1"/>
  <c r="O441" i="39"/>
  <c r="O56" i="39"/>
  <c r="P56" i="39" s="1"/>
  <c r="Q56" i="39" s="1"/>
  <c r="R56" i="39" s="1"/>
  <c r="O428" i="39"/>
  <c r="P428" i="39" s="1"/>
  <c r="Q428" i="39" s="1"/>
  <c r="R428" i="39" s="1"/>
  <c r="Q158" i="42"/>
  <c r="R158" i="42" s="1"/>
  <c r="S158" i="42" s="1"/>
  <c r="T158" i="42" s="1"/>
  <c r="Q96" i="42"/>
  <c r="R96" i="42" s="1"/>
  <c r="S96" i="42" s="1"/>
  <c r="T96" i="42" s="1"/>
  <c r="O480" i="39"/>
  <c r="P480" i="39" s="1"/>
  <c r="O200" i="39"/>
  <c r="P200" i="39" s="1"/>
  <c r="Q143" i="42"/>
  <c r="R143" i="42" s="1"/>
  <c r="S143" i="42" s="1"/>
  <c r="T143" i="42" s="1"/>
  <c r="Q134" i="42"/>
  <c r="R134" i="42" s="1"/>
  <c r="S134" i="42" s="1"/>
  <c r="T134" i="42" s="1"/>
  <c r="Q94" i="42"/>
  <c r="R94" i="42" s="1"/>
  <c r="S94" i="42" s="1"/>
  <c r="T94" i="42" s="1"/>
  <c r="Q110" i="42"/>
  <c r="R110" i="42" s="1"/>
  <c r="S110" i="42" s="1"/>
  <c r="T110" i="42" s="1"/>
  <c r="Q68" i="42"/>
  <c r="R68" i="42" s="1"/>
  <c r="S68" i="42" s="1"/>
  <c r="T68" i="42" s="1"/>
  <c r="Q136" i="42"/>
  <c r="R136" i="42" s="1"/>
  <c r="S136" i="42" s="1"/>
  <c r="T136" i="42" s="1"/>
  <c r="Q59" i="42"/>
  <c r="R59" i="42" s="1"/>
  <c r="S59" i="42" s="1"/>
  <c r="T59" i="42" s="1"/>
  <c r="Q61" i="42"/>
  <c r="R61" i="42" s="1"/>
  <c r="S61" i="42" s="1"/>
  <c r="T61" i="42" s="1"/>
  <c r="Q117" i="42"/>
  <c r="R117" i="42" s="1"/>
  <c r="Q79" i="42"/>
  <c r="R79" i="42" s="1"/>
  <c r="S79" i="42" s="1"/>
  <c r="T79" i="42" s="1"/>
  <c r="O141" i="39"/>
  <c r="P141" i="39" s="1"/>
  <c r="Q141" i="39" s="1"/>
  <c r="R141" i="39" s="1"/>
  <c r="Q19" i="42"/>
  <c r="R19" i="42" s="1"/>
  <c r="S19" i="42" s="1"/>
  <c r="T19" i="42" s="1"/>
  <c r="Q99" i="42"/>
  <c r="R99" i="42" s="1"/>
  <c r="S99" i="42" s="1"/>
  <c r="T99" i="42" s="1"/>
  <c r="O229" i="39"/>
  <c r="P229" i="39" s="1"/>
  <c r="Q229" i="39" s="1"/>
  <c r="R229" i="39" s="1"/>
  <c r="O71" i="39"/>
  <c r="P71" i="39" s="1"/>
  <c r="Q71" i="39" s="1"/>
  <c r="R71" i="39" s="1"/>
  <c r="Q88" i="42"/>
  <c r="R88" i="42" s="1"/>
  <c r="S88" i="42" s="1"/>
  <c r="T88" i="42" s="1"/>
  <c r="O226" i="39"/>
  <c r="P226" i="39" s="1"/>
  <c r="Q226" i="39" s="1"/>
  <c r="R226" i="39" s="1"/>
  <c r="Q135" i="42"/>
  <c r="R135" i="42" s="1"/>
  <c r="S135" i="42" s="1"/>
  <c r="T135" i="42" s="1"/>
  <c r="Q67" i="42"/>
  <c r="R67" i="42" s="1"/>
  <c r="S67" i="42" s="1"/>
  <c r="T67" i="42" s="1"/>
  <c r="Q133" i="42"/>
  <c r="R133" i="42" s="1"/>
  <c r="S133" i="42" s="1"/>
  <c r="T133" i="42" s="1"/>
  <c r="Q62" i="42"/>
  <c r="R62" i="42" s="1"/>
  <c r="S62" i="42" s="1"/>
  <c r="T62" i="42" s="1"/>
  <c r="Q29" i="42"/>
  <c r="R29" i="42" s="1"/>
  <c r="Q100" i="42"/>
  <c r="R100" i="42" s="1"/>
  <c r="S100" i="42" s="1"/>
  <c r="T100" i="42" s="1"/>
  <c r="O275" i="39"/>
  <c r="P275" i="39" s="1"/>
  <c r="Q275" i="39" s="1"/>
  <c r="R275" i="39" s="1"/>
  <c r="O369" i="39"/>
  <c r="P369" i="39" s="1"/>
  <c r="Q369" i="39" s="1"/>
  <c r="R369" i="39" s="1"/>
  <c r="O311" i="39"/>
  <c r="P311" i="39" s="1"/>
  <c r="Q311" i="39" s="1"/>
  <c r="R311" i="39" s="1"/>
  <c r="O225" i="39"/>
  <c r="P225" i="39" s="1"/>
  <c r="Q225" i="39" s="1"/>
  <c r="R225" i="39" s="1"/>
  <c r="O416" i="39"/>
  <c r="P416" i="39" s="1"/>
  <c r="O394" i="39"/>
  <c r="P394" i="39" s="1"/>
  <c r="Q394" i="39" s="1"/>
  <c r="R394" i="39" s="1"/>
  <c r="O140" i="39"/>
  <c r="P140" i="39" s="1"/>
  <c r="O488" i="39"/>
  <c r="P488" i="39" s="1"/>
  <c r="O14" i="39"/>
  <c r="P14" i="39" s="1"/>
  <c r="Q14" i="39" s="1"/>
  <c r="R14" i="39" s="1"/>
  <c r="O357" i="39"/>
  <c r="P357" i="39" s="1"/>
  <c r="O358" i="39"/>
  <c r="P358" i="39" s="1"/>
  <c r="O77" i="39"/>
  <c r="P77" i="39" s="1"/>
  <c r="Q77" i="39" s="1"/>
  <c r="R77" i="39" s="1"/>
  <c r="O248" i="39"/>
  <c r="P248" i="39" s="1"/>
  <c r="Q248" i="39" s="1"/>
  <c r="R248" i="39" s="1"/>
  <c r="O430" i="39"/>
  <c r="P430" i="39" s="1"/>
  <c r="Q430" i="39" s="1"/>
  <c r="R430" i="39" s="1"/>
  <c r="O135" i="39"/>
  <c r="P135" i="39" s="1"/>
  <c r="Q135" i="39" s="1"/>
  <c r="R135" i="39" s="1"/>
  <c r="O233" i="39"/>
  <c r="P233" i="39" s="1"/>
  <c r="Q233" i="39" s="1"/>
  <c r="R233" i="39" s="1"/>
  <c r="O274" i="39"/>
  <c r="P274" i="39" s="1"/>
  <c r="O106" i="39"/>
  <c r="P106" i="39" s="1"/>
  <c r="Q106" i="39" s="1"/>
  <c r="R106" i="39" s="1"/>
  <c r="O20" i="39"/>
  <c r="P20" i="39" s="1"/>
  <c r="Q20" i="39" s="1"/>
  <c r="R20" i="39" s="1"/>
  <c r="O205" i="39"/>
  <c r="P205" i="39" s="1"/>
  <c r="Q205" i="39" s="1"/>
  <c r="R205" i="39" s="1"/>
  <c r="O222" i="39"/>
  <c r="P222" i="39" s="1"/>
  <c r="Q222" i="39" s="1"/>
  <c r="R222" i="39" s="1"/>
  <c r="O158" i="39"/>
  <c r="P158" i="39" s="1"/>
  <c r="Q158" i="39" s="1"/>
  <c r="R158" i="39" s="1"/>
  <c r="O444" i="39"/>
  <c r="P444" i="39" s="1"/>
  <c r="Q444" i="39" s="1"/>
  <c r="R444" i="39" s="1"/>
  <c r="O61" i="39"/>
  <c r="P61" i="39" s="1"/>
  <c r="Q61" i="39" s="1"/>
  <c r="R61" i="39" s="1"/>
  <c r="O500" i="39"/>
  <c r="P500" i="39" s="1"/>
  <c r="O484" i="39"/>
  <c r="P484" i="39" s="1"/>
  <c r="O293" i="39"/>
  <c r="P293" i="39" s="1"/>
  <c r="Q293" i="39" s="1"/>
  <c r="R293" i="39" s="1"/>
  <c r="O128" i="39"/>
  <c r="P128" i="39" s="1"/>
  <c r="Q128" i="39" s="1"/>
  <c r="R128" i="39" s="1"/>
  <c r="O127" i="39"/>
  <c r="P127" i="39" s="1"/>
  <c r="Q127" i="39" s="1"/>
  <c r="R127" i="39" s="1"/>
  <c r="O373" i="39"/>
  <c r="P373" i="39" s="1"/>
  <c r="O467" i="39"/>
  <c r="P467" i="39" s="1"/>
  <c r="Q467" i="39" s="1"/>
  <c r="R467" i="39" s="1"/>
  <c r="O129" i="39"/>
  <c r="P129" i="39" s="1"/>
  <c r="Q129" i="39" s="1"/>
  <c r="R129" i="39" s="1"/>
  <c r="O38" i="39"/>
  <c r="P38" i="39" s="1"/>
  <c r="Q38" i="39" s="1"/>
  <c r="R38" i="39" s="1"/>
  <c r="O85" i="39"/>
  <c r="P85" i="39" s="1"/>
  <c r="Q85" i="39" s="1"/>
  <c r="R85" i="39" s="1"/>
  <c r="O342" i="39"/>
  <c r="P342" i="39" s="1"/>
  <c r="Q342" i="39" s="1"/>
  <c r="R342" i="39" s="1"/>
  <c r="O471" i="39"/>
  <c r="P471" i="39" s="1"/>
  <c r="Q471" i="39" s="1"/>
  <c r="R471" i="39" s="1"/>
  <c r="O279" i="39"/>
  <c r="P279" i="39" s="1"/>
  <c r="Q279" i="39" s="1"/>
  <c r="R279" i="39" s="1"/>
  <c r="O90" i="39"/>
  <c r="P90" i="39" s="1"/>
  <c r="Q90" i="39" s="1"/>
  <c r="R90" i="39" s="1"/>
  <c r="O391" i="39"/>
  <c r="P391" i="39" s="1"/>
  <c r="Q391" i="39" s="1"/>
  <c r="R391" i="39" s="1"/>
  <c r="O73" i="39"/>
  <c r="P73" i="39" s="1"/>
  <c r="Q73" i="39" s="1"/>
  <c r="R73" i="39" s="1"/>
  <c r="O220" i="39"/>
  <c r="P220" i="39" s="1"/>
  <c r="O245" i="39"/>
  <c r="P245" i="39" s="1"/>
  <c r="Q245" i="39" s="1"/>
  <c r="R245" i="39" s="1"/>
  <c r="O211" i="39"/>
  <c r="P211" i="39" s="1"/>
  <c r="Q211" i="39" s="1"/>
  <c r="R211" i="39" s="1"/>
  <c r="O377" i="39"/>
  <c r="P377" i="39" s="1"/>
  <c r="Q377" i="39" s="1"/>
  <c r="R377" i="39" s="1"/>
  <c r="O209" i="39"/>
  <c r="P209" i="39" s="1"/>
  <c r="Q209" i="39" s="1"/>
  <c r="R209" i="39" s="1"/>
  <c r="O125" i="39"/>
  <c r="P125" i="39" s="1"/>
  <c r="Q125" i="39" s="1"/>
  <c r="R125" i="39" s="1"/>
  <c r="O86" i="39"/>
  <c r="P86" i="39" s="1"/>
  <c r="Q86" i="39" s="1"/>
  <c r="R86" i="39" s="1"/>
  <c r="O203" i="39"/>
  <c r="P203" i="39" s="1"/>
  <c r="O295" i="39"/>
  <c r="P295" i="39" s="1"/>
  <c r="Q295" i="39" s="1"/>
  <c r="R295" i="39" s="1"/>
  <c r="O130" i="39"/>
  <c r="P130" i="39" s="1"/>
  <c r="Q130" i="39" s="1"/>
  <c r="R130" i="39" s="1"/>
  <c r="O297" i="39"/>
  <c r="P297" i="39" s="1"/>
  <c r="Q297" i="39" s="1"/>
  <c r="R297" i="39" s="1"/>
  <c r="O395" i="39"/>
  <c r="P395" i="39" s="1"/>
  <c r="Q395" i="39" s="1"/>
  <c r="R395" i="39" s="1"/>
  <c r="O155" i="39"/>
  <c r="P155" i="39" s="1"/>
  <c r="O400" i="39"/>
  <c r="P400" i="39" s="1"/>
  <c r="Q400" i="39" s="1"/>
  <c r="R400" i="39" s="1"/>
  <c r="O21" i="39"/>
  <c r="P21" i="39" s="1"/>
  <c r="Q21" i="39" s="1"/>
  <c r="R21" i="39" s="1"/>
  <c r="O525" i="39"/>
  <c r="P525" i="39" s="1"/>
  <c r="Q525" i="39" s="1"/>
  <c r="R525" i="39" s="1"/>
  <c r="O241" i="39"/>
  <c r="P241" i="39" s="1"/>
  <c r="Q241" i="39" s="1"/>
  <c r="R241" i="39" s="1"/>
  <c r="O31" i="39"/>
  <c r="P31" i="39" s="1"/>
  <c r="Q31" i="39" s="1"/>
  <c r="R31" i="39" s="1"/>
  <c r="O352" i="39"/>
  <c r="P352" i="39" s="1"/>
  <c r="Q352" i="39" s="1"/>
  <c r="R352" i="39" s="1"/>
  <c r="O251" i="39"/>
  <c r="P251" i="39" s="1"/>
  <c r="Q251" i="39" s="1"/>
  <c r="R251" i="39" s="1"/>
  <c r="O434" i="39"/>
  <c r="P434" i="39" s="1"/>
  <c r="Q434" i="39" s="1"/>
  <c r="R434" i="39" s="1"/>
  <c r="O463" i="39"/>
  <c r="P463" i="39" s="1"/>
  <c r="Q463" i="39" s="1"/>
  <c r="R463" i="39" s="1"/>
  <c r="O466" i="39"/>
  <c r="P466" i="39" s="1"/>
  <c r="Q466" i="39" s="1"/>
  <c r="R466" i="39" s="1"/>
  <c r="O432" i="39"/>
  <c r="P432" i="39" s="1"/>
  <c r="Q432" i="39" s="1"/>
  <c r="R432" i="39" s="1"/>
  <c r="O440" i="39"/>
  <c r="P440" i="39" s="1"/>
  <c r="Q440" i="39" s="1"/>
  <c r="R440" i="39" s="1"/>
  <c r="O296" i="39"/>
  <c r="P296" i="39" s="1"/>
  <c r="Q296" i="39" s="1"/>
  <c r="R296" i="39" s="1"/>
  <c r="O302" i="39"/>
  <c r="P302" i="39" s="1"/>
  <c r="Q302" i="39" s="1"/>
  <c r="R302" i="39" s="1"/>
  <c r="O499" i="39"/>
  <c r="P499" i="39" s="1"/>
  <c r="Q499" i="39" s="1"/>
  <c r="R499" i="39" s="1"/>
  <c r="O104" i="39"/>
  <c r="P104" i="39" s="1"/>
  <c r="Q104" i="39" s="1"/>
  <c r="R104" i="39" s="1"/>
  <c r="O262" i="39"/>
  <c r="P262" i="39" s="1"/>
  <c r="O356" i="39"/>
  <c r="P356" i="39" s="1"/>
  <c r="Q356" i="39" s="1"/>
  <c r="R356" i="39" s="1"/>
  <c r="O215" i="39"/>
  <c r="P215" i="39" s="1"/>
  <c r="Q215" i="39" s="1"/>
  <c r="R215" i="39" s="1"/>
  <c r="O254" i="39"/>
  <c r="P254" i="39" s="1"/>
  <c r="Q254" i="39" s="1"/>
  <c r="R254" i="39" s="1"/>
  <c r="O355" i="39"/>
  <c r="P355" i="39" s="1"/>
  <c r="O462" i="39"/>
  <c r="P462" i="39" s="1"/>
  <c r="Q462" i="39" s="1"/>
  <c r="R462" i="39" s="1"/>
  <c r="O338" i="39"/>
  <c r="P338" i="39" s="1"/>
  <c r="Q338" i="39" s="1"/>
  <c r="R338" i="39" s="1"/>
  <c r="O199" i="39"/>
  <c r="P199" i="39" s="1"/>
  <c r="Q199" i="39" s="1"/>
  <c r="R199" i="39" s="1"/>
  <c r="O23" i="39"/>
  <c r="P23" i="39" s="1"/>
  <c r="Q23" i="39" s="1"/>
  <c r="R23" i="39" s="1"/>
  <c r="O138" i="39"/>
  <c r="P138" i="39" s="1"/>
  <c r="Q138" i="39" s="1"/>
  <c r="R138" i="39" s="1"/>
  <c r="O473" i="39"/>
  <c r="P473" i="39" s="1"/>
  <c r="O80" i="39"/>
  <c r="P80" i="39" s="1"/>
  <c r="Q80" i="39" s="1"/>
  <c r="R80" i="39" s="1"/>
  <c r="O383" i="39"/>
  <c r="P383" i="39" s="1"/>
  <c r="Q383" i="39" s="1"/>
  <c r="R383" i="39" s="1"/>
  <c r="O427" i="39"/>
  <c r="P427" i="39" s="1"/>
  <c r="Q427" i="39" s="1"/>
  <c r="R427" i="39" s="1"/>
  <c r="O476" i="39"/>
  <c r="P476" i="39" s="1"/>
  <c r="O213" i="39"/>
  <c r="P213" i="39" s="1"/>
  <c r="Q213" i="39" s="1"/>
  <c r="R213" i="39" s="1"/>
  <c r="O378" i="39"/>
  <c r="P378" i="39" s="1"/>
  <c r="Q378" i="39" s="1"/>
  <c r="R378" i="39" s="1"/>
  <c r="O22" i="39"/>
  <c r="P22" i="39" s="1"/>
  <c r="Q22" i="39" s="1"/>
  <c r="R22" i="39" s="1"/>
  <c r="O26" i="39"/>
  <c r="P26" i="39" s="1"/>
  <c r="Q26" i="39" s="1"/>
  <c r="R26" i="39" s="1"/>
  <c r="O366" i="39"/>
  <c r="P366" i="39" s="1"/>
  <c r="Q366" i="39" s="1"/>
  <c r="R366" i="39" s="1"/>
  <c r="O431" i="39"/>
  <c r="P431" i="39" s="1"/>
  <c r="Q431" i="39" s="1"/>
  <c r="R431" i="39" s="1"/>
  <c r="O439" i="39"/>
  <c r="P439" i="39" s="1"/>
  <c r="Q439" i="39" s="1"/>
  <c r="R439" i="39" s="1"/>
  <c r="O307" i="39"/>
  <c r="P307" i="39" s="1"/>
  <c r="Q307" i="39" s="1"/>
  <c r="R307" i="39" s="1"/>
  <c r="O157" i="39"/>
  <c r="P157" i="39" s="1"/>
  <c r="Q157" i="39" s="1"/>
  <c r="R157" i="39" s="1"/>
  <c r="O136" i="39"/>
  <c r="P136" i="39" s="1"/>
  <c r="Q136" i="39" s="1"/>
  <c r="R136" i="39" s="1"/>
  <c r="O105" i="39"/>
  <c r="P105" i="39" s="1"/>
  <c r="Q105" i="39" s="1"/>
  <c r="R105" i="39" s="1"/>
  <c r="O260" i="39"/>
  <c r="P260" i="39" s="1"/>
  <c r="O42" i="39"/>
  <c r="P42" i="39" s="1"/>
  <c r="Q42" i="39" s="1"/>
  <c r="R42" i="39" s="1"/>
  <c r="O63" i="39"/>
  <c r="P63" i="39" s="1"/>
  <c r="Q63" i="39" s="1"/>
  <c r="R63" i="39" s="1"/>
  <c r="O252" i="39"/>
  <c r="P252" i="39" s="1"/>
  <c r="Q252" i="39" s="1"/>
  <c r="R252" i="39" s="1"/>
  <c r="O91" i="39"/>
  <c r="P91" i="39" s="1"/>
  <c r="Q91" i="39" s="1"/>
  <c r="R91" i="39" s="1"/>
  <c r="O458" i="39"/>
  <c r="P458" i="39" s="1"/>
  <c r="Q458" i="39" s="1"/>
  <c r="R458" i="39" s="1"/>
  <c r="O43" i="39"/>
  <c r="P43" i="39" s="1"/>
  <c r="Q43" i="39" s="1"/>
  <c r="R43" i="39" s="1"/>
  <c r="O98" i="39"/>
  <c r="P98" i="39" s="1"/>
  <c r="Q98" i="39" s="1"/>
  <c r="R98" i="39" s="1"/>
  <c r="O216" i="39"/>
  <c r="P216" i="39" s="1"/>
  <c r="Q216" i="39" s="1"/>
  <c r="R216" i="39" s="1"/>
  <c r="O492" i="39"/>
  <c r="P492" i="39" s="1"/>
  <c r="Q492" i="39" s="1"/>
  <c r="R492" i="39" s="1"/>
  <c r="O491" i="39"/>
  <c r="P491" i="39" s="1"/>
  <c r="Q491" i="39" s="1"/>
  <c r="R491" i="39" s="1"/>
  <c r="O469" i="39"/>
  <c r="P469" i="39" s="1"/>
  <c r="Q469" i="39" s="1"/>
  <c r="R469" i="39" s="1"/>
  <c r="O81" i="39"/>
  <c r="P81" i="39" s="1"/>
  <c r="Q81" i="39" s="1"/>
  <c r="R81" i="39" s="1"/>
  <c r="O385" i="39"/>
  <c r="P385" i="39" s="1"/>
  <c r="O300" i="39"/>
  <c r="P300" i="39" s="1"/>
  <c r="Q300" i="39" s="1"/>
  <c r="R300" i="39" s="1"/>
  <c r="O498" i="39"/>
  <c r="P498" i="39" s="1"/>
  <c r="Q498" i="39" s="1"/>
  <c r="R498" i="39" s="1"/>
  <c r="O110" i="39"/>
  <c r="P110" i="39" s="1"/>
  <c r="Q110" i="39" s="1"/>
  <c r="R110" i="39" s="1"/>
  <c r="O376" i="39"/>
  <c r="P376" i="39" s="1"/>
  <c r="Q376" i="39" s="1"/>
  <c r="R376" i="39" s="1"/>
  <c r="O344" i="39"/>
  <c r="P344" i="39" s="1"/>
  <c r="Q344" i="39" s="1"/>
  <c r="R344" i="39" s="1"/>
  <c r="O49" i="39"/>
  <c r="P49" i="39" s="1"/>
  <c r="Q49" i="39" s="1"/>
  <c r="R49" i="39" s="1"/>
  <c r="O477" i="39"/>
  <c r="P477" i="39" s="1"/>
  <c r="Q477" i="39" s="1"/>
  <c r="R477" i="39" s="1"/>
  <c r="O84" i="39"/>
  <c r="P84" i="39" s="1"/>
  <c r="Q84" i="39" s="1"/>
  <c r="R84" i="39" s="1"/>
  <c r="O64" i="39"/>
  <c r="P64" i="39" s="1"/>
  <c r="Q64" i="39" s="1"/>
  <c r="R64" i="39" s="1"/>
  <c r="O418" i="39"/>
  <c r="P418" i="39" s="1"/>
  <c r="Q418" i="39" s="1"/>
  <c r="R418" i="39" s="1"/>
  <c r="O144" i="39"/>
  <c r="P144" i="39" s="1"/>
  <c r="Q144" i="39" s="1"/>
  <c r="R144" i="39" s="1"/>
  <c r="O153" i="39"/>
  <c r="P153" i="39" s="1"/>
  <c r="Q153" i="39" s="1"/>
  <c r="R153" i="39" s="1"/>
  <c r="O294" i="39"/>
  <c r="P294" i="39" s="1"/>
  <c r="Q294" i="39" s="1"/>
  <c r="R294" i="39" s="1"/>
  <c r="O102" i="39"/>
  <c r="P102" i="39" s="1"/>
  <c r="Q102" i="39" s="1"/>
  <c r="R102" i="39" s="1"/>
  <c r="O255" i="39"/>
  <c r="P255" i="39" s="1"/>
  <c r="Q255" i="39" s="1"/>
  <c r="R255" i="39" s="1"/>
  <c r="O52" i="39"/>
  <c r="P52" i="39" s="1"/>
  <c r="O281" i="39"/>
  <c r="P281" i="39" s="1"/>
  <c r="Q281" i="39" s="1"/>
  <c r="R281" i="39" s="1"/>
  <c r="O246" i="39"/>
  <c r="P246" i="39" s="1"/>
  <c r="Q246" i="39" s="1"/>
  <c r="R246" i="39" s="1"/>
  <c r="O100" i="39"/>
  <c r="P100" i="39" s="1"/>
  <c r="Q100" i="39" s="1"/>
  <c r="R100" i="39" s="1"/>
  <c r="O249" i="39"/>
  <c r="P249" i="39" s="1"/>
  <c r="Q249" i="39" s="1"/>
  <c r="R249" i="39" s="1"/>
  <c r="O44" i="39"/>
  <c r="P44" i="39" s="1"/>
  <c r="Q44" i="39" s="1"/>
  <c r="R44" i="39" s="1"/>
  <c r="O25" i="39"/>
  <c r="P25" i="39" s="1"/>
  <c r="Q25" i="39" s="1"/>
  <c r="R25" i="39" s="1"/>
  <c r="O217" i="39"/>
  <c r="P217" i="39" s="1"/>
  <c r="Q217" i="39" s="1"/>
  <c r="R217" i="39" s="1"/>
  <c r="O286" i="39"/>
  <c r="P286" i="39" s="1"/>
  <c r="Q286" i="39" s="1"/>
  <c r="R286" i="39" s="1"/>
  <c r="O277" i="39"/>
  <c r="P277" i="39" s="1"/>
  <c r="Q277" i="39" s="1"/>
  <c r="R277" i="39" s="1"/>
  <c r="O256" i="39"/>
  <c r="P256" i="39" s="1"/>
  <c r="O96" i="39"/>
  <c r="P96" i="39" s="1"/>
  <c r="Q96" i="39" s="1"/>
  <c r="R96" i="39" s="1"/>
  <c r="Q119" i="42"/>
  <c r="R119" i="42" s="1"/>
  <c r="Q58" i="42"/>
  <c r="R58" i="42" s="1"/>
  <c r="S58" i="42" s="1"/>
  <c r="T58" i="42" s="1"/>
  <c r="Q120" i="42"/>
  <c r="R120" i="42" s="1"/>
  <c r="S120" i="42" s="1"/>
  <c r="T120" i="42" s="1"/>
  <c r="Q123" i="42"/>
  <c r="R123" i="42" s="1"/>
  <c r="S123" i="42" s="1"/>
  <c r="T123" i="42" s="1"/>
  <c r="Q70" i="42"/>
  <c r="R70" i="42" s="1"/>
  <c r="S70" i="42" s="1"/>
  <c r="T70" i="42" s="1"/>
  <c r="Q72" i="42"/>
  <c r="R72" i="42" s="1"/>
  <c r="S72" i="42" s="1"/>
  <c r="T72" i="42" s="1"/>
  <c r="Q151" i="42"/>
  <c r="R151" i="42" s="1"/>
  <c r="Q77" i="42"/>
  <c r="R77" i="42" s="1"/>
  <c r="S77" i="42" s="1"/>
  <c r="T77" i="42" s="1"/>
  <c r="O406" i="39"/>
  <c r="P406" i="39" s="1"/>
  <c r="Q406" i="39" s="1"/>
  <c r="R406" i="39" s="1"/>
  <c r="O116" i="39"/>
  <c r="P116" i="39" s="1"/>
  <c r="Q116" i="39" s="1"/>
  <c r="R116" i="39" s="1"/>
  <c r="O321" i="39"/>
  <c r="P321" i="39" s="1"/>
  <c r="Q321" i="39" s="1"/>
  <c r="R321" i="39" s="1"/>
  <c r="O504" i="39"/>
  <c r="P504" i="39" s="1"/>
  <c r="Q504" i="39" s="1"/>
  <c r="R504" i="39" s="1"/>
  <c r="O402" i="39"/>
  <c r="P402" i="39" s="1"/>
  <c r="Q402" i="39" s="1"/>
  <c r="R402" i="39" s="1"/>
  <c r="O401" i="39"/>
  <c r="P401" i="39" s="1"/>
  <c r="Q401" i="39" s="1"/>
  <c r="R401" i="39" s="1"/>
  <c r="O445" i="39"/>
  <c r="P445" i="39" s="1"/>
  <c r="Q445" i="39" s="1"/>
  <c r="R445" i="39" s="1"/>
  <c r="O174" i="39"/>
  <c r="P174" i="39" s="1"/>
  <c r="Q174" i="39" s="1"/>
  <c r="R174" i="39" s="1"/>
  <c r="O175" i="39"/>
  <c r="P175" i="39" s="1"/>
  <c r="Q175" i="39" s="1"/>
  <c r="R175" i="39" s="1"/>
  <c r="M191" i="39"/>
  <c r="M513" i="39" s="1"/>
  <c r="O449" i="39"/>
  <c r="P449" i="39" s="1"/>
  <c r="Q449" i="39" s="1"/>
  <c r="R449" i="39" s="1"/>
  <c r="O118" i="39"/>
  <c r="P118" i="39" s="1"/>
  <c r="Q118" i="39" s="1"/>
  <c r="R118" i="39" s="1"/>
  <c r="O181" i="39"/>
  <c r="P181" i="39" s="1"/>
  <c r="Q181" i="39" s="1"/>
  <c r="R181" i="39" s="1"/>
  <c r="O387" i="39"/>
  <c r="P387" i="39" s="1"/>
  <c r="Q387" i="39" s="1"/>
  <c r="R387" i="39" s="1"/>
  <c r="O184" i="39"/>
  <c r="P184" i="39" s="1"/>
  <c r="Q184" i="39" s="1"/>
  <c r="R184" i="39" s="1"/>
  <c r="O315" i="39"/>
  <c r="P315" i="39" s="1"/>
  <c r="Q315" i="39" s="1"/>
  <c r="R315" i="39" s="1"/>
  <c r="O170" i="39"/>
  <c r="P170" i="39" s="1"/>
  <c r="Q170" i="39" s="1"/>
  <c r="R170" i="39" s="1"/>
  <c r="O524" i="39"/>
  <c r="O169" i="39"/>
  <c r="P169" i="39" s="1"/>
  <c r="Q169" i="39" s="1"/>
  <c r="R169" i="39" s="1"/>
  <c r="O404" i="39"/>
  <c r="P404" i="39" s="1"/>
  <c r="Q404" i="39" s="1"/>
  <c r="R404" i="39" s="1"/>
  <c r="O509" i="39"/>
  <c r="P509" i="39" s="1"/>
  <c r="Q509" i="39" s="1"/>
  <c r="R509" i="39" s="1"/>
  <c r="O164" i="39"/>
  <c r="P164" i="39" s="1"/>
  <c r="Q164" i="39" s="1"/>
  <c r="R164" i="39" s="1"/>
  <c r="O324" i="39"/>
  <c r="P324" i="39" s="1"/>
  <c r="Q324" i="39" s="1"/>
  <c r="R324" i="39" s="1"/>
  <c r="O451" i="39"/>
  <c r="P451" i="39" s="1"/>
  <c r="Q451" i="39" s="1"/>
  <c r="R451" i="39" s="1"/>
  <c r="O94" i="39"/>
  <c r="P94" i="39" s="1"/>
  <c r="Q94" i="39" s="1"/>
  <c r="R94" i="39" s="1"/>
  <c r="O386" i="39"/>
  <c r="P386" i="39" s="1"/>
  <c r="Q386" i="39" s="1"/>
  <c r="R386" i="39" s="1"/>
  <c r="O316" i="39"/>
  <c r="P316" i="39" s="1"/>
  <c r="Q316" i="39" s="1"/>
  <c r="R316" i="39" s="1"/>
  <c r="L191" i="39"/>
  <c r="L513" i="39" s="1"/>
  <c r="O405" i="39"/>
  <c r="P405" i="39" s="1"/>
  <c r="Q405" i="39" s="1"/>
  <c r="R405" i="39" s="1"/>
  <c r="O187" i="39"/>
  <c r="P187" i="39" s="1"/>
  <c r="Q187" i="39" s="1"/>
  <c r="R187" i="39" s="1"/>
  <c r="O154" i="39"/>
  <c r="P154" i="39" s="1"/>
  <c r="Q154" i="39" s="1"/>
  <c r="R154" i="39" s="1"/>
  <c r="O429" i="39"/>
  <c r="P429" i="39" s="1"/>
  <c r="Q429" i="39" s="1"/>
  <c r="R429" i="39" s="1"/>
  <c r="O438" i="39"/>
  <c r="P438" i="39" s="1"/>
  <c r="Q438" i="39" s="1"/>
  <c r="R438" i="39" s="1"/>
  <c r="O425" i="39"/>
  <c r="P425" i="39" s="1"/>
  <c r="Q425" i="39" s="1"/>
  <c r="R425" i="39" s="1"/>
  <c r="O288" i="39"/>
  <c r="P288" i="39" s="1"/>
  <c r="Q288" i="39" s="1"/>
  <c r="R288" i="39" s="1"/>
  <c r="O388" i="39"/>
  <c r="P388" i="39" s="1"/>
  <c r="Q388" i="39" s="1"/>
  <c r="R388" i="39" s="1"/>
  <c r="O149" i="39"/>
  <c r="P149" i="39" s="1"/>
  <c r="Q149" i="39" s="1"/>
  <c r="R149" i="39" s="1"/>
  <c r="O299" i="39"/>
  <c r="P299" i="39" s="1"/>
  <c r="Q299" i="39" s="1"/>
  <c r="R299" i="39" s="1"/>
  <c r="O298" i="39"/>
  <c r="P298" i="39" s="1"/>
  <c r="Q298" i="39" s="1"/>
  <c r="R298" i="39" s="1"/>
  <c r="O151" i="39"/>
  <c r="P151" i="39" s="1"/>
  <c r="Q151" i="39" s="1"/>
  <c r="R151" i="39" s="1"/>
  <c r="O495" i="39"/>
  <c r="P495" i="39" s="1"/>
  <c r="Q495" i="39" s="1"/>
  <c r="R495" i="39" s="1"/>
  <c r="O103" i="39"/>
  <c r="P103" i="39" s="1"/>
  <c r="Q103" i="39" s="1"/>
  <c r="R103" i="39" s="1"/>
  <c r="O379" i="39"/>
  <c r="P379" i="39" s="1"/>
  <c r="Q379" i="39" s="1"/>
  <c r="R379" i="39" s="1"/>
  <c r="O472" i="39"/>
  <c r="P472" i="39" s="1"/>
  <c r="O250" i="39"/>
  <c r="P250" i="39" s="1"/>
  <c r="Q250" i="39" s="1"/>
  <c r="R250" i="39" s="1"/>
  <c r="O221" i="39"/>
  <c r="P221" i="39" s="1"/>
  <c r="Q221" i="39" s="1"/>
  <c r="R221" i="39" s="1"/>
  <c r="O361" i="39"/>
  <c r="P361" i="39" s="1"/>
  <c r="Q361" i="39" s="1"/>
  <c r="R361" i="39" s="1"/>
  <c r="O30" i="39"/>
  <c r="P30" i="39" s="1"/>
  <c r="Q30" i="39" s="1"/>
  <c r="R30" i="39" s="1"/>
  <c r="O58" i="39"/>
  <c r="P58" i="39" s="1"/>
  <c r="Q58" i="39" s="1"/>
  <c r="R58" i="39" s="1"/>
  <c r="O16" i="39"/>
  <c r="P16" i="39" s="1"/>
  <c r="Q16" i="39" s="1"/>
  <c r="R16" i="39" s="1"/>
  <c r="O131" i="39"/>
  <c r="P131" i="39" s="1"/>
  <c r="Q131" i="39" s="1"/>
  <c r="R131" i="39" s="1"/>
  <c r="O459" i="39"/>
  <c r="P459" i="39" s="1"/>
  <c r="Q459" i="39" s="1"/>
  <c r="R459" i="39" s="1"/>
  <c r="O242" i="39"/>
  <c r="P242" i="39" s="1"/>
  <c r="Q242" i="39" s="1"/>
  <c r="R242" i="39" s="1"/>
  <c r="O368" i="39"/>
  <c r="P368" i="39" s="1"/>
  <c r="Q368" i="39" s="1"/>
  <c r="R368" i="39" s="1"/>
  <c r="O65" i="39"/>
  <c r="P65" i="39" s="1"/>
  <c r="Q65" i="39" s="1"/>
  <c r="R65" i="39" s="1"/>
  <c r="O287" i="39"/>
  <c r="P287" i="39" s="1"/>
  <c r="Q287" i="39" s="1"/>
  <c r="R287" i="39" s="1"/>
  <c r="O271" i="39"/>
  <c r="P271" i="39" s="1"/>
  <c r="O268" i="39"/>
  <c r="P268" i="39" s="1"/>
  <c r="Q268" i="39" s="1"/>
  <c r="R268" i="39" s="1"/>
  <c r="O237" i="39"/>
  <c r="P237" i="39" s="1"/>
  <c r="Q237" i="39" s="1"/>
  <c r="R237" i="39" s="1"/>
  <c r="O349" i="39"/>
  <c r="P349" i="39" s="1"/>
  <c r="Q349" i="39" s="1"/>
  <c r="R349" i="39" s="1"/>
  <c r="O101" i="39"/>
  <c r="P101" i="39" s="1"/>
  <c r="Q101" i="39" s="1"/>
  <c r="R101" i="39" s="1"/>
  <c r="O46" i="39"/>
  <c r="P46" i="39" s="1"/>
  <c r="O195" i="39"/>
  <c r="P195" i="39" s="1"/>
  <c r="Q195" i="39" s="1"/>
  <c r="R195" i="39" s="1"/>
  <c r="O201" i="39"/>
  <c r="P201" i="39" s="1"/>
  <c r="Q201" i="39" s="1"/>
  <c r="R201" i="39" s="1"/>
  <c r="O70" i="39"/>
  <c r="P70" i="39" s="1"/>
  <c r="Q70" i="39" s="1"/>
  <c r="R70" i="39" s="1"/>
  <c r="O196" i="39"/>
  <c r="P196" i="39" s="1"/>
  <c r="Q196" i="39" s="1"/>
  <c r="R196" i="39" s="1"/>
  <c r="O79" i="39"/>
  <c r="P79" i="39" s="1"/>
  <c r="Q79" i="39" s="1"/>
  <c r="R79" i="39" s="1"/>
  <c r="O55" i="39"/>
  <c r="P55" i="39" s="1"/>
  <c r="Q55" i="39" s="1"/>
  <c r="R55" i="39" s="1"/>
  <c r="O337" i="39"/>
  <c r="O465" i="39"/>
  <c r="P465" i="39" s="1"/>
  <c r="Q465" i="39" s="1"/>
  <c r="R465" i="39" s="1"/>
  <c r="O244" i="39"/>
  <c r="P244" i="39" s="1"/>
  <c r="Q244" i="39" s="1"/>
  <c r="R244" i="39" s="1"/>
  <c r="O124" i="39"/>
  <c r="P124" i="39" s="1"/>
  <c r="Q124" i="39" s="1"/>
  <c r="R124" i="39" s="1"/>
  <c r="O92" i="39"/>
  <c r="P92" i="39" s="1"/>
  <c r="Q92" i="39" s="1"/>
  <c r="R92" i="39" s="1"/>
  <c r="O76" i="39"/>
  <c r="P76" i="39" s="1"/>
  <c r="Q76" i="39" s="1"/>
  <c r="R76" i="39" s="1"/>
  <c r="O214" i="39"/>
  <c r="P214" i="39" s="1"/>
  <c r="Q214" i="39" s="1"/>
  <c r="R214" i="39" s="1"/>
  <c r="O522" i="39"/>
  <c r="P522" i="39" s="1"/>
  <c r="Q522" i="39" s="1"/>
  <c r="R522" i="39" s="1"/>
  <c r="O501" i="39"/>
  <c r="P501" i="39" s="1"/>
  <c r="O446" i="39"/>
  <c r="P446" i="39" s="1"/>
  <c r="Q446" i="39" s="1"/>
  <c r="R446" i="39" s="1"/>
  <c r="O123" i="39"/>
  <c r="P123" i="39" s="1"/>
  <c r="Q123" i="39" s="1"/>
  <c r="R123" i="39" s="1"/>
  <c r="O485" i="39"/>
  <c r="P485" i="39" s="1"/>
  <c r="Q485" i="39" s="1"/>
  <c r="R485" i="39" s="1"/>
  <c r="O318" i="39"/>
  <c r="P318" i="39" s="1"/>
  <c r="Q318" i="39" s="1"/>
  <c r="R318" i="39" s="1"/>
  <c r="O403" i="39"/>
  <c r="P403" i="39" s="1"/>
  <c r="Q403" i="39" s="1"/>
  <c r="R403" i="39" s="1"/>
  <c r="O166" i="39"/>
  <c r="P166" i="39" s="1"/>
  <c r="Q166" i="39" s="1"/>
  <c r="R166" i="39" s="1"/>
  <c r="O177" i="39"/>
  <c r="P177" i="39" s="1"/>
  <c r="Q177" i="39" s="1"/>
  <c r="R177" i="39" s="1"/>
  <c r="O323" i="39"/>
  <c r="P323" i="39" s="1"/>
  <c r="Q323" i="39" s="1"/>
  <c r="R323" i="39" s="1"/>
  <c r="O327" i="39"/>
  <c r="P327" i="39" s="1"/>
  <c r="Q327" i="39" s="1"/>
  <c r="R327" i="39" s="1"/>
  <c r="O186" i="39"/>
  <c r="P186" i="39" s="1"/>
  <c r="Q186" i="39" s="1"/>
  <c r="R186" i="39" s="1"/>
  <c r="O407" i="39"/>
  <c r="P407" i="39" s="1"/>
  <c r="Q407" i="39" s="1"/>
  <c r="R407" i="39" s="1"/>
  <c r="O310" i="39"/>
  <c r="P310" i="39" s="1"/>
  <c r="Q310" i="39" s="1"/>
  <c r="R310" i="39" s="1"/>
  <c r="O398" i="39"/>
  <c r="P398" i="39" s="1"/>
  <c r="Q398" i="39" s="1"/>
  <c r="R398" i="39" s="1"/>
  <c r="O426" i="39"/>
  <c r="P426" i="39" s="1"/>
  <c r="Q426" i="39" s="1"/>
  <c r="R426" i="39" s="1"/>
  <c r="O442" i="39"/>
  <c r="P442" i="39" s="1"/>
  <c r="Q442" i="39" s="1"/>
  <c r="R442" i="39" s="1"/>
  <c r="O422" i="39"/>
  <c r="P422" i="39" s="1"/>
  <c r="Q422" i="39" s="1"/>
  <c r="R422" i="39" s="1"/>
  <c r="O285" i="39"/>
  <c r="P285" i="39" s="1"/>
  <c r="Q285" i="39" s="1"/>
  <c r="R285" i="39" s="1"/>
  <c r="O266" i="39"/>
  <c r="P266" i="39" s="1"/>
  <c r="Q266" i="39" s="1"/>
  <c r="R266" i="39" s="1"/>
  <c r="O147" i="39"/>
  <c r="P147" i="39" s="1"/>
  <c r="Q147" i="39" s="1"/>
  <c r="R147" i="39" s="1"/>
  <c r="O148" i="39"/>
  <c r="P148" i="39" s="1"/>
  <c r="Q148" i="39" s="1"/>
  <c r="R148" i="39" s="1"/>
  <c r="O303" i="39"/>
  <c r="P303" i="39" s="1"/>
  <c r="Q303" i="39" s="1"/>
  <c r="R303" i="39" s="1"/>
  <c r="O156" i="39"/>
  <c r="P156" i="39" s="1"/>
  <c r="Q156" i="39" s="1"/>
  <c r="R156" i="39" s="1"/>
  <c r="O120" i="39"/>
  <c r="P120" i="39" s="1"/>
  <c r="Q120" i="39" s="1"/>
  <c r="R120" i="39" s="1"/>
  <c r="O496" i="39"/>
  <c r="P496" i="39" s="1"/>
  <c r="O99" i="39"/>
  <c r="P99" i="39" s="1"/>
  <c r="Q99" i="39" s="1"/>
  <c r="R99" i="39" s="1"/>
  <c r="O283" i="39"/>
  <c r="P283" i="39" s="1"/>
  <c r="O468" i="39"/>
  <c r="P468" i="39" s="1"/>
  <c r="O247" i="39"/>
  <c r="P247" i="39" s="1"/>
  <c r="Q247" i="39" s="1"/>
  <c r="R247" i="39" s="1"/>
  <c r="O351" i="39"/>
  <c r="P351" i="39" s="1"/>
  <c r="O340" i="39"/>
  <c r="P340" i="39" s="1"/>
  <c r="Q340" i="39" s="1"/>
  <c r="R340" i="39" s="1"/>
  <c r="O13" i="39"/>
  <c r="O107" i="39"/>
  <c r="P107" i="39" s="1"/>
  <c r="Q107" i="39" s="1"/>
  <c r="R107" i="39" s="1"/>
  <c r="O18" i="39"/>
  <c r="P18" i="39" s="1"/>
  <c r="Q18" i="39" s="1"/>
  <c r="R18" i="39" s="1"/>
  <c r="O273" i="39"/>
  <c r="P273" i="39" s="1"/>
  <c r="Q273" i="39" s="1"/>
  <c r="R273" i="39" s="1"/>
  <c r="O267" i="39"/>
  <c r="P267" i="39" s="1"/>
  <c r="Q267" i="39" s="1"/>
  <c r="R267" i="39" s="1"/>
  <c r="O238" i="39"/>
  <c r="P238" i="39" s="1"/>
  <c r="Q238" i="39" s="1"/>
  <c r="R238" i="39" s="1"/>
  <c r="O374" i="39"/>
  <c r="P374" i="39" s="1"/>
  <c r="O67" i="39"/>
  <c r="P67" i="39" s="1"/>
  <c r="Q67" i="39" s="1"/>
  <c r="R67" i="39" s="1"/>
  <c r="O389" i="39"/>
  <c r="P389" i="39" s="1"/>
  <c r="Q389" i="39" s="1"/>
  <c r="R389" i="39" s="1"/>
  <c r="O482" i="39"/>
  <c r="P482" i="39" s="1"/>
  <c r="Q482" i="39" s="1"/>
  <c r="R482" i="39" s="1"/>
  <c r="O264" i="39"/>
  <c r="P264" i="39" s="1"/>
  <c r="Q264" i="39" s="1"/>
  <c r="R264" i="39" s="1"/>
  <c r="O231" i="39"/>
  <c r="P231" i="39" s="1"/>
  <c r="Q231" i="39" s="1"/>
  <c r="R231" i="39" s="1"/>
  <c r="O365" i="39"/>
  <c r="P365" i="39" s="1"/>
  <c r="Q365" i="39" s="1"/>
  <c r="R365" i="39" s="1"/>
  <c r="O45" i="39"/>
  <c r="P45" i="39" s="1"/>
  <c r="Q45" i="39" s="1"/>
  <c r="R45" i="39" s="1"/>
  <c r="O47" i="39"/>
  <c r="P47" i="39" s="1"/>
  <c r="Q47" i="39" s="1"/>
  <c r="R47" i="39" s="1"/>
  <c r="O197" i="39"/>
  <c r="P197" i="39" s="1"/>
  <c r="Q197" i="39" s="1"/>
  <c r="R197" i="39" s="1"/>
  <c r="O208" i="39"/>
  <c r="P208" i="39" s="1"/>
  <c r="O95" i="39"/>
  <c r="P95" i="39" s="1"/>
  <c r="Q95" i="39" s="1"/>
  <c r="R95" i="39" s="1"/>
  <c r="O62" i="39"/>
  <c r="P62" i="39" s="1"/>
  <c r="Q62" i="39" s="1"/>
  <c r="R62" i="39" s="1"/>
  <c r="O88" i="39"/>
  <c r="P88" i="39" s="1"/>
  <c r="Q88" i="39" s="1"/>
  <c r="R88" i="39" s="1"/>
  <c r="O380" i="39"/>
  <c r="P380" i="39" s="1"/>
  <c r="Q380" i="39" s="1"/>
  <c r="R380" i="39" s="1"/>
  <c r="O280" i="39"/>
  <c r="P280" i="39" s="1"/>
  <c r="Q280" i="39" s="1"/>
  <c r="R280" i="39" s="1"/>
  <c r="O367" i="39"/>
  <c r="P367" i="39" s="1"/>
  <c r="Q367" i="39" s="1"/>
  <c r="R367" i="39" s="1"/>
  <c r="O126" i="39"/>
  <c r="P126" i="39" s="1"/>
  <c r="Q126" i="39" s="1"/>
  <c r="R126" i="39" s="1"/>
  <c r="O461" i="39"/>
  <c r="P461" i="39" s="1"/>
  <c r="Q461" i="39" s="1"/>
  <c r="R461" i="39" s="1"/>
  <c r="O240" i="39"/>
  <c r="P240" i="39" s="1"/>
  <c r="O122" i="39"/>
  <c r="P122" i="39" s="1"/>
  <c r="Q122" i="39" s="1"/>
  <c r="R122" i="39" s="1"/>
  <c r="O346" i="39"/>
  <c r="P346" i="39" s="1"/>
  <c r="Q346" i="39" s="1"/>
  <c r="R346" i="39" s="1"/>
  <c r="O41" i="39"/>
  <c r="P41" i="39" s="1"/>
  <c r="Q41" i="39" s="1"/>
  <c r="R41" i="39" s="1"/>
  <c r="O33" i="39"/>
  <c r="P33" i="39" s="1"/>
  <c r="Q33" i="39" s="1"/>
  <c r="R33" i="39" s="1"/>
  <c r="O210" i="39"/>
  <c r="P210" i="39" s="1"/>
  <c r="O160" i="39"/>
  <c r="P160" i="39" s="1"/>
  <c r="Q160" i="39" s="1"/>
  <c r="R160" i="39" s="1"/>
  <c r="O523" i="39"/>
  <c r="P523" i="39" s="1"/>
  <c r="Q523" i="39" s="1"/>
  <c r="R523" i="39" s="1"/>
  <c r="O314" i="39"/>
  <c r="P314" i="39" s="1"/>
  <c r="Q314" i="39" s="1"/>
  <c r="R314" i="39" s="1"/>
  <c r="O319" i="39"/>
  <c r="P319" i="39" s="1"/>
  <c r="Q319" i="39" s="1"/>
  <c r="R319" i="39" s="1"/>
  <c r="O171" i="39"/>
  <c r="P171" i="39" s="1"/>
  <c r="Q171" i="39" s="1"/>
  <c r="R171" i="39" s="1"/>
  <c r="O165" i="39"/>
  <c r="P165" i="39" s="1"/>
  <c r="Q165" i="39" s="1"/>
  <c r="R165" i="39" s="1"/>
  <c r="O176" i="39"/>
  <c r="P176" i="39" s="1"/>
  <c r="Q176" i="39" s="1"/>
  <c r="R176" i="39" s="1"/>
  <c r="O448" i="39"/>
  <c r="P448" i="39" s="1"/>
  <c r="Q448" i="39" s="1"/>
  <c r="R448" i="39" s="1"/>
  <c r="O326" i="39"/>
  <c r="P326" i="39" s="1"/>
  <c r="Q326" i="39" s="1"/>
  <c r="R326" i="39" s="1"/>
  <c r="O185" i="39"/>
  <c r="P185" i="39" s="1"/>
  <c r="Q185" i="39" s="1"/>
  <c r="R185" i="39" s="1"/>
  <c r="O396" i="39"/>
  <c r="P396" i="39" s="1"/>
  <c r="Q396" i="39" s="1"/>
  <c r="R396" i="39" s="1"/>
  <c r="O292" i="39"/>
  <c r="P292" i="39" s="1"/>
  <c r="Q292" i="39" s="1"/>
  <c r="R292" i="39" s="1"/>
  <c r="O424" i="39"/>
  <c r="P424" i="39" s="1"/>
  <c r="Q424" i="39" s="1"/>
  <c r="R424" i="39" s="1"/>
  <c r="O436" i="39"/>
  <c r="P436" i="39" s="1"/>
  <c r="Q436" i="39" s="1"/>
  <c r="R436" i="39" s="1"/>
  <c r="O420" i="39"/>
  <c r="P420" i="39" s="1"/>
  <c r="Q420" i="39" s="1"/>
  <c r="R420" i="39" s="1"/>
  <c r="O284" i="39"/>
  <c r="P284" i="39" s="1"/>
  <c r="Q284" i="39" s="1"/>
  <c r="R284" i="39" s="1"/>
  <c r="O306" i="39"/>
  <c r="P306" i="39" s="1"/>
  <c r="Q306" i="39" s="1"/>
  <c r="R306" i="39" s="1"/>
  <c r="O133" i="39"/>
  <c r="P133" i="39" s="1"/>
  <c r="Q133" i="39" s="1"/>
  <c r="R133" i="39" s="1"/>
  <c r="O145" i="39"/>
  <c r="P145" i="39" s="1"/>
  <c r="Q145" i="39" s="1"/>
  <c r="R145" i="39" s="1"/>
  <c r="O304" i="39"/>
  <c r="P304" i="39" s="1"/>
  <c r="Q304" i="39" s="1"/>
  <c r="R304" i="39" s="1"/>
  <c r="O291" i="39"/>
  <c r="P291" i="39" s="1"/>
  <c r="Q291" i="39" s="1"/>
  <c r="R291" i="39" s="1"/>
  <c r="O494" i="39"/>
  <c r="P494" i="39" s="1"/>
  <c r="Q494" i="39" s="1"/>
  <c r="R494" i="39" s="1"/>
  <c r="O111" i="39"/>
  <c r="P111" i="39" s="1"/>
  <c r="Q111" i="39" s="1"/>
  <c r="R111" i="39" s="1"/>
  <c r="O276" i="39"/>
  <c r="P276" i="39" s="1"/>
  <c r="Q276" i="39" s="1"/>
  <c r="R276" i="39" s="1"/>
  <c r="O464" i="39"/>
  <c r="P464" i="39" s="1"/>
  <c r="O243" i="39"/>
  <c r="P243" i="39" s="1"/>
  <c r="Q243" i="39" s="1"/>
  <c r="R243" i="39" s="1"/>
  <c r="O371" i="39"/>
  <c r="P371" i="39" s="1"/>
  <c r="O370" i="39"/>
  <c r="P370" i="39" s="1"/>
  <c r="Q370" i="39" s="1"/>
  <c r="R370" i="39" s="1"/>
  <c r="O54" i="39"/>
  <c r="P54" i="39" s="1"/>
  <c r="Q54" i="39" s="1"/>
  <c r="R54" i="39" s="1"/>
  <c r="O37" i="39"/>
  <c r="P37" i="39" s="1"/>
  <c r="Q37" i="39" s="1"/>
  <c r="R37" i="39" s="1"/>
  <c r="O146" i="39"/>
  <c r="P146" i="39" s="1"/>
  <c r="Q146" i="39" s="1"/>
  <c r="R146" i="39" s="1"/>
  <c r="O487" i="39"/>
  <c r="P487" i="39" s="1"/>
  <c r="Q487" i="39" s="1"/>
  <c r="R487" i="39" s="1"/>
  <c r="O265" i="39"/>
  <c r="P265" i="39" s="1"/>
  <c r="Q265" i="39" s="1"/>
  <c r="R265" i="39" s="1"/>
  <c r="O232" i="39"/>
  <c r="P232" i="39" s="1"/>
  <c r="Q232" i="39" s="1"/>
  <c r="R232" i="39" s="1"/>
  <c r="O348" i="39"/>
  <c r="P348" i="39" s="1"/>
  <c r="Q348" i="39" s="1"/>
  <c r="R348" i="39" s="1"/>
  <c r="O72" i="39"/>
  <c r="P72" i="39" s="1"/>
  <c r="Q72" i="39" s="1"/>
  <c r="R72" i="39" s="1"/>
  <c r="O114" i="39"/>
  <c r="P114" i="39" s="1"/>
  <c r="Q114" i="39" s="1"/>
  <c r="R114" i="39" s="1"/>
  <c r="O478" i="39"/>
  <c r="P478" i="39" s="1"/>
  <c r="Q478" i="39" s="1"/>
  <c r="R478" i="39" s="1"/>
  <c r="O261" i="39"/>
  <c r="P261" i="39" s="1"/>
  <c r="Q261" i="39" s="1"/>
  <c r="R261" i="39" s="1"/>
  <c r="O227" i="39"/>
  <c r="P227" i="39" s="1"/>
  <c r="Q227" i="39" s="1"/>
  <c r="R227" i="39" s="1"/>
  <c r="O339" i="39"/>
  <c r="P339" i="39" s="1"/>
  <c r="O29" i="39"/>
  <c r="P29" i="39" s="1"/>
  <c r="Q29" i="39" s="1"/>
  <c r="R29" i="39" s="1"/>
  <c r="O57" i="39"/>
  <c r="P57" i="39" s="1"/>
  <c r="Q57" i="39" s="1"/>
  <c r="R57" i="39" s="1"/>
  <c r="O17" i="39"/>
  <c r="P17" i="39" s="1"/>
  <c r="Q17" i="39" s="1"/>
  <c r="R17" i="39" s="1"/>
  <c r="O204" i="39"/>
  <c r="P204" i="39" s="1"/>
  <c r="Q204" i="39" s="1"/>
  <c r="R204" i="39" s="1"/>
  <c r="O97" i="39"/>
  <c r="P97" i="39" s="1"/>
  <c r="Q97" i="39" s="1"/>
  <c r="R97" i="39" s="1"/>
  <c r="O24" i="39"/>
  <c r="P24" i="39" s="1"/>
  <c r="Q24" i="39" s="1"/>
  <c r="R24" i="39" s="1"/>
  <c r="O207" i="39"/>
  <c r="P207" i="39" s="1"/>
  <c r="Q207" i="39" s="1"/>
  <c r="R207" i="39" s="1"/>
  <c r="O363" i="39"/>
  <c r="P363" i="39" s="1"/>
  <c r="Q363" i="39" s="1"/>
  <c r="R363" i="39" s="1"/>
  <c r="O272" i="39"/>
  <c r="P272" i="39" s="1"/>
  <c r="O457" i="39"/>
  <c r="P457" i="39" s="1"/>
  <c r="O236" i="39"/>
  <c r="P236" i="39" s="1"/>
  <c r="Q236" i="39" s="1"/>
  <c r="R236" i="39" s="1"/>
  <c r="O51" i="39"/>
  <c r="P51" i="39" s="1"/>
  <c r="Q51" i="39" s="1"/>
  <c r="R51" i="39" s="1"/>
  <c r="O194" i="39"/>
  <c r="O34" i="39"/>
  <c r="P34" i="39" s="1"/>
  <c r="Q34" i="39" s="1"/>
  <c r="R34" i="39" s="1"/>
  <c r="O202" i="39"/>
  <c r="P202" i="39" s="1"/>
  <c r="O161" i="39"/>
  <c r="P161" i="39" s="1"/>
  <c r="Q161" i="39" s="1"/>
  <c r="R161" i="39" s="1"/>
  <c r="O382" i="39"/>
  <c r="P382" i="39" s="1"/>
  <c r="Q382" i="39" s="1"/>
  <c r="R382" i="39" s="1"/>
  <c r="O115" i="39"/>
  <c r="P115" i="39" s="1"/>
  <c r="Q115" i="39" s="1"/>
  <c r="R115" i="39" s="1"/>
  <c r="O313" i="39"/>
  <c r="P313" i="39" s="1"/>
  <c r="Q313" i="39" s="1"/>
  <c r="R313" i="39" s="1"/>
  <c r="O502" i="39"/>
  <c r="P502" i="39" s="1"/>
  <c r="Q502" i="39" s="1"/>
  <c r="R502" i="39" s="1"/>
  <c r="O317" i="39"/>
  <c r="P317" i="39" s="1"/>
  <c r="Q317" i="39" s="1"/>
  <c r="R317" i="39" s="1"/>
  <c r="O167" i="39"/>
  <c r="P167" i="39" s="1"/>
  <c r="Q167" i="39" s="1"/>
  <c r="R167" i="39" s="1"/>
  <c r="O163" i="39"/>
  <c r="P163" i="39" s="1"/>
  <c r="Q163" i="39" s="1"/>
  <c r="R163" i="39" s="1"/>
  <c r="O178" i="39"/>
  <c r="P178" i="39" s="1"/>
  <c r="Q178" i="39" s="1"/>
  <c r="R178" i="39" s="1"/>
  <c r="O505" i="39"/>
  <c r="P505" i="39" s="1"/>
  <c r="Q505" i="39" s="1"/>
  <c r="R505" i="39" s="1"/>
  <c r="O507" i="39"/>
  <c r="P507" i="39" s="1"/>
  <c r="Q507" i="39" s="1"/>
  <c r="R507" i="39" s="1"/>
  <c r="O331" i="39"/>
  <c r="P331" i="39" s="1"/>
  <c r="Q331" i="39" s="1"/>
  <c r="R331" i="39" s="1"/>
  <c r="O182" i="39"/>
  <c r="P182" i="39" s="1"/>
  <c r="Q182" i="39" s="1"/>
  <c r="R182" i="39" s="1"/>
  <c r="O301" i="39"/>
  <c r="P301" i="39" s="1"/>
  <c r="Q301" i="39" s="1"/>
  <c r="R301" i="39" s="1"/>
  <c r="O443" i="39"/>
  <c r="P443" i="39" s="1"/>
  <c r="Q443" i="39" s="1"/>
  <c r="R443" i="39" s="1"/>
  <c r="O423" i="39"/>
  <c r="P423" i="39" s="1"/>
  <c r="Q423" i="39" s="1"/>
  <c r="R423" i="39" s="1"/>
  <c r="O435" i="39"/>
  <c r="P435" i="39" s="1"/>
  <c r="Q435" i="39" s="1"/>
  <c r="R435" i="39" s="1"/>
  <c r="O419" i="39"/>
  <c r="P419" i="39" s="1"/>
  <c r="Q419" i="39" s="1"/>
  <c r="R419" i="39" s="1"/>
  <c r="O137" i="39"/>
  <c r="P137" i="39" s="1"/>
  <c r="Q137" i="39" s="1"/>
  <c r="R137" i="39" s="1"/>
  <c r="O309" i="39"/>
  <c r="P309" i="39" s="1"/>
  <c r="Q309" i="39" s="1"/>
  <c r="R309" i="39" s="1"/>
  <c r="O119" i="39"/>
  <c r="P119" i="39" s="1"/>
  <c r="Q119" i="39" s="1"/>
  <c r="R119" i="39" s="1"/>
  <c r="O139" i="39"/>
  <c r="P139" i="39" s="1"/>
  <c r="Q139" i="39" s="1"/>
  <c r="R139" i="39" s="1"/>
  <c r="O397" i="39"/>
  <c r="P397" i="39" s="1"/>
  <c r="Q397" i="39" s="1"/>
  <c r="R397" i="39" s="1"/>
  <c r="O132" i="39"/>
  <c r="P132" i="39" s="1"/>
  <c r="Q132" i="39" s="1"/>
  <c r="R132" i="39" s="1"/>
  <c r="O152" i="39"/>
  <c r="P152" i="39" s="1"/>
  <c r="Q152" i="39" s="1"/>
  <c r="R152" i="39" s="1"/>
  <c r="O497" i="39"/>
  <c r="P497" i="39" s="1"/>
  <c r="Q497" i="39" s="1"/>
  <c r="R497" i="39" s="1"/>
  <c r="O117" i="39"/>
  <c r="P117" i="39" s="1"/>
  <c r="Q117" i="39" s="1"/>
  <c r="R117" i="39" s="1"/>
  <c r="O109" i="39"/>
  <c r="P109" i="39" s="1"/>
  <c r="Q109" i="39" s="1"/>
  <c r="R109" i="39" s="1"/>
  <c r="O486" i="39"/>
  <c r="P486" i="39" s="1"/>
  <c r="Q486" i="39" s="1"/>
  <c r="R486" i="39" s="1"/>
  <c r="O460" i="39"/>
  <c r="P460" i="39" s="1"/>
  <c r="O239" i="39"/>
  <c r="P239" i="39" s="1"/>
  <c r="Q239" i="39" s="1"/>
  <c r="R239" i="39" s="1"/>
  <c r="O347" i="39"/>
  <c r="P347" i="39" s="1"/>
  <c r="O354" i="39"/>
  <c r="P354" i="39" s="1"/>
  <c r="Q354" i="39" s="1"/>
  <c r="R354" i="39" s="1"/>
  <c r="O35" i="39"/>
  <c r="P35" i="39" s="1"/>
  <c r="Q35" i="39" s="1"/>
  <c r="R35" i="39" s="1"/>
  <c r="O27" i="39"/>
  <c r="P27" i="39" s="1"/>
  <c r="Q27" i="39" s="1"/>
  <c r="R27" i="39" s="1"/>
  <c r="O290" i="39"/>
  <c r="P290" i="39" s="1"/>
  <c r="Q290" i="39" s="1"/>
  <c r="R290" i="39" s="1"/>
  <c r="O479" i="39"/>
  <c r="P479" i="39" s="1"/>
  <c r="Q479" i="39" s="1"/>
  <c r="R479" i="39" s="1"/>
  <c r="O263" i="39"/>
  <c r="P263" i="39" s="1"/>
  <c r="Q263" i="39" s="1"/>
  <c r="R263" i="39" s="1"/>
  <c r="O228" i="39"/>
  <c r="P228" i="39" s="1"/>
  <c r="O353" i="39"/>
  <c r="P353" i="39" s="1"/>
  <c r="Q353" i="39" s="1"/>
  <c r="R353" i="39" s="1"/>
  <c r="O82" i="39"/>
  <c r="P82" i="39" s="1"/>
  <c r="Q82" i="39" s="1"/>
  <c r="R82" i="39" s="1"/>
  <c r="O282" i="39"/>
  <c r="P282" i="39" s="1"/>
  <c r="Q282" i="39" s="1"/>
  <c r="R282" i="39" s="1"/>
  <c r="O474" i="39"/>
  <c r="P474" i="39" s="1"/>
  <c r="Q474" i="39" s="1"/>
  <c r="R474" i="39" s="1"/>
  <c r="O257" i="39"/>
  <c r="P257" i="39" s="1"/>
  <c r="Q257" i="39" s="1"/>
  <c r="R257" i="39" s="1"/>
  <c r="O223" i="39"/>
  <c r="P223" i="39" s="1"/>
  <c r="Q223" i="39" s="1"/>
  <c r="R223" i="39" s="1"/>
  <c r="O350" i="39"/>
  <c r="P350" i="39" s="1"/>
  <c r="Q350" i="39" s="1"/>
  <c r="R350" i="39" s="1"/>
  <c r="O53" i="39"/>
  <c r="P53" i="39" s="1"/>
  <c r="Q53" i="39" s="1"/>
  <c r="R53" i="39" s="1"/>
  <c r="O93" i="39"/>
  <c r="P93" i="39" s="1"/>
  <c r="Q93" i="39" s="1"/>
  <c r="R93" i="39" s="1"/>
  <c r="O28" i="39"/>
  <c r="P28" i="39" s="1"/>
  <c r="Q28" i="39" s="1"/>
  <c r="R28" i="39" s="1"/>
  <c r="O74" i="39"/>
  <c r="P74" i="39" s="1"/>
  <c r="Q74" i="39" s="1"/>
  <c r="R74" i="39" s="1"/>
  <c r="O59" i="39"/>
  <c r="P59" i="39" s="1"/>
  <c r="Q59" i="39" s="1"/>
  <c r="R59" i="39" s="1"/>
  <c r="O218" i="39"/>
  <c r="P218" i="39" s="1"/>
  <c r="Q218" i="39" s="1"/>
  <c r="R218" i="39" s="1"/>
  <c r="O219" i="39"/>
  <c r="P219" i="39" s="1"/>
  <c r="Q219" i="39" s="1"/>
  <c r="R219" i="39" s="1"/>
  <c r="O143" i="39"/>
  <c r="P143" i="39" s="1"/>
  <c r="Q143" i="39" s="1"/>
  <c r="R143" i="39" s="1"/>
  <c r="O360" i="39"/>
  <c r="P360" i="39" s="1"/>
  <c r="O489" i="39"/>
  <c r="P489" i="39" s="1"/>
  <c r="Q489" i="39" s="1"/>
  <c r="R489" i="39" s="1"/>
  <c r="O269" i="39"/>
  <c r="P269" i="39" s="1"/>
  <c r="O234" i="39"/>
  <c r="P234" i="39" s="1"/>
  <c r="Q234" i="39" s="1"/>
  <c r="R234" i="39" s="1"/>
  <c r="O66" i="39"/>
  <c r="P66" i="39" s="1"/>
  <c r="Q66" i="39" s="1"/>
  <c r="R66" i="39" s="1"/>
  <c r="O15" i="39"/>
  <c r="P15" i="39" s="1"/>
  <c r="Q15" i="39" s="1"/>
  <c r="R15" i="39" s="1"/>
  <c r="O50" i="39"/>
  <c r="P50" i="39" s="1"/>
  <c r="Q50" i="39" s="1"/>
  <c r="R50" i="39" s="1"/>
  <c r="O78" i="39"/>
  <c r="P78" i="39" s="1"/>
  <c r="Q78" i="39" s="1"/>
  <c r="R78" i="39" s="1"/>
  <c r="O162" i="39"/>
  <c r="P162" i="39" s="1"/>
  <c r="Q162" i="39" s="1"/>
  <c r="R162" i="39" s="1"/>
  <c r="O381" i="39"/>
  <c r="P381" i="39" s="1"/>
  <c r="O113" i="39"/>
  <c r="P113" i="39" s="1"/>
  <c r="Q113" i="39" s="1"/>
  <c r="R113" i="39" s="1"/>
  <c r="O312" i="39"/>
  <c r="P312" i="39" s="1"/>
  <c r="Q312" i="39" s="1"/>
  <c r="R312" i="39" s="1"/>
  <c r="O503" i="39"/>
  <c r="P503" i="39" s="1"/>
  <c r="Q503" i="39" s="1"/>
  <c r="R503" i="39" s="1"/>
  <c r="O320" i="39"/>
  <c r="P320" i="39" s="1"/>
  <c r="Q320" i="39" s="1"/>
  <c r="R320" i="39" s="1"/>
  <c r="O172" i="39"/>
  <c r="P172" i="39" s="1"/>
  <c r="Q172" i="39" s="1"/>
  <c r="R172" i="39" s="1"/>
  <c r="O359" i="39"/>
  <c r="P359" i="39" s="1"/>
  <c r="Q359" i="39" s="1"/>
  <c r="R359" i="39" s="1"/>
  <c r="O322" i="39"/>
  <c r="P322" i="39" s="1"/>
  <c r="Q322" i="39" s="1"/>
  <c r="R322" i="39" s="1"/>
  <c r="O450" i="39"/>
  <c r="P450" i="39" s="1"/>
  <c r="O328" i="39"/>
  <c r="P328" i="39" s="1"/>
  <c r="Q328" i="39" s="1"/>
  <c r="R328" i="39" s="1"/>
  <c r="O329" i="39"/>
  <c r="P329" i="39" s="1"/>
  <c r="Q329" i="39" s="1"/>
  <c r="R329" i="39" s="1"/>
  <c r="O180" i="39"/>
  <c r="P180" i="39" s="1"/>
  <c r="Q180" i="39" s="1"/>
  <c r="R180" i="39" s="1"/>
  <c r="O409" i="39"/>
  <c r="P409" i="39" s="1"/>
  <c r="Q409" i="39" s="1"/>
  <c r="R409" i="39" s="1"/>
  <c r="O150" i="39"/>
  <c r="P150" i="39" s="1"/>
  <c r="Q150" i="39" s="1"/>
  <c r="R150" i="39" s="1"/>
  <c r="O437" i="39"/>
  <c r="P437" i="39" s="1"/>
  <c r="Q437" i="39" s="1"/>
  <c r="R437" i="39" s="1"/>
  <c r="O421" i="39"/>
  <c r="P421" i="39" s="1"/>
  <c r="Q421" i="39" s="1"/>
  <c r="R421" i="39" s="1"/>
  <c r="O433" i="39"/>
  <c r="P433" i="39" s="1"/>
  <c r="Q433" i="39" s="1"/>
  <c r="R433" i="39" s="1"/>
  <c r="O417" i="39"/>
  <c r="P417" i="39" s="1"/>
  <c r="Q417" i="39" s="1"/>
  <c r="R417" i="39" s="1"/>
  <c r="O521" i="39"/>
  <c r="P521" i="39" s="1"/>
  <c r="Q521" i="39" s="1"/>
  <c r="R521" i="39" s="1"/>
  <c r="O399" i="39"/>
  <c r="P399" i="39" s="1"/>
  <c r="Q399" i="39" s="1"/>
  <c r="R399" i="39" s="1"/>
  <c r="O305" i="39"/>
  <c r="P305" i="39" s="1"/>
  <c r="Q305" i="39" s="1"/>
  <c r="R305" i="39" s="1"/>
  <c r="O142" i="39"/>
  <c r="P142" i="39" s="1"/>
  <c r="Q142" i="39" s="1"/>
  <c r="R142" i="39" s="1"/>
  <c r="O393" i="39"/>
  <c r="P393" i="39" s="1"/>
  <c r="Q393" i="39" s="1"/>
  <c r="R393" i="39" s="1"/>
  <c r="O121" i="39"/>
  <c r="P121" i="39" s="1"/>
  <c r="Q121" i="39" s="1"/>
  <c r="R121" i="39" s="1"/>
  <c r="O289" i="39"/>
  <c r="P289" i="39" s="1"/>
  <c r="Q289" i="39" s="1"/>
  <c r="R289" i="39" s="1"/>
  <c r="O390" i="39"/>
  <c r="P390" i="39" s="1"/>
  <c r="Q390" i="39" s="1"/>
  <c r="R390" i="39" s="1"/>
  <c r="O112" i="39"/>
  <c r="P112" i="39" s="1"/>
  <c r="Q112" i="39" s="1"/>
  <c r="R112" i="39" s="1"/>
  <c r="O89" i="39"/>
  <c r="P89" i="39" s="1"/>
  <c r="Q89" i="39" s="1"/>
  <c r="R89" i="39" s="1"/>
  <c r="O490" i="39"/>
  <c r="P490" i="39" s="1"/>
  <c r="Q490" i="39" s="1"/>
  <c r="R490" i="39" s="1"/>
  <c r="O270" i="39"/>
  <c r="P270" i="39" s="1"/>
  <c r="Q270" i="39" s="1"/>
  <c r="R270" i="39" s="1"/>
  <c r="O235" i="39"/>
  <c r="P235" i="39" s="1"/>
  <c r="Q235" i="39" s="1"/>
  <c r="R235" i="39" s="1"/>
  <c r="O364" i="39"/>
  <c r="P364" i="39" s="1"/>
  <c r="O341" i="39"/>
  <c r="P341" i="39" s="1"/>
  <c r="Q341" i="39" s="1"/>
  <c r="R341" i="39" s="1"/>
  <c r="O68" i="39"/>
  <c r="P68" i="39" s="1"/>
  <c r="Q68" i="39" s="1"/>
  <c r="R68" i="39" s="1"/>
  <c r="O39" i="39"/>
  <c r="P39" i="39" s="1"/>
  <c r="Q39" i="39" s="1"/>
  <c r="R39" i="39" s="1"/>
  <c r="O392" i="39"/>
  <c r="P392" i="39" s="1"/>
  <c r="O475" i="39"/>
  <c r="P475" i="39" s="1"/>
  <c r="Q475" i="39" s="1"/>
  <c r="R475" i="39" s="1"/>
  <c r="O259" i="39"/>
  <c r="P259" i="39" s="1"/>
  <c r="Q259" i="39" s="1"/>
  <c r="R259" i="39" s="1"/>
  <c r="O224" i="39"/>
  <c r="P224" i="39" s="1"/>
  <c r="Q224" i="39" s="1"/>
  <c r="R224" i="39" s="1"/>
  <c r="O362" i="39"/>
  <c r="P362" i="39" s="1"/>
  <c r="Q362" i="39" s="1"/>
  <c r="R362" i="39" s="1"/>
  <c r="O83" i="39"/>
  <c r="P83" i="39" s="1"/>
  <c r="Q83" i="39" s="1"/>
  <c r="R83" i="39" s="1"/>
  <c r="O278" i="39"/>
  <c r="P278" i="39" s="1"/>
  <c r="Q278" i="39" s="1"/>
  <c r="R278" i="39" s="1"/>
  <c r="O470" i="39"/>
  <c r="P470" i="39" s="1"/>
  <c r="Q470" i="39" s="1"/>
  <c r="R470" i="39" s="1"/>
  <c r="O253" i="39"/>
  <c r="P253" i="39" s="1"/>
  <c r="Q253" i="39" s="1"/>
  <c r="R253" i="39" s="1"/>
  <c r="O375" i="39"/>
  <c r="P375" i="39" s="1"/>
  <c r="Q375" i="39" s="1"/>
  <c r="R375" i="39" s="1"/>
  <c r="O345" i="39"/>
  <c r="P345" i="39" s="1"/>
  <c r="Q345" i="39" s="1"/>
  <c r="R345" i="39" s="1"/>
  <c r="O19" i="39"/>
  <c r="P19" i="39" s="1"/>
  <c r="Q19" i="39" s="1"/>
  <c r="R19" i="39" s="1"/>
  <c r="O36" i="39"/>
  <c r="P36" i="39" s="1"/>
  <c r="Q36" i="39" s="1"/>
  <c r="R36" i="39" s="1"/>
  <c r="O40" i="39"/>
  <c r="P40" i="39" s="1"/>
  <c r="Q40" i="39" s="1"/>
  <c r="R40" i="39" s="1"/>
  <c r="O75" i="39"/>
  <c r="P75" i="39" s="1"/>
  <c r="Q75" i="39" s="1"/>
  <c r="R75" i="39" s="1"/>
  <c r="O32" i="39"/>
  <c r="P32" i="39" s="1"/>
  <c r="Q32" i="39" s="1"/>
  <c r="R32" i="39" s="1"/>
  <c r="O206" i="39"/>
  <c r="P206" i="39" s="1"/>
  <c r="O212" i="39"/>
  <c r="P212" i="39" s="1"/>
  <c r="Q212" i="39" s="1"/>
  <c r="R212" i="39" s="1"/>
  <c r="O493" i="39"/>
  <c r="P493" i="39" s="1"/>
  <c r="Q493" i="39" s="1"/>
  <c r="R493" i="39" s="1"/>
  <c r="O372" i="39"/>
  <c r="P372" i="39" s="1"/>
  <c r="Q372" i="39" s="1"/>
  <c r="R372" i="39" s="1"/>
  <c r="O481" i="39"/>
  <c r="P481" i="39" s="1"/>
  <c r="Q481" i="39" s="1"/>
  <c r="R481" i="39" s="1"/>
  <c r="O258" i="39"/>
  <c r="P258" i="39" s="1"/>
  <c r="Q258" i="39" s="1"/>
  <c r="R258" i="39" s="1"/>
  <c r="O230" i="39"/>
  <c r="P230" i="39" s="1"/>
  <c r="Q230" i="39" s="1"/>
  <c r="R230" i="39" s="1"/>
  <c r="O69" i="39"/>
  <c r="P69" i="39" s="1"/>
  <c r="Q69" i="39" s="1"/>
  <c r="R69" i="39" s="1"/>
  <c r="O60" i="39"/>
  <c r="P60" i="39" s="1"/>
  <c r="Q60" i="39" s="1"/>
  <c r="R60" i="39" s="1"/>
  <c r="O198" i="39"/>
  <c r="P198" i="39" s="1"/>
  <c r="Q198" i="39" s="1"/>
  <c r="R198" i="39" s="1"/>
  <c r="O87" i="39"/>
  <c r="P87" i="39" s="1"/>
  <c r="Q87" i="39" s="1"/>
  <c r="R87" i="39" s="1"/>
  <c r="O159" i="39"/>
  <c r="P159" i="39" s="1"/>
  <c r="Q159" i="39" s="1"/>
  <c r="R159" i="39" s="1"/>
  <c r="O384" i="39"/>
  <c r="P384" i="39" s="1"/>
  <c r="Q384" i="39" s="1"/>
  <c r="R384" i="39" s="1"/>
  <c r="O447" i="39"/>
  <c r="P447" i="39" s="1"/>
  <c r="Q447" i="39" s="1"/>
  <c r="R447" i="39" s="1"/>
  <c r="O168" i="39"/>
  <c r="P168" i="39" s="1"/>
  <c r="Q168" i="39" s="1"/>
  <c r="R168" i="39" s="1"/>
  <c r="O173" i="39"/>
  <c r="P173" i="39" s="1"/>
  <c r="Q173" i="39" s="1"/>
  <c r="R173" i="39" s="1"/>
  <c r="O179" i="39"/>
  <c r="P179" i="39" s="1"/>
  <c r="Q179" i="39" s="1"/>
  <c r="R179" i="39" s="1"/>
  <c r="O506" i="39"/>
  <c r="P506" i="39" s="1"/>
  <c r="Q506" i="39" s="1"/>
  <c r="R506" i="39" s="1"/>
  <c r="O508" i="39"/>
  <c r="P508" i="39" s="1"/>
  <c r="Q508" i="39" s="1"/>
  <c r="R508" i="39" s="1"/>
  <c r="O330" i="39"/>
  <c r="P330" i="39" s="1"/>
  <c r="Q330" i="39" s="1"/>
  <c r="R330" i="39" s="1"/>
  <c r="O189" i="39"/>
  <c r="P189" i="39" s="1"/>
  <c r="Q189" i="39" s="1"/>
  <c r="R189" i="39" s="1"/>
  <c r="Q303" i="17"/>
  <c r="R303" i="17" s="1"/>
  <c r="O183" i="39"/>
  <c r="P183" i="39" s="1"/>
  <c r="Q183" i="39" s="1"/>
  <c r="R183" i="39" s="1"/>
  <c r="O188" i="39"/>
  <c r="P188" i="39" s="1"/>
  <c r="Q188" i="39" s="1"/>
  <c r="R188" i="39" s="1"/>
  <c r="O408" i="39"/>
  <c r="P408" i="39" s="1"/>
  <c r="Q408" i="39" s="1"/>
  <c r="R408" i="39" s="1"/>
  <c r="Q160" i="42"/>
  <c r="E49" i="26" s="1"/>
  <c r="AF49" i="26" s="1"/>
  <c r="Q152" i="42"/>
  <c r="R152" i="42" s="1"/>
  <c r="S152" i="42" s="1"/>
  <c r="T152" i="42" s="1"/>
  <c r="Q144" i="42"/>
  <c r="R144" i="42" s="1"/>
  <c r="S144" i="42" s="1"/>
  <c r="T144" i="42" s="1"/>
  <c r="Q196" i="17"/>
  <c r="R196" i="17" s="1"/>
  <c r="S196" i="17" s="1"/>
  <c r="M204" i="17"/>
  <c r="D18" i="26" s="1"/>
  <c r="AE18" i="26" s="1"/>
  <c r="P204" i="17"/>
  <c r="E18" i="26" s="1"/>
  <c r="AF18" i="26" s="1"/>
  <c r="R108" i="42"/>
  <c r="C41" i="26"/>
  <c r="M109" i="42"/>
  <c r="N109" i="42" s="1"/>
  <c r="O109" i="42" s="1"/>
  <c r="Q109" i="42" s="1"/>
  <c r="P56" i="42"/>
  <c r="Q101" i="17"/>
  <c r="R101" i="17" s="1"/>
  <c r="S101" i="17" s="1"/>
  <c r="AJ55" i="44"/>
  <c r="N304" i="17"/>
  <c r="O304" i="17" s="1"/>
  <c r="L102" i="17"/>
  <c r="M102" i="17" s="1"/>
  <c r="N102" i="17" s="1"/>
  <c r="O102" i="17" s="1"/>
  <c r="M219" i="17"/>
  <c r="N219" i="17" s="1"/>
  <c r="O219" i="17" s="1"/>
  <c r="AE98" i="44"/>
  <c r="X98" i="44" s="1"/>
  <c r="Y98" i="44" s="1"/>
  <c r="AA98" i="44" s="1"/>
  <c r="L96" i="17"/>
  <c r="M96" i="17" s="1"/>
  <c r="N96" i="17" s="1"/>
  <c r="O96" i="17" s="1"/>
  <c r="M30" i="17"/>
  <c r="N30" i="17" s="1"/>
  <c r="O30" i="17" s="1"/>
  <c r="Q77" i="17"/>
  <c r="R77" i="17" s="1"/>
  <c r="S77" i="17" s="1"/>
  <c r="N173" i="17"/>
  <c r="O173" i="17" s="1"/>
  <c r="Q128" i="17"/>
  <c r="R128" i="17" s="1"/>
  <c r="S128" i="17" s="1"/>
  <c r="Q240" i="17"/>
  <c r="R240" i="17" s="1"/>
  <c r="S240" i="17" s="1"/>
  <c r="Q160" i="17"/>
  <c r="R160" i="17" s="1"/>
  <c r="Q127" i="17"/>
  <c r="R127" i="17" s="1"/>
  <c r="S127" i="17" s="1"/>
  <c r="AE114" i="44"/>
  <c r="X114" i="44" s="1"/>
  <c r="Y114" i="44" s="1"/>
  <c r="AA114" i="44" s="1"/>
  <c r="AE102" i="44"/>
  <c r="X102" i="44" s="1"/>
  <c r="Y102" i="44" s="1"/>
  <c r="AA102" i="44" s="1"/>
  <c r="AE127" i="44"/>
  <c r="R127" i="44" s="1"/>
  <c r="T127" i="44" s="1"/>
  <c r="AE143" i="44"/>
  <c r="X143" i="44" s="1"/>
  <c r="Y143" i="44" s="1"/>
  <c r="AA143" i="44" s="1"/>
  <c r="Q253" i="17"/>
  <c r="R253" i="17" s="1"/>
  <c r="S253" i="17" s="1"/>
  <c r="AE206" i="44"/>
  <c r="X206" i="44" s="1"/>
  <c r="Y206" i="44" s="1"/>
  <c r="AA206" i="44" s="1"/>
  <c r="AE180" i="44"/>
  <c r="X180" i="44" s="1"/>
  <c r="Y180" i="44" s="1"/>
  <c r="AA180" i="44" s="1"/>
  <c r="AE83" i="44"/>
  <c r="R83" i="44" s="1"/>
  <c r="V83" i="44" s="1"/>
  <c r="AE13" i="44"/>
  <c r="R13" i="44" s="1"/>
  <c r="T13" i="44" s="1"/>
  <c r="M172" i="17"/>
  <c r="N172" i="17" s="1"/>
  <c r="O172" i="17" s="1"/>
  <c r="AE188" i="44"/>
  <c r="R188" i="44" s="1"/>
  <c r="V188" i="44" s="1"/>
  <c r="AE147" i="44"/>
  <c r="X147" i="44" s="1"/>
  <c r="Y147" i="44" s="1"/>
  <c r="AA147" i="44" s="1"/>
  <c r="AE126" i="44"/>
  <c r="X126" i="44" s="1"/>
  <c r="Y126" i="44" s="1"/>
  <c r="AE31" i="44"/>
  <c r="R31" i="44" s="1"/>
  <c r="T31" i="44" s="1"/>
  <c r="L225" i="17"/>
  <c r="M225" i="17" s="1"/>
  <c r="N225" i="17" s="1"/>
  <c r="O225" i="17" s="1"/>
  <c r="AE113" i="44"/>
  <c r="X113" i="44" s="1"/>
  <c r="Y113" i="44" s="1"/>
  <c r="AA113" i="44" s="1"/>
  <c r="AE150" i="44"/>
  <c r="R150" i="44" s="1"/>
  <c r="V150" i="44" s="1"/>
  <c r="AE61" i="44"/>
  <c r="R61" i="44" s="1"/>
  <c r="V61" i="44" s="1"/>
  <c r="AL61" i="44" s="1"/>
  <c r="AE115" i="44"/>
  <c r="R115" i="44" s="1"/>
  <c r="T115" i="44" s="1"/>
  <c r="X115" i="44" s="1"/>
  <c r="Y115" i="44" s="1"/>
  <c r="AA115" i="44" s="1"/>
  <c r="AE18" i="44"/>
  <c r="X18" i="44" s="1"/>
  <c r="Y18" i="44" s="1"/>
  <c r="AA18" i="44" s="1"/>
  <c r="AE79" i="44"/>
  <c r="X79" i="44" s="1"/>
  <c r="Y79" i="44" s="1"/>
  <c r="AA79" i="44" s="1"/>
  <c r="AE125" i="44"/>
  <c r="X125" i="44" s="1"/>
  <c r="Y125" i="44" s="1"/>
  <c r="AA125" i="44" s="1"/>
  <c r="AE93" i="44"/>
  <c r="X93" i="44" s="1"/>
  <c r="Y93" i="44" s="1"/>
  <c r="AA93" i="44" s="1"/>
  <c r="AE65" i="44"/>
  <c r="X65" i="44" s="1"/>
  <c r="Y65" i="44" s="1"/>
  <c r="AA65" i="44" s="1"/>
  <c r="M231" i="17"/>
  <c r="N231" i="17" s="1"/>
  <c r="AE36" i="44"/>
  <c r="X36" i="44" s="1"/>
  <c r="Y36" i="44" s="1"/>
  <c r="AA36" i="44" s="1"/>
  <c r="AE55" i="44"/>
  <c r="R55" i="44" s="1"/>
  <c r="T55" i="44" s="1"/>
  <c r="AE70" i="44"/>
  <c r="R70" i="44" s="1"/>
  <c r="V70" i="44" s="1"/>
  <c r="AL70" i="44" s="1"/>
  <c r="AE89" i="44"/>
  <c r="X89" i="44" s="1"/>
  <c r="Y89" i="44" s="1"/>
  <c r="AA89" i="44" s="1"/>
  <c r="AE129" i="44"/>
  <c r="X129" i="44" s="1"/>
  <c r="Y129" i="44" s="1"/>
  <c r="AA129" i="44" s="1"/>
  <c r="AE97" i="44"/>
  <c r="X97" i="44" s="1"/>
  <c r="Y97" i="44" s="1"/>
  <c r="AA97" i="44" s="1"/>
  <c r="AE207" i="44"/>
  <c r="R207" i="44" s="1"/>
  <c r="T207" i="44" s="1"/>
  <c r="AE210" i="44"/>
  <c r="R210" i="44" s="1"/>
  <c r="V210" i="44" s="1"/>
  <c r="AE12" i="44"/>
  <c r="X12" i="44" s="1"/>
  <c r="Y12" i="44" s="1"/>
  <c r="AA12" i="44" s="1"/>
  <c r="AE140" i="44"/>
  <c r="R140" i="44" s="1"/>
  <c r="T140" i="44" s="1"/>
  <c r="AE185" i="44"/>
  <c r="R185" i="44" s="1"/>
  <c r="V185" i="44" s="1"/>
  <c r="AE152" i="44"/>
  <c r="X152" i="44" s="1"/>
  <c r="Y152" i="44" s="1"/>
  <c r="AA152" i="44" s="1"/>
  <c r="AE133" i="44"/>
  <c r="R133" i="44" s="1"/>
  <c r="T133" i="44" s="1"/>
  <c r="AE28" i="44"/>
  <c r="X28" i="44" s="1"/>
  <c r="Y28" i="44" s="1"/>
  <c r="AA28" i="44" s="1"/>
  <c r="AE196" i="44"/>
  <c r="R196" i="44" s="1"/>
  <c r="V196" i="44" s="1"/>
  <c r="AE99" i="44"/>
  <c r="X99" i="44" s="1"/>
  <c r="Y99" i="44" s="1"/>
  <c r="AA99" i="44" s="1"/>
  <c r="AE137" i="44"/>
  <c r="X137" i="44" s="1"/>
  <c r="Y137" i="44" s="1"/>
  <c r="AA137" i="44" s="1"/>
  <c r="AE141" i="44"/>
  <c r="X141" i="44" s="1"/>
  <c r="Y141" i="44" s="1"/>
  <c r="AA141" i="44" s="1"/>
  <c r="AE33" i="44"/>
  <c r="X33" i="44" s="1"/>
  <c r="Y33" i="44" s="1"/>
  <c r="AA33" i="44" s="1"/>
  <c r="AE117" i="44"/>
  <c r="R117" i="44" s="1"/>
  <c r="T117" i="44" s="1"/>
  <c r="AE144" i="44"/>
  <c r="R144" i="44" s="1"/>
  <c r="T144" i="44" s="1"/>
  <c r="AE35" i="44"/>
  <c r="X35" i="44" s="1"/>
  <c r="Y35" i="44" s="1"/>
  <c r="AA35" i="44" s="1"/>
  <c r="AE131" i="44"/>
  <c r="R131" i="44" s="1"/>
  <c r="V131" i="44" s="1"/>
  <c r="AE41" i="44"/>
  <c r="X41" i="44" s="1"/>
  <c r="Y41" i="44" s="1"/>
  <c r="AA41" i="44" s="1"/>
  <c r="AE209" i="44"/>
  <c r="R209" i="44" s="1"/>
  <c r="AE187" i="44"/>
  <c r="X187" i="44" s="1"/>
  <c r="Y187" i="44" s="1"/>
  <c r="AA187" i="44" s="1"/>
  <c r="AE100" i="44"/>
  <c r="X100" i="44" s="1"/>
  <c r="Y100" i="44" s="1"/>
  <c r="AA100" i="44" s="1"/>
  <c r="AE105" i="44"/>
  <c r="X105" i="44" s="1"/>
  <c r="Y105" i="44" s="1"/>
  <c r="AA105" i="44" s="1"/>
  <c r="AE139" i="44"/>
  <c r="R139" i="44" s="1"/>
  <c r="AE73" i="44"/>
  <c r="R73" i="44" s="1"/>
  <c r="T73" i="44" s="1"/>
  <c r="AE77" i="44"/>
  <c r="R77" i="44" s="1"/>
  <c r="V77" i="44" s="1"/>
  <c r="AE34" i="44"/>
  <c r="X34" i="44" s="1"/>
  <c r="Y34" i="44" s="1"/>
  <c r="AA34" i="44" s="1"/>
  <c r="AE66" i="44"/>
  <c r="R66" i="44" s="1"/>
  <c r="T66" i="44" s="1"/>
  <c r="AE38" i="44"/>
  <c r="R38" i="44" s="1"/>
  <c r="V38" i="44" s="1"/>
  <c r="AE128" i="44"/>
  <c r="R128" i="44" s="1"/>
  <c r="V128" i="44" s="1"/>
  <c r="AE80" i="44"/>
  <c r="X80" i="44" s="1"/>
  <c r="Y80" i="44" s="1"/>
  <c r="AA80" i="44" s="1"/>
  <c r="AE81" i="44"/>
  <c r="X81" i="44" s="1"/>
  <c r="Y81" i="44" s="1"/>
  <c r="AA81" i="44" s="1"/>
  <c r="AE84" i="44"/>
  <c r="R84" i="44" s="1"/>
  <c r="T84" i="44" s="1"/>
  <c r="AE29" i="44"/>
  <c r="X29" i="44" s="1"/>
  <c r="Y29" i="44" s="1"/>
  <c r="AA29" i="44" s="1"/>
  <c r="AE68" i="44"/>
  <c r="X68" i="44" s="1"/>
  <c r="Y68" i="44" s="1"/>
  <c r="AA68" i="44" s="1"/>
  <c r="AE82" i="44"/>
  <c r="R82" i="44" s="1"/>
  <c r="T82" i="44" s="1"/>
  <c r="AE197" i="44"/>
  <c r="X197" i="44" s="1"/>
  <c r="Y197" i="44" s="1"/>
  <c r="AA197" i="44" s="1"/>
  <c r="AE195" i="44"/>
  <c r="R195" i="44" s="1"/>
  <c r="T195" i="44" s="1"/>
  <c r="AE124" i="44"/>
  <c r="X124" i="44" s="1"/>
  <c r="Y124" i="44" s="1"/>
  <c r="AA124" i="44" s="1"/>
  <c r="AE101" i="44"/>
  <c r="X101" i="44" s="1"/>
  <c r="Y101" i="44" s="1"/>
  <c r="AA101" i="44" s="1"/>
  <c r="AE116" i="44"/>
  <c r="R116" i="44" s="1"/>
  <c r="V116" i="44" s="1"/>
  <c r="AL116" i="44" s="1"/>
  <c r="AE20" i="44"/>
  <c r="X20" i="44" s="1"/>
  <c r="Y20" i="44" s="1"/>
  <c r="AA20" i="44" s="1"/>
  <c r="AE203" i="44"/>
  <c r="R203" i="44" s="1"/>
  <c r="T203" i="44" s="1"/>
  <c r="AE46" i="44"/>
  <c r="X46" i="44" s="1"/>
  <c r="Y46" i="44" s="1"/>
  <c r="AA46" i="44" s="1"/>
  <c r="AE202" i="44"/>
  <c r="X202" i="44" s="1"/>
  <c r="Y202" i="44" s="1"/>
  <c r="AA202" i="44" s="1"/>
  <c r="AE181" i="44"/>
  <c r="R181" i="44" s="1"/>
  <c r="V181" i="44" s="1"/>
  <c r="AE194" i="44"/>
  <c r="X194" i="44" s="1"/>
  <c r="Y194" i="44" s="1"/>
  <c r="AA194" i="44" s="1"/>
  <c r="AE112" i="44"/>
  <c r="R112" i="44" s="1"/>
  <c r="V112" i="44" s="1"/>
  <c r="AE15" i="44"/>
  <c r="R15" i="44" s="1"/>
  <c r="AE44" i="44"/>
  <c r="X44" i="44" s="1"/>
  <c r="Y44" i="44" s="1"/>
  <c r="AE63" i="44"/>
  <c r="X63" i="44" s="1"/>
  <c r="Y63" i="44" s="1"/>
  <c r="AA63" i="44" s="1"/>
  <c r="AE200" i="44"/>
  <c r="X200" i="44" s="1"/>
  <c r="Y200" i="44" s="1"/>
  <c r="AA200" i="44" s="1"/>
  <c r="AE86" i="44"/>
  <c r="X86" i="44" s="1"/>
  <c r="Y86" i="44" s="1"/>
  <c r="AA86" i="44" s="1"/>
  <c r="AE135" i="44"/>
  <c r="R135" i="44" s="1"/>
  <c r="V135" i="44" s="1"/>
  <c r="AL135" i="44" s="1"/>
  <c r="AE37" i="44"/>
  <c r="X37" i="44" s="1"/>
  <c r="Y37" i="44" s="1"/>
  <c r="AA37" i="44" s="1"/>
  <c r="AE179" i="44"/>
  <c r="X179" i="44" s="1"/>
  <c r="Y179" i="44" s="1"/>
  <c r="AA179" i="44" s="1"/>
  <c r="AE153" i="44"/>
  <c r="X153" i="44" s="1"/>
  <c r="Y153" i="44" s="1"/>
  <c r="AA153" i="44" s="1"/>
  <c r="AE103" i="44"/>
  <c r="X103" i="44" s="1"/>
  <c r="Y103" i="44" s="1"/>
  <c r="AA103" i="44" s="1"/>
  <c r="AE30" i="44"/>
  <c r="X30" i="44" s="1"/>
  <c r="Y30" i="44" s="1"/>
  <c r="AA30" i="44" s="1"/>
  <c r="AE95" i="44"/>
  <c r="X95" i="44" s="1"/>
  <c r="Y95" i="44" s="1"/>
  <c r="AA95" i="44" s="1"/>
  <c r="AE136" i="44"/>
  <c r="R136" i="44" s="1"/>
  <c r="V136" i="44" s="1"/>
  <c r="AE39" i="44"/>
  <c r="X39" i="44" s="1"/>
  <c r="Y39" i="44" s="1"/>
  <c r="AA39" i="44" s="1"/>
  <c r="AE59" i="44"/>
  <c r="R59" i="44" s="1"/>
  <c r="AE88" i="44"/>
  <c r="R88" i="44" s="1"/>
  <c r="T88" i="44" s="1"/>
  <c r="Q217" i="17"/>
  <c r="R217" i="17" s="1"/>
  <c r="S217" i="17" s="1"/>
  <c r="Q95" i="17"/>
  <c r="R95" i="17" s="1"/>
  <c r="S95" i="17" s="1"/>
  <c r="Q312" i="17"/>
  <c r="R312" i="17" s="1"/>
  <c r="S312" i="17" s="1"/>
  <c r="Q297" i="17"/>
  <c r="R297" i="17" s="1"/>
  <c r="S297" i="17" s="1"/>
  <c r="Q13" i="42"/>
  <c r="Q15" i="42" s="1"/>
  <c r="E45" i="26" s="1"/>
  <c r="AF45" i="26" s="1"/>
  <c r="N296" i="17"/>
  <c r="O296" i="17" s="1"/>
  <c r="P296" i="17" s="1"/>
  <c r="Q296" i="17" s="1"/>
  <c r="R296" i="17" s="1"/>
  <c r="S296" i="17" s="1"/>
  <c r="AJ33" i="44"/>
  <c r="AP92" i="44"/>
  <c r="R44" i="17"/>
  <c r="S44" i="17" s="1"/>
  <c r="N18" i="17"/>
  <c r="O18" i="17" s="1"/>
  <c r="R50" i="17"/>
  <c r="S50" i="17" s="1"/>
  <c r="AE19" i="44"/>
  <c r="R19" i="44" s="1"/>
  <c r="AE16" i="44"/>
  <c r="X16" i="44" s="1"/>
  <c r="Y16" i="44" s="1"/>
  <c r="AA16" i="44" s="1"/>
  <c r="AE148" i="44"/>
  <c r="R148" i="44" s="1"/>
  <c r="V148" i="44" s="1"/>
  <c r="AE149" i="44"/>
  <c r="R149" i="44" s="1"/>
  <c r="V149" i="44" s="1"/>
  <c r="AE104" i="44"/>
  <c r="X104" i="44" s="1"/>
  <c r="Y104" i="44" s="1"/>
  <c r="AA104" i="44" s="1"/>
  <c r="AE40" i="44"/>
  <c r="R40" i="44" s="1"/>
  <c r="T40" i="44" s="1"/>
  <c r="AE64" i="44"/>
  <c r="R64" i="44" s="1"/>
  <c r="V64" i="44" s="1"/>
  <c r="AE183" i="44"/>
  <c r="X183" i="44" s="1"/>
  <c r="Y183" i="44" s="1"/>
  <c r="AA183" i="44" s="1"/>
  <c r="AE205" i="44"/>
  <c r="R205" i="44" s="1"/>
  <c r="T205" i="44" s="1"/>
  <c r="AE85" i="44"/>
  <c r="X85" i="44" s="1"/>
  <c r="Y85" i="44" s="1"/>
  <c r="AA85" i="44" s="1"/>
  <c r="AE74" i="44"/>
  <c r="X74" i="44" s="1"/>
  <c r="Y74" i="44" s="1"/>
  <c r="AA74" i="44" s="1"/>
  <c r="AE132" i="44"/>
  <c r="R132" i="44" s="1"/>
  <c r="V132" i="44" s="1"/>
  <c r="AE96" i="44"/>
  <c r="X96" i="44" s="1"/>
  <c r="Y96" i="44" s="1"/>
  <c r="AA96" i="44" s="1"/>
  <c r="AE71" i="44"/>
  <c r="R71" i="44" s="1"/>
  <c r="T71" i="44" s="1"/>
  <c r="AE60" i="44"/>
  <c r="X60" i="44" s="1"/>
  <c r="Y60" i="44" s="1"/>
  <c r="AA60" i="44" s="1"/>
  <c r="AE151" i="44"/>
  <c r="X151" i="44" s="1"/>
  <c r="Y151" i="44" s="1"/>
  <c r="AA151" i="44" s="1"/>
  <c r="AE43" i="44"/>
  <c r="X43" i="44" s="1"/>
  <c r="Y43" i="44" s="1"/>
  <c r="AA43" i="44" s="1"/>
  <c r="AE134" i="44"/>
  <c r="R134" i="44" s="1"/>
  <c r="T134" i="44" s="1"/>
  <c r="R91" i="44"/>
  <c r="V91" i="44" s="1"/>
  <c r="AB91" i="44" s="1"/>
  <c r="AC91" i="44" s="1"/>
  <c r="AN91" i="44" s="1"/>
  <c r="AR91" i="44" s="1"/>
  <c r="AE62" i="44"/>
  <c r="X62" i="44" s="1"/>
  <c r="Y62" i="44" s="1"/>
  <c r="AA62" i="44" s="1"/>
  <c r="AE208" i="44"/>
  <c r="X208" i="44" s="1"/>
  <c r="Y208" i="44" s="1"/>
  <c r="AA208" i="44" s="1"/>
  <c r="AE78" i="44"/>
  <c r="R78" i="44" s="1"/>
  <c r="T78" i="44" s="1"/>
  <c r="AE192" i="44"/>
  <c r="R192" i="44" s="1"/>
  <c r="V192" i="44" s="1"/>
  <c r="AE56" i="44"/>
  <c r="X56" i="44" s="1"/>
  <c r="Y56" i="44" s="1"/>
  <c r="AA56" i="44" s="1"/>
  <c r="AE27" i="44"/>
  <c r="R27" i="44" s="1"/>
  <c r="V27" i="44" s="1"/>
  <c r="AE87" i="44"/>
  <c r="R87" i="44" s="1"/>
  <c r="T87" i="44" s="1"/>
  <c r="AE199" i="44"/>
  <c r="R199" i="44" s="1"/>
  <c r="T199" i="44" s="1"/>
  <c r="AE57" i="44"/>
  <c r="X57" i="44" s="1"/>
  <c r="Y57" i="44" s="1"/>
  <c r="AA57" i="44" s="1"/>
  <c r="AE72" i="44"/>
  <c r="R72" i="44" s="1"/>
  <c r="T72" i="44" s="1"/>
  <c r="AE198" i="44"/>
  <c r="X198" i="44" s="1"/>
  <c r="Y198" i="44" s="1"/>
  <c r="AA198" i="44" s="1"/>
  <c r="AE201" i="44"/>
  <c r="X201" i="44" s="1"/>
  <c r="Y201" i="44" s="1"/>
  <c r="AA201" i="44" s="1"/>
  <c r="AE182" i="44"/>
  <c r="X182" i="44" s="1"/>
  <c r="Y182" i="44" s="1"/>
  <c r="AA182" i="44" s="1"/>
  <c r="AE142" i="44"/>
  <c r="X142" i="44" s="1"/>
  <c r="Y142" i="44" s="1"/>
  <c r="AA142" i="44" s="1"/>
  <c r="AE186" i="44"/>
  <c r="R186" i="44" s="1"/>
  <c r="V186" i="44" s="1"/>
  <c r="AE145" i="44"/>
  <c r="R145" i="44" s="1"/>
  <c r="V145" i="44" s="1"/>
  <c r="AL145" i="44" s="1"/>
  <c r="AE69" i="44"/>
  <c r="X69" i="44" s="1"/>
  <c r="Y69" i="44" s="1"/>
  <c r="AA69" i="44" s="1"/>
  <c r="AE204" i="44"/>
  <c r="X204" i="44" s="1"/>
  <c r="Y204" i="44" s="1"/>
  <c r="AA204" i="44" s="1"/>
  <c r="AE190" i="44"/>
  <c r="R190" i="44" s="1"/>
  <c r="T190" i="44" s="1"/>
  <c r="R130" i="44"/>
  <c r="V130" i="44" s="1"/>
  <c r="AE184" i="44"/>
  <c r="R184" i="44" s="1"/>
  <c r="V184" i="44" s="1"/>
  <c r="AE14" i="44"/>
  <c r="R14" i="44" s="1"/>
  <c r="T14" i="44" s="1"/>
  <c r="AE53" i="44"/>
  <c r="X53" i="44" s="1"/>
  <c r="Y53" i="44" s="1"/>
  <c r="AA53" i="44" s="1"/>
  <c r="AE193" i="44"/>
  <c r="R193" i="44" s="1"/>
  <c r="T193" i="44" s="1"/>
  <c r="AE17" i="44"/>
  <c r="R17" i="44" s="1"/>
  <c r="T17" i="44" s="1"/>
  <c r="AE92" i="44"/>
  <c r="R92" i="44" s="1"/>
  <c r="T92" i="44" s="1"/>
  <c r="AE45" i="44"/>
  <c r="X45" i="44" s="1"/>
  <c r="Y45" i="44" s="1"/>
  <c r="AA45" i="44" s="1"/>
  <c r="AE146" i="44"/>
  <c r="R146" i="44" s="1"/>
  <c r="AE32" i="44"/>
  <c r="R32" i="44" s="1"/>
  <c r="T32" i="44" s="1"/>
  <c r="AE42" i="44"/>
  <c r="X42" i="44" s="1"/>
  <c r="Y42" i="44" s="1"/>
  <c r="AA42" i="44" s="1"/>
  <c r="AE191" i="44"/>
  <c r="R191" i="44" s="1"/>
  <c r="V191" i="44" s="1"/>
  <c r="AE138" i="44"/>
  <c r="R138" i="44" s="1"/>
  <c r="V138" i="44" s="1"/>
  <c r="AE189" i="44"/>
  <c r="X189" i="44" s="1"/>
  <c r="Y189" i="44" s="1"/>
  <c r="AA189" i="44" s="1"/>
  <c r="AE94" i="44"/>
  <c r="X94" i="44" s="1"/>
  <c r="Y94" i="44" s="1"/>
  <c r="AA94" i="44" s="1"/>
  <c r="AE58" i="44"/>
  <c r="X58" i="44" s="1"/>
  <c r="Y58" i="44" s="1"/>
  <c r="AA58" i="44" s="1"/>
  <c r="AE90" i="44"/>
  <c r="R90" i="44" s="1"/>
  <c r="T90" i="44" s="1"/>
  <c r="AE54" i="44"/>
  <c r="R54" i="44" s="1"/>
  <c r="T54" i="44" s="1"/>
  <c r="AE176" i="44"/>
  <c r="X176" i="44" s="1"/>
  <c r="Y176" i="44" s="1"/>
  <c r="AA176" i="44" s="1"/>
  <c r="N313" i="17"/>
  <c r="O313" i="17" s="1"/>
  <c r="P313" i="17" s="1"/>
  <c r="Q313" i="17" s="1"/>
  <c r="R313" i="17" s="1"/>
  <c r="S313" i="17" s="1"/>
  <c r="Q65" i="17"/>
  <c r="R65" i="17" s="1"/>
  <c r="S65" i="17" s="1"/>
  <c r="Q71" i="17"/>
  <c r="R71" i="17" s="1"/>
  <c r="S71" i="17" s="1"/>
  <c r="Q69" i="17"/>
  <c r="R69" i="17" s="1"/>
  <c r="S69" i="17" s="1"/>
  <c r="R11" i="17"/>
  <c r="P166" i="42"/>
  <c r="P325" i="39"/>
  <c r="Q325" i="39" s="1"/>
  <c r="R325" i="39" s="1"/>
  <c r="P524" i="39"/>
  <c r="Q524" i="39" s="1"/>
  <c r="R524" i="39" s="1"/>
  <c r="C29" i="26"/>
  <c r="L135" i="17"/>
  <c r="M135" i="17" s="1"/>
  <c r="N135" i="17" s="1"/>
  <c r="O135" i="17" s="1"/>
  <c r="Q227" i="17"/>
  <c r="R227" i="17" s="1"/>
  <c r="S227" i="17" s="1"/>
  <c r="AJ150" i="44"/>
  <c r="AE75" i="44"/>
  <c r="X75" i="44" s="1"/>
  <c r="Y75" i="44" s="1"/>
  <c r="AA75" i="44" s="1"/>
  <c r="AE67" i="44"/>
  <c r="R67" i="44" s="1"/>
  <c r="AJ81" i="44"/>
  <c r="M319" i="17"/>
  <c r="N319" i="17" s="1"/>
  <c r="O319" i="17" s="1"/>
  <c r="Q305" i="17"/>
  <c r="R305" i="17" s="1"/>
  <c r="S305" i="17" s="1"/>
  <c r="Q140" i="17"/>
  <c r="R140" i="17" s="1"/>
  <c r="S140" i="17" s="1"/>
  <c r="L141" i="17"/>
  <c r="M141" i="17" s="1"/>
  <c r="N141" i="17" s="1"/>
  <c r="O141" i="17" s="1"/>
  <c r="AB224" i="43"/>
  <c r="AC224" i="43" s="1"/>
  <c r="AN46" i="43"/>
  <c r="AR46" i="43"/>
  <c r="AB95" i="43"/>
  <c r="AC95" i="43" s="1"/>
  <c r="AN95" i="43" s="1"/>
  <c r="AB173" i="43"/>
  <c r="AC173" i="43" s="1"/>
  <c r="AB135" i="43"/>
  <c r="AC135" i="43" s="1"/>
  <c r="AN135" i="43" s="1"/>
  <c r="AR135" i="43" s="1"/>
  <c r="AC134" i="43"/>
  <c r="AN134" i="43" s="1"/>
  <c r="AR134" i="43" s="1"/>
  <c r="AJ28" i="44"/>
  <c r="AJ114" i="43"/>
  <c r="N34" i="17"/>
  <c r="O34" i="17" s="1"/>
  <c r="N235" i="17"/>
  <c r="O235" i="17" s="1"/>
  <c r="AB86" i="43"/>
  <c r="AC86" i="43" s="1"/>
  <c r="AN86" i="43" s="1"/>
  <c r="AR86" i="43" s="1"/>
  <c r="N31" i="17"/>
  <c r="O31" i="17" s="1"/>
  <c r="P311" i="17"/>
  <c r="Q311" i="17" s="1"/>
  <c r="R311" i="17" s="1"/>
  <c r="S311" i="17" s="1"/>
  <c r="AB134" i="43"/>
  <c r="AC82" i="43"/>
  <c r="AB120" i="43"/>
  <c r="AC120" i="43" s="1"/>
  <c r="V91" i="43"/>
  <c r="T91" i="43"/>
  <c r="AL42" i="43"/>
  <c r="V252" i="43"/>
  <c r="AB252" i="43" s="1"/>
  <c r="AC252" i="43" s="1"/>
  <c r="T252" i="43"/>
  <c r="V173" i="43"/>
  <c r="AL173" i="43" s="1"/>
  <c r="T173" i="43"/>
  <c r="AB277" i="43"/>
  <c r="AC277" i="43" s="1"/>
  <c r="V119" i="43"/>
  <c r="AB119" i="43" s="1"/>
  <c r="AC119" i="43" s="1"/>
  <c r="AN119" i="43" s="1"/>
  <c r="AR119" i="43" s="1"/>
  <c r="T119" i="43"/>
  <c r="V97" i="43"/>
  <c r="T97" i="43"/>
  <c r="V34" i="43"/>
  <c r="AB34" i="43" s="1"/>
  <c r="AC34" i="43" s="1"/>
  <c r="T34" i="43"/>
  <c r="V85" i="43"/>
  <c r="AL85" i="43" s="1"/>
  <c r="T85" i="43"/>
  <c r="AB112" i="43"/>
  <c r="AC112" i="43" s="1"/>
  <c r="AR112" i="43" s="1"/>
  <c r="AL101" i="43"/>
  <c r="V92" i="43"/>
  <c r="AL92" i="43" s="1"/>
  <c r="T92" i="43"/>
  <c r="T183" i="43"/>
  <c r="V183" i="43"/>
  <c r="AL183" i="43" s="1"/>
  <c r="AL142" i="43"/>
  <c r="T232" i="43"/>
  <c r="V232" i="43"/>
  <c r="AB232" i="43" s="1"/>
  <c r="AC232" i="43" s="1"/>
  <c r="V126" i="43"/>
  <c r="T126" i="43"/>
  <c r="T57" i="43"/>
  <c r="V250" i="43"/>
  <c r="AB250" i="43" s="1"/>
  <c r="AC250" i="43" s="1"/>
  <c r="T250" i="43"/>
  <c r="T143" i="43"/>
  <c r="V143" i="43"/>
  <c r="AL143" i="43" s="1"/>
  <c r="V255" i="43"/>
  <c r="AB255" i="43" s="1"/>
  <c r="AC255" i="43" s="1"/>
  <c r="T255" i="43"/>
  <c r="V256" i="43"/>
  <c r="T256" i="43"/>
  <c r="V95" i="43"/>
  <c r="T95" i="43"/>
  <c r="Q107" i="44"/>
  <c r="Q158" i="44" s="1"/>
  <c r="AR74" i="43"/>
  <c r="V64" i="43"/>
  <c r="T64" i="43"/>
  <c r="T30" i="43"/>
  <c r="V30" i="43"/>
  <c r="AL30" i="43" s="1"/>
  <c r="AB254" i="43"/>
  <c r="AC254" i="43" s="1"/>
  <c r="T40" i="43"/>
  <c r="V40" i="43"/>
  <c r="AL40" i="43" s="1"/>
  <c r="T269" i="43"/>
  <c r="V269" i="43"/>
  <c r="AB269" i="43" s="1"/>
  <c r="AC269" i="43" s="1"/>
  <c r="T55" i="43"/>
  <c r="AB256" i="43"/>
  <c r="AC256" i="43" s="1"/>
  <c r="V110" i="43"/>
  <c r="AB110" i="43" s="1"/>
  <c r="AC110" i="43" s="1"/>
  <c r="AR110" i="43" s="1"/>
  <c r="T110" i="43"/>
  <c r="R68" i="43"/>
  <c r="X68" i="43"/>
  <c r="Y68" i="43" s="1"/>
  <c r="AA68" i="43" s="1"/>
  <c r="AL90" i="43"/>
  <c r="V70" i="43"/>
  <c r="T70" i="43"/>
  <c r="AB98" i="43"/>
  <c r="AC98" i="43" s="1"/>
  <c r="AN98" i="43" s="1"/>
  <c r="AR98" i="43" s="1"/>
  <c r="V271" i="43"/>
  <c r="AB271" i="43" s="1"/>
  <c r="AC271" i="43" s="1"/>
  <c r="T271" i="43"/>
  <c r="T120" i="43"/>
  <c r="V120" i="43"/>
  <c r="AL120" i="43" s="1"/>
  <c r="R145" i="43"/>
  <c r="AL95" i="43"/>
  <c r="T224" i="43"/>
  <c r="T257" i="43"/>
  <c r="V257" i="43"/>
  <c r="AB257" i="43" s="1"/>
  <c r="AC257" i="43" s="1"/>
  <c r="T124" i="43"/>
  <c r="V124" i="43"/>
  <c r="AP74" i="43"/>
  <c r="AL74" i="43"/>
  <c r="V27" i="43"/>
  <c r="T27" i="43"/>
  <c r="AB30" i="43"/>
  <c r="AC30" i="43" s="1"/>
  <c r="AN30" i="43" s="1"/>
  <c r="AR30" i="43" s="1"/>
  <c r="V254" i="43"/>
  <c r="T254" i="43"/>
  <c r="V83" i="43"/>
  <c r="T83" i="43"/>
  <c r="V53" i="43"/>
  <c r="AL53" i="43" s="1"/>
  <c r="T53" i="43"/>
  <c r="X53" i="43" s="1"/>
  <c r="Y53" i="43" s="1"/>
  <c r="AA53" i="43" s="1"/>
  <c r="T60" i="43"/>
  <c r="V60" i="43"/>
  <c r="T210" i="43"/>
  <c r="V210" i="43"/>
  <c r="AB210" i="43" s="1"/>
  <c r="AC210" i="43" s="1"/>
  <c r="AP110" i="43"/>
  <c r="V99" i="43"/>
  <c r="T99" i="43"/>
  <c r="V23" i="43"/>
  <c r="AB23" i="43" s="1"/>
  <c r="AC23" i="43" s="1"/>
  <c r="AN23" i="43" s="1"/>
  <c r="AR23" i="43" s="1"/>
  <c r="T23" i="43"/>
  <c r="AL54" i="43"/>
  <c r="AL44" i="43"/>
  <c r="AL138" i="43"/>
  <c r="M87" i="17"/>
  <c r="N87" i="17" s="1"/>
  <c r="O87" i="17" s="1"/>
  <c r="L88" i="17"/>
  <c r="M88" i="17" s="1"/>
  <c r="N88" i="17" s="1"/>
  <c r="O88" i="17" s="1"/>
  <c r="V133" i="43"/>
  <c r="AL133" i="43" s="1"/>
  <c r="T133" i="43"/>
  <c r="Q54" i="43"/>
  <c r="X54" i="43"/>
  <c r="Y54" i="43" s="1"/>
  <c r="AA54" i="43" s="1"/>
  <c r="AB54" i="43" s="1"/>
  <c r="AC54" i="43" s="1"/>
  <c r="P158" i="44"/>
  <c r="AB26" i="43"/>
  <c r="AC26" i="43" s="1"/>
  <c r="AN26" i="43" s="1"/>
  <c r="AR26" i="43" s="1"/>
  <c r="AP69" i="44"/>
  <c r="T158" i="43"/>
  <c r="V158" i="43"/>
  <c r="T160" i="43"/>
  <c r="V160" i="43"/>
  <c r="AB160" i="43" s="1"/>
  <c r="AC160" i="43" s="1"/>
  <c r="V52" i="43"/>
  <c r="T52" i="43"/>
  <c r="AB179" i="43"/>
  <c r="AC179" i="43" s="1"/>
  <c r="AN179" i="43" s="1"/>
  <c r="AR179" i="43" s="1"/>
  <c r="T138" i="43"/>
  <c r="V138" i="43"/>
  <c r="V251" i="43"/>
  <c r="AB251" i="43" s="1"/>
  <c r="AC251" i="43" s="1"/>
  <c r="T251" i="43"/>
  <c r="T245" i="43"/>
  <c r="V245" i="43"/>
  <c r="AB245" i="43" s="1"/>
  <c r="AC245" i="43" s="1"/>
  <c r="T112" i="43"/>
  <c r="V112" i="43"/>
  <c r="R102" i="43"/>
  <c r="R114" i="43" s="1"/>
  <c r="X102" i="43"/>
  <c r="Y102" i="43" s="1"/>
  <c r="AA102" i="43" s="1"/>
  <c r="AB93" i="43"/>
  <c r="AC93" i="43" s="1"/>
  <c r="AB170" i="43"/>
  <c r="AC170" i="43" s="1"/>
  <c r="AN170" i="43" s="1"/>
  <c r="AR170" i="43" s="1"/>
  <c r="Q138" i="43"/>
  <c r="X138" i="43"/>
  <c r="Y138" i="43" s="1"/>
  <c r="AA138" i="43" s="1"/>
  <c r="AB138" i="43" s="1"/>
  <c r="AC138" i="43" s="1"/>
  <c r="AL66" i="43"/>
  <c r="V259" i="43"/>
  <c r="AB259" i="43" s="1"/>
  <c r="AC259" i="43" s="1"/>
  <c r="T259" i="43"/>
  <c r="V101" i="43"/>
  <c r="AB101" i="43" s="1"/>
  <c r="AP101" i="43" s="1"/>
  <c r="T101" i="43"/>
  <c r="AB183" i="43"/>
  <c r="AC183" i="43" s="1"/>
  <c r="AL34" i="43"/>
  <c r="X22" i="43"/>
  <c r="Y22" i="43" s="1"/>
  <c r="AA22" i="43" s="1"/>
  <c r="AA77" i="43" s="1"/>
  <c r="R22" i="43"/>
  <c r="AJ22" i="43"/>
  <c r="AP22" i="43"/>
  <c r="N292" i="17"/>
  <c r="O292" i="17" s="1"/>
  <c r="P292" i="17" s="1"/>
  <c r="Q292" i="17" s="1"/>
  <c r="R292" i="17" s="1"/>
  <c r="S292" i="17" s="1"/>
  <c r="AJ145" i="43"/>
  <c r="P77" i="43"/>
  <c r="AP145" i="43"/>
  <c r="T65" i="43"/>
  <c r="AP58" i="44"/>
  <c r="AR141" i="43"/>
  <c r="AE76" i="44"/>
  <c r="R76" i="44" s="1"/>
  <c r="V76" i="44" s="1"/>
  <c r="V235" i="43"/>
  <c r="AB235" i="43" s="1"/>
  <c r="AC235" i="43" s="1"/>
  <c r="T235" i="43"/>
  <c r="V132" i="43"/>
  <c r="AB132" i="43" s="1"/>
  <c r="AC132" i="43" s="1"/>
  <c r="AN132" i="43" s="1"/>
  <c r="AR132" i="43" s="1"/>
  <c r="T132" i="43"/>
  <c r="V36" i="43"/>
  <c r="T36" i="43"/>
  <c r="V87" i="43"/>
  <c r="T87" i="43"/>
  <c r="T108" i="43"/>
  <c r="X108" i="43" s="1"/>
  <c r="Y108" i="43" s="1"/>
  <c r="AA108" i="43" s="1"/>
  <c r="V108" i="43"/>
  <c r="AL108" i="43" s="1"/>
  <c r="T98" i="43"/>
  <c r="V98" i="43"/>
  <c r="AL98" i="43" s="1"/>
  <c r="AB258" i="43"/>
  <c r="AC258" i="43" s="1"/>
  <c r="V69" i="43"/>
  <c r="T69" i="43"/>
  <c r="AL137" i="43"/>
  <c r="T261" i="43"/>
  <c r="V261" i="43"/>
  <c r="AP112" i="43"/>
  <c r="AL112" i="43"/>
  <c r="V208" i="43"/>
  <c r="AB208" i="43" s="1"/>
  <c r="AC208" i="43" s="1"/>
  <c r="T208" i="43"/>
  <c r="V140" i="43"/>
  <c r="AL140" i="43" s="1"/>
  <c r="T140" i="43"/>
  <c r="X140" i="43" s="1"/>
  <c r="Y140" i="43" s="1"/>
  <c r="AA140" i="43" s="1"/>
  <c r="AB140" i="43" s="1"/>
  <c r="AC140" i="43" s="1"/>
  <c r="AR140" i="43" s="1"/>
  <c r="V72" i="43"/>
  <c r="T72" i="43"/>
  <c r="V130" i="43"/>
  <c r="T130" i="43"/>
  <c r="AL131" i="43"/>
  <c r="V61" i="43"/>
  <c r="T61" i="43"/>
  <c r="T135" i="43"/>
  <c r="V135" i="43"/>
  <c r="AL135" i="43" s="1"/>
  <c r="V89" i="43"/>
  <c r="T89" i="43"/>
  <c r="T184" i="43"/>
  <c r="V184" i="43"/>
  <c r="AL184" i="43" s="1"/>
  <c r="AB261" i="43"/>
  <c r="AC261" i="43" s="1"/>
  <c r="V96" i="43"/>
  <c r="T96" i="43"/>
  <c r="AB137" i="43"/>
  <c r="AC137" i="43" s="1"/>
  <c r="AP140" i="44"/>
  <c r="Q279" i="17"/>
  <c r="R279" i="17" s="1"/>
  <c r="S279" i="17" s="1"/>
  <c r="AP43" i="44"/>
  <c r="AJ20" i="44"/>
  <c r="AP82" i="44"/>
  <c r="Q200" i="17"/>
  <c r="R200" i="17" s="1"/>
  <c r="S200" i="17" s="1"/>
  <c r="K513" i="39"/>
  <c r="B27" i="26"/>
  <c r="B35" i="26" s="1"/>
  <c r="R214" i="44"/>
  <c r="V214" i="44" s="1"/>
  <c r="AB214" i="44" s="1"/>
  <c r="AC214" i="44" s="1"/>
  <c r="N272" i="17"/>
  <c r="O272" i="17" s="1"/>
  <c r="P272" i="17" s="1"/>
  <c r="Q272" i="17" s="1"/>
  <c r="R272" i="17" s="1"/>
  <c r="S272" i="17" s="1"/>
  <c r="N249" i="17"/>
  <c r="O249" i="17" s="1"/>
  <c r="P249" i="17" s="1"/>
  <c r="Q249" i="17" s="1"/>
  <c r="R249" i="17" s="1"/>
  <c r="S249" i="17" s="1"/>
  <c r="Q255" i="17"/>
  <c r="R255" i="17" s="1"/>
  <c r="S255" i="17" s="1"/>
  <c r="N280" i="17"/>
  <c r="O280" i="17" s="1"/>
  <c r="P280" i="17" s="1"/>
  <c r="Q280" i="17" s="1"/>
  <c r="R280" i="17" s="1"/>
  <c r="S280" i="17" s="1"/>
  <c r="M218" i="17"/>
  <c r="Q223" i="17"/>
  <c r="R223" i="17" s="1"/>
  <c r="S223" i="17" s="1"/>
  <c r="M220" i="17"/>
  <c r="N220" i="17" s="1"/>
  <c r="O220" i="17" s="1"/>
  <c r="P220" i="17" s="1"/>
  <c r="Q220" i="17" s="1"/>
  <c r="R220" i="17" s="1"/>
  <c r="S220" i="17" s="1"/>
  <c r="M239" i="17"/>
  <c r="AP39" i="44"/>
  <c r="N320" i="17"/>
  <c r="O320" i="17" s="1"/>
  <c r="P320" i="17" s="1"/>
  <c r="Q320" i="17" s="1"/>
  <c r="R320" i="17" s="1"/>
  <c r="S320" i="17" s="1"/>
  <c r="M256" i="17"/>
  <c r="N256" i="17" s="1"/>
  <c r="O256" i="17" s="1"/>
  <c r="P256" i="17" s="1"/>
  <c r="Q256" i="17" s="1"/>
  <c r="R256" i="17" s="1"/>
  <c r="S256" i="17" s="1"/>
  <c r="N237" i="17"/>
  <c r="O237" i="17" s="1"/>
  <c r="P237" i="17" s="1"/>
  <c r="Q237" i="17" s="1"/>
  <c r="R237" i="17" s="1"/>
  <c r="S237" i="17" s="1"/>
  <c r="M242" i="17"/>
  <c r="L118" i="17" s="1"/>
  <c r="M222" i="17"/>
  <c r="N222" i="17" s="1"/>
  <c r="O222" i="17" s="1"/>
  <c r="P222" i="17" s="1"/>
  <c r="Q222" i="17" s="1"/>
  <c r="Q241" i="17"/>
  <c r="R241" i="17" s="1"/>
  <c r="S241" i="17" s="1"/>
  <c r="Q271" i="17"/>
  <c r="R271" i="17" s="1"/>
  <c r="S271" i="17" s="1"/>
  <c r="M251" i="17"/>
  <c r="N251" i="17" s="1"/>
  <c r="O251" i="17" s="1"/>
  <c r="P251" i="17" s="1"/>
  <c r="Q251" i="17" s="1"/>
  <c r="R251" i="17" s="1"/>
  <c r="S251" i="17" s="1"/>
  <c r="Q236" i="17"/>
  <c r="R236" i="17" s="1"/>
  <c r="S236" i="17" s="1"/>
  <c r="V214" i="43"/>
  <c r="AB214" i="43" s="1"/>
  <c r="AC214" i="43" s="1"/>
  <c r="T214" i="43"/>
  <c r="AP97" i="44"/>
  <c r="AJ152" i="44"/>
  <c r="AP137" i="44"/>
  <c r="AJ65" i="44"/>
  <c r="AP31" i="44"/>
  <c r="AP126" i="44"/>
  <c r="AJ90" i="44"/>
  <c r="AJ113" i="44"/>
  <c r="AP129" i="44"/>
  <c r="AP114" i="44"/>
  <c r="AP77" i="44"/>
  <c r="AJ84" i="44"/>
  <c r="AJ95" i="44"/>
  <c r="AJ18" i="44"/>
  <c r="AP134" i="44"/>
  <c r="AP93" i="44"/>
  <c r="N254" i="17"/>
  <c r="O254" i="17" s="1"/>
  <c r="P254" i="17" s="1"/>
  <c r="Q254" i="17" s="1"/>
  <c r="R254" i="17" s="1"/>
  <c r="S254" i="17" s="1"/>
  <c r="Q221" i="17"/>
  <c r="R221" i="17" s="1"/>
  <c r="S221" i="17" s="1"/>
  <c r="AN34" i="43"/>
  <c r="AR34" i="43"/>
  <c r="AN42" i="43"/>
  <c r="AR42" i="43"/>
  <c r="AN57" i="43"/>
  <c r="AR57" i="43"/>
  <c r="AN182" i="43"/>
  <c r="AR182" i="43" s="1"/>
  <c r="V177" i="43"/>
  <c r="T177" i="43"/>
  <c r="AB239" i="43"/>
  <c r="AC239" i="43" s="1"/>
  <c r="L27" i="17"/>
  <c r="M27" i="17" s="1"/>
  <c r="N27" i="17" s="1"/>
  <c r="O27" i="17" s="1"/>
  <c r="M26" i="17"/>
  <c r="V50" i="43"/>
  <c r="T50" i="43"/>
  <c r="AN122" i="43"/>
  <c r="AR122" i="43" s="1"/>
  <c r="AN82" i="43"/>
  <c r="AR82" i="43" s="1"/>
  <c r="AB106" i="43"/>
  <c r="AP106" i="43" s="1"/>
  <c r="AN25" i="43"/>
  <c r="AR25" i="43"/>
  <c r="Q77" i="43"/>
  <c r="R56" i="43"/>
  <c r="R77" i="43" s="1"/>
  <c r="V31" i="43"/>
  <c r="T31" i="43"/>
  <c r="V24" i="43"/>
  <c r="T24" i="43"/>
  <c r="AC67" i="43"/>
  <c r="AP67" i="43"/>
  <c r="AC100" i="43"/>
  <c r="AR100" i="43" s="1"/>
  <c r="AB100" i="43"/>
  <c r="AP100" i="43" s="1"/>
  <c r="V270" i="43"/>
  <c r="AB270" i="43" s="1"/>
  <c r="AC270" i="43" s="1"/>
  <c r="T270" i="43"/>
  <c r="V17" i="43"/>
  <c r="T17" i="43"/>
  <c r="AN44" i="43"/>
  <c r="AR44" i="43" s="1"/>
  <c r="V48" i="43"/>
  <c r="AB48" i="43" s="1"/>
  <c r="AC48" i="43" s="1"/>
  <c r="AN48" i="43" s="1"/>
  <c r="AR48" i="43" s="1"/>
  <c r="T48" i="43"/>
  <c r="AC101" i="43"/>
  <c r="AR101" i="43" s="1"/>
  <c r="N13" i="17"/>
  <c r="N303" i="17"/>
  <c r="O303" i="17" s="1"/>
  <c r="N193" i="17"/>
  <c r="O193" i="17" s="1"/>
  <c r="O167" i="17"/>
  <c r="R166" i="42"/>
  <c r="Q193" i="17"/>
  <c r="R193" i="17" s="1"/>
  <c r="S193" i="17" s="1"/>
  <c r="N13" i="39"/>
  <c r="N191" i="39" s="1"/>
  <c r="N513" i="39" s="1"/>
  <c r="AP63" i="44"/>
  <c r="N286" i="17"/>
  <c r="O286" i="17" s="1"/>
  <c r="P286" i="17" s="1"/>
  <c r="Q286" i="17" s="1"/>
  <c r="R286" i="17" s="1"/>
  <c r="S286" i="17" s="1"/>
  <c r="O63" i="42"/>
  <c r="P63" i="42" s="1"/>
  <c r="R233" i="17"/>
  <c r="S233" i="17" s="1"/>
  <c r="AJ124" i="44"/>
  <c r="Q250" i="17"/>
  <c r="R250" i="17" s="1"/>
  <c r="S250" i="17" s="1"/>
  <c r="N331" i="17"/>
  <c r="O331" i="17" s="1"/>
  <c r="P331" i="17" s="1"/>
  <c r="Q331" i="17" s="1"/>
  <c r="R331" i="17" s="1"/>
  <c r="S331" i="17" s="1"/>
  <c r="Y11" i="43"/>
  <c r="AB11" i="43"/>
  <c r="AC11" i="43" s="1"/>
  <c r="AP74" i="44"/>
  <c r="AJ96" i="44"/>
  <c r="AP145" i="44"/>
  <c r="AP99" i="44"/>
  <c r="Q91" i="17"/>
  <c r="R91" i="17" s="1"/>
  <c r="S91" i="17" s="1"/>
  <c r="AJ143" i="44"/>
  <c r="AJ100" i="44"/>
  <c r="AP60" i="44"/>
  <c r="Q234" i="17"/>
  <c r="R234" i="17" s="1"/>
  <c r="S234" i="17" s="1"/>
  <c r="AP130" i="44"/>
  <c r="AP87" i="44"/>
  <c r="AP103" i="44"/>
  <c r="AP54" i="44"/>
  <c r="X130" i="44"/>
  <c r="Y130" i="44" s="1"/>
  <c r="AA130" i="44" s="1"/>
  <c r="AP12" i="44"/>
  <c r="AJ130" i="44"/>
  <c r="AP127" i="44"/>
  <c r="AJ80" i="44"/>
  <c r="AP102" i="44"/>
  <c r="Q28" i="17"/>
  <c r="R28" i="17" s="1"/>
  <c r="S28" i="17" s="1"/>
  <c r="AP36" i="44"/>
  <c r="AP144" i="44"/>
  <c r="AJ89" i="44"/>
  <c r="AJ32" i="44"/>
  <c r="AJ79" i="44"/>
  <c r="AJ60" i="44"/>
  <c r="AP149" i="44"/>
  <c r="N24" i="17"/>
  <c r="O24" i="17" s="1"/>
  <c r="N14" i="17"/>
  <c r="O14" i="17" s="1"/>
  <c r="Q293" i="17"/>
  <c r="R293" i="17" s="1"/>
  <c r="S293" i="17" s="1"/>
  <c r="AJ38" i="44"/>
  <c r="AP14" i="44"/>
  <c r="AJ41" i="44"/>
  <c r="AP98" i="44"/>
  <c r="AJ14" i="44"/>
  <c r="R148" i="17"/>
  <c r="S148" i="17" s="1"/>
  <c r="AJ72" i="44"/>
  <c r="J27" i="17"/>
  <c r="K27" i="17" s="1"/>
  <c r="P27" i="17" s="1"/>
  <c r="AP88" i="44"/>
  <c r="AJ131" i="44"/>
  <c r="O57" i="42"/>
  <c r="Q57" i="42" s="1"/>
  <c r="AP66" i="44"/>
  <c r="AJ66" i="44"/>
  <c r="AJ142" i="44"/>
  <c r="AP135" i="44"/>
  <c r="Q224" i="17"/>
  <c r="R224" i="17" s="1"/>
  <c r="S224" i="17" s="1"/>
  <c r="Q13" i="17"/>
  <c r="AJ30" i="44"/>
  <c r="AJ147" i="44"/>
  <c r="AP62" i="44"/>
  <c r="AJ40" i="44"/>
  <c r="AJ104" i="44"/>
  <c r="AJ141" i="44"/>
  <c r="AP40" i="44"/>
  <c r="AJ53" i="44"/>
  <c r="N277" i="17"/>
  <c r="O277" i="17" s="1"/>
  <c r="P277" i="17" s="1"/>
  <c r="Q277" i="17" s="1"/>
  <c r="R277" i="17" s="1"/>
  <c r="S277" i="17" s="1"/>
  <c r="Q310" i="17"/>
  <c r="R310" i="17" s="1"/>
  <c r="S310" i="17" s="1"/>
  <c r="R185" i="17"/>
  <c r="S185" i="17" s="1"/>
  <c r="Q169" i="17"/>
  <c r="R169" i="17" s="1"/>
  <c r="S169" i="17" s="1"/>
  <c r="Q190" i="17"/>
  <c r="R190" i="17" s="1"/>
  <c r="S190" i="17" s="1"/>
  <c r="AP146" i="44"/>
  <c r="AJ133" i="44"/>
  <c r="AJ42" i="44"/>
  <c r="Q97" i="17"/>
  <c r="R97" i="17" s="1"/>
  <c r="S97" i="17" s="1"/>
  <c r="N98" i="17"/>
  <c r="O98" i="17" s="1"/>
  <c r="R332" i="17"/>
  <c r="O332" i="17"/>
  <c r="N20" i="17"/>
  <c r="O20" i="17" s="1"/>
  <c r="R83" i="42"/>
  <c r="S83" i="42" s="1"/>
  <c r="T83" i="42" s="1"/>
  <c r="AP67" i="44"/>
  <c r="AP37" i="44"/>
  <c r="AP86" i="44"/>
  <c r="AJ16" i="44"/>
  <c r="AP139" i="44"/>
  <c r="AP45" i="44"/>
  <c r="AJ19" i="44"/>
  <c r="AP138" i="44"/>
  <c r="AJ73" i="44"/>
  <c r="AJ57" i="44"/>
  <c r="AP46" i="44"/>
  <c r="Q23" i="17"/>
  <c r="R23" i="17" s="1"/>
  <c r="S23" i="17" s="1"/>
  <c r="AP56" i="44"/>
  <c r="AJ68" i="44"/>
  <c r="O167" i="42"/>
  <c r="AP70" i="44"/>
  <c r="AJ138" i="44"/>
  <c r="AP15" i="44"/>
  <c r="R287" i="17"/>
  <c r="S287" i="17" s="1"/>
  <c r="AJ64" i="44"/>
  <c r="AJ132" i="44"/>
  <c r="AJ85" i="44"/>
  <c r="AJ105" i="44"/>
  <c r="AP101" i="44"/>
  <c r="AJ151" i="44"/>
  <c r="AP61" i="44"/>
  <c r="Q63" i="17"/>
  <c r="R63" i="17" s="1"/>
  <c r="S63" i="17" s="1"/>
  <c r="R270" i="17"/>
  <c r="S270" i="17" s="1"/>
  <c r="N294" i="17"/>
  <c r="O294" i="17" s="1"/>
  <c r="P294" i="17" s="1"/>
  <c r="Q294" i="17" s="1"/>
  <c r="R294" i="17" s="1"/>
  <c r="S294" i="17" s="1"/>
  <c r="Q308" i="39"/>
  <c r="R308" i="39" s="1"/>
  <c r="Q58" i="17"/>
  <c r="R58" i="17" s="1"/>
  <c r="S58" i="17" s="1"/>
  <c r="Q56" i="17"/>
  <c r="R56" i="17" s="1"/>
  <c r="S56" i="17" s="1"/>
  <c r="Q59" i="17"/>
  <c r="R59" i="17" s="1"/>
  <c r="S59" i="17" s="1"/>
  <c r="Q157" i="17"/>
  <c r="R157" i="17" s="1"/>
  <c r="S157" i="17" s="1"/>
  <c r="AP44" i="44"/>
  <c r="AJ44" i="44"/>
  <c r="AJ17" i="44"/>
  <c r="AP17" i="44"/>
  <c r="AP112" i="44"/>
  <c r="AJ112" i="44"/>
  <c r="AJ83" i="44"/>
  <c r="AP83" i="44"/>
  <c r="AP148" i="44"/>
  <c r="AJ148" i="44"/>
  <c r="AJ59" i="44"/>
  <c r="AP59" i="44"/>
  <c r="AJ128" i="44"/>
  <c r="AP128" i="44"/>
  <c r="AJ71" i="44"/>
  <c r="AP71" i="44"/>
  <c r="AP136" i="44"/>
  <c r="AJ136" i="44"/>
  <c r="AJ94" i="44"/>
  <c r="AJ13" i="44"/>
  <c r="AP34" i="44"/>
  <c r="AP35" i="44"/>
  <c r="AP27" i="44"/>
  <c r="AJ27" i="44"/>
  <c r="N228" i="17"/>
  <c r="O228" i="17" s="1"/>
  <c r="P228" i="17" s="1"/>
  <c r="Q228" i="17" s="1"/>
  <c r="R228" i="17" s="1"/>
  <c r="S228" i="17" s="1"/>
  <c r="N288" i="17"/>
  <c r="O288" i="17" s="1"/>
  <c r="P288" i="17" s="1"/>
  <c r="Q288" i="17" s="1"/>
  <c r="R288" i="17" s="1"/>
  <c r="S288" i="17" s="1"/>
  <c r="R298" i="17"/>
  <c r="S298" i="17" s="1"/>
  <c r="AJ76" i="44"/>
  <c r="AJ75" i="44"/>
  <c r="AP75" i="44"/>
  <c r="AP125" i="44"/>
  <c r="AJ125" i="44"/>
  <c r="AP29" i="44"/>
  <c r="AJ29" i="44"/>
  <c r="AP78" i="44"/>
  <c r="AJ78" i="44"/>
  <c r="N327" i="17"/>
  <c r="O327" i="17" s="1"/>
  <c r="P327" i="17" s="1"/>
  <c r="Q327" i="17" s="1"/>
  <c r="R327" i="17" s="1"/>
  <c r="S327" i="17" s="1"/>
  <c r="N29" i="17"/>
  <c r="O29" i="17" s="1"/>
  <c r="P29" i="17" s="1"/>
  <c r="Q29" i="17" s="1"/>
  <c r="R29" i="17" s="1"/>
  <c r="S29" i="17" s="1"/>
  <c r="J225" i="17"/>
  <c r="K225" i="17" s="1"/>
  <c r="P136" i="42"/>
  <c r="Q238" i="17"/>
  <c r="R238" i="17" s="1"/>
  <c r="S238" i="17" s="1"/>
  <c r="Q285" i="17"/>
  <c r="R285" i="17" s="1"/>
  <c r="S285" i="17" s="1"/>
  <c r="Q47" i="17"/>
  <c r="R47" i="17" s="1"/>
  <c r="S47" i="17" s="1"/>
  <c r="Q117" i="17"/>
  <c r="R117" i="17" s="1"/>
  <c r="S117" i="17" s="1"/>
  <c r="Q284" i="17"/>
  <c r="R284" i="17" s="1"/>
  <c r="S284" i="17" s="1"/>
  <c r="Q49" i="17"/>
  <c r="R49" i="17" s="1"/>
  <c r="S49" i="17" s="1"/>
  <c r="Q197" i="17"/>
  <c r="R197" i="17" s="1"/>
  <c r="S197" i="17" s="1"/>
  <c r="Q17" i="17"/>
  <c r="R17" i="17" s="1"/>
  <c r="S17" i="17" s="1"/>
  <c r="Q143" i="17"/>
  <c r="R143" i="17" s="1"/>
  <c r="S143" i="17" s="1"/>
  <c r="Q51" i="17"/>
  <c r="R51" i="17" s="1"/>
  <c r="S51" i="17" s="1"/>
  <c r="Q113" i="17"/>
  <c r="R113" i="17" s="1"/>
  <c r="S113" i="17" s="1"/>
  <c r="R84" i="42"/>
  <c r="S84" i="42" s="1"/>
  <c r="T84" i="42" s="1"/>
  <c r="R98" i="42"/>
  <c r="S98" i="42" s="1"/>
  <c r="T98" i="42" s="1"/>
  <c r="P441" i="39"/>
  <c r="Q441" i="39" s="1"/>
  <c r="R441" i="39" s="1"/>
  <c r="P134" i="39"/>
  <c r="Q134" i="39" s="1"/>
  <c r="R134" i="39" s="1"/>
  <c r="Q174" i="17"/>
  <c r="R174" i="17" s="1"/>
  <c r="S174" i="17" s="1"/>
  <c r="Q299" i="17"/>
  <c r="R299" i="17" s="1"/>
  <c r="S299" i="17" s="1"/>
  <c r="Q40" i="17"/>
  <c r="R40" i="17" s="1"/>
  <c r="S40" i="17" s="1"/>
  <c r="Q57" i="17"/>
  <c r="R57" i="17" s="1"/>
  <c r="S57" i="17" s="1"/>
  <c r="Q42" i="17"/>
  <c r="R42" i="17" s="1"/>
  <c r="S42" i="17" s="1"/>
  <c r="Q199" i="17"/>
  <c r="R199" i="17" s="1"/>
  <c r="S199" i="17" s="1"/>
  <c r="Q156" i="17"/>
  <c r="R156" i="17" s="1"/>
  <c r="S156" i="17" s="1"/>
  <c r="Q194" i="17"/>
  <c r="R194" i="17" s="1"/>
  <c r="S194" i="17" s="1"/>
  <c r="Q48" i="17"/>
  <c r="R48" i="17" s="1"/>
  <c r="S48" i="17" s="1"/>
  <c r="Q43" i="17"/>
  <c r="R43" i="17" s="1"/>
  <c r="S43" i="17" s="1"/>
  <c r="Q146" i="17"/>
  <c r="R146" i="17" s="1"/>
  <c r="S146" i="17" s="1"/>
  <c r="Q52" i="17"/>
  <c r="R52" i="17" s="1"/>
  <c r="S52" i="17" s="1"/>
  <c r="Q45" i="17"/>
  <c r="R45" i="17" s="1"/>
  <c r="S45" i="17" s="1"/>
  <c r="Q328" i="17"/>
  <c r="R328" i="17" s="1"/>
  <c r="S328" i="17" s="1"/>
  <c r="Q115" i="17"/>
  <c r="R115" i="17" s="1"/>
  <c r="S115" i="17" s="1"/>
  <c r="Q114" i="17"/>
  <c r="R114" i="17" s="1"/>
  <c r="S114" i="17" s="1"/>
  <c r="AN128" i="43"/>
  <c r="AR128" i="43" s="1"/>
  <c r="AN20" i="43"/>
  <c r="AR20" i="43" s="1"/>
  <c r="AN51" i="43"/>
  <c r="AR51" i="43" s="1"/>
  <c r="AN15" i="43"/>
  <c r="AR15" i="43" s="1"/>
  <c r="AN178" i="43"/>
  <c r="AR178" i="43" s="1"/>
  <c r="Q175" i="17"/>
  <c r="R175" i="17" s="1"/>
  <c r="S175" i="17" s="1"/>
  <c r="AN29" i="43"/>
  <c r="AR29" i="43"/>
  <c r="Q54" i="17"/>
  <c r="R54" i="17" s="1"/>
  <c r="S54" i="17" s="1"/>
  <c r="M111" i="42"/>
  <c r="N111" i="42" s="1"/>
  <c r="O111" i="42" s="1"/>
  <c r="Q111" i="42" s="1"/>
  <c r="N191" i="17"/>
  <c r="O191" i="17" s="1"/>
  <c r="Q191" i="17"/>
  <c r="R191" i="17" s="1"/>
  <c r="S191" i="17" s="1"/>
  <c r="Q38" i="17"/>
  <c r="R38" i="17" s="1"/>
  <c r="S38" i="17" s="1"/>
  <c r="M139" i="17"/>
  <c r="N139" i="17" s="1"/>
  <c r="O139" i="17" s="1"/>
  <c r="M308" i="17"/>
  <c r="N308" i="17" s="1"/>
  <c r="O308" i="17" s="1"/>
  <c r="P308" i="17" s="1"/>
  <c r="N334" i="17"/>
  <c r="O334" i="17" s="1"/>
  <c r="Q334" i="17"/>
  <c r="R334" i="17" s="1"/>
  <c r="S334" i="17" s="1"/>
  <c r="AB260" i="43"/>
  <c r="AC260" i="43"/>
  <c r="M267" i="17"/>
  <c r="M94" i="17"/>
  <c r="N94" i="17" s="1"/>
  <c r="O94" i="17" s="1"/>
  <c r="N314" i="17"/>
  <c r="Q314" i="17"/>
  <c r="N232" i="17"/>
  <c r="O232" i="17" s="1"/>
  <c r="P232" i="17" s="1"/>
  <c r="N89" i="17"/>
  <c r="O89" i="17" s="1"/>
  <c r="Q89" i="17"/>
  <c r="R89" i="17" s="1"/>
  <c r="S89" i="17" s="1"/>
  <c r="Q151" i="17"/>
  <c r="R151" i="17" s="1"/>
  <c r="S151" i="17" s="1"/>
  <c r="AL55" i="43"/>
  <c r="AP55" i="43"/>
  <c r="V35" i="43"/>
  <c r="AL35" i="43" s="1"/>
  <c r="T35" i="43"/>
  <c r="AL14" i="43"/>
  <c r="AJ77" i="43"/>
  <c r="AN160" i="43"/>
  <c r="AR160" i="43" s="1"/>
  <c r="AN21" i="43"/>
  <c r="AR21" i="43" s="1"/>
  <c r="AN28" i="43"/>
  <c r="AR28" i="43" s="1"/>
  <c r="AN174" i="43"/>
  <c r="AR174" i="43"/>
  <c r="AN136" i="43"/>
  <c r="AR136" i="43" s="1"/>
  <c r="AN123" i="43"/>
  <c r="AR123" i="43"/>
  <c r="AN49" i="43"/>
  <c r="AR49" i="43" s="1"/>
  <c r="AR73" i="43"/>
  <c r="AN43" i="43"/>
  <c r="AR43" i="43" s="1"/>
  <c r="Q184" i="17"/>
  <c r="R184" i="17" s="1"/>
  <c r="S184" i="17" s="1"/>
  <c r="Q186" i="17"/>
  <c r="R186" i="17" s="1"/>
  <c r="S186" i="17" s="1"/>
  <c r="Q53" i="17"/>
  <c r="R53" i="17" s="1"/>
  <c r="S53" i="17" s="1"/>
  <c r="N138" i="17"/>
  <c r="O138" i="17" s="1"/>
  <c r="Q138" i="17"/>
  <c r="R138" i="17" s="1"/>
  <c r="S138" i="17" s="1"/>
  <c r="N307" i="17"/>
  <c r="Q307" i="17"/>
  <c r="AB227" i="43"/>
  <c r="AC227" i="43" s="1"/>
  <c r="Q145" i="43"/>
  <c r="N85" i="17"/>
  <c r="Q85" i="17"/>
  <c r="M315" i="17"/>
  <c r="N315" i="17" s="1"/>
  <c r="O315" i="17" s="1"/>
  <c r="P315" i="17" s="1"/>
  <c r="N191" i="43"/>
  <c r="N99" i="17"/>
  <c r="O99" i="17" s="1"/>
  <c r="Q99" i="17"/>
  <c r="R99" i="17" s="1"/>
  <c r="S99" i="17" s="1"/>
  <c r="M90" i="17"/>
  <c r="N90" i="17" s="1"/>
  <c r="O90" i="17" s="1"/>
  <c r="N188" i="17"/>
  <c r="O188" i="17" s="1"/>
  <c r="Q188" i="17"/>
  <c r="R188" i="17" s="1"/>
  <c r="S188" i="17" s="1"/>
  <c r="AB18" i="43"/>
  <c r="AC18" i="43"/>
  <c r="AB14" i="43"/>
  <c r="AC14" i="43" s="1"/>
  <c r="AC105" i="43"/>
  <c r="AR105" i="43" s="1"/>
  <c r="AR137" i="43"/>
  <c r="AN137" i="43"/>
  <c r="AC169" i="43"/>
  <c r="AN171" i="43"/>
  <c r="AR171" i="43" s="1"/>
  <c r="AN90" i="43"/>
  <c r="AR90" i="43" s="1"/>
  <c r="AR103" i="43"/>
  <c r="AB45" i="43"/>
  <c r="AC45" i="43" s="1"/>
  <c r="M85" i="42"/>
  <c r="N85" i="42" s="1"/>
  <c r="O85" i="42" s="1"/>
  <c r="P85" i="42" s="1"/>
  <c r="N15" i="17"/>
  <c r="O15" i="17" s="1"/>
  <c r="Q15" i="17"/>
  <c r="R15" i="17" s="1"/>
  <c r="S15" i="17" s="1"/>
  <c r="Q185" i="43"/>
  <c r="R185" i="43" s="1"/>
  <c r="R187" i="43" s="1"/>
  <c r="AJ185" i="43"/>
  <c r="AJ187" i="43" s="1"/>
  <c r="P187" i="43"/>
  <c r="T223" i="43"/>
  <c r="V223" i="43"/>
  <c r="AB223" i="43" s="1"/>
  <c r="AC223" i="43" s="1"/>
  <c r="M86" i="17"/>
  <c r="N86" i="17" s="1"/>
  <c r="O86" i="17" s="1"/>
  <c r="Q252" i="17"/>
  <c r="R252" i="17" s="1"/>
  <c r="S252" i="17" s="1"/>
  <c r="N291" i="17"/>
  <c r="O291" i="17" s="1"/>
  <c r="Q291" i="17"/>
  <c r="R291" i="17" s="1"/>
  <c r="S291" i="17" s="1"/>
  <c r="M100" i="17"/>
  <c r="N100" i="17" s="1"/>
  <c r="Q114" i="43"/>
  <c r="M246" i="17"/>
  <c r="T19" i="43"/>
  <c r="V19" i="43"/>
  <c r="AL19" i="43" s="1"/>
  <c r="AB127" i="43"/>
  <c r="M170" i="17"/>
  <c r="L171" i="17"/>
  <c r="M171" i="17" s="1"/>
  <c r="N171" i="17" s="1"/>
  <c r="O171" i="17" s="1"/>
  <c r="V33" i="43"/>
  <c r="T33" i="43"/>
  <c r="AB58" i="43"/>
  <c r="AP58" i="43" s="1"/>
  <c r="V16" i="43"/>
  <c r="T16" i="43"/>
  <c r="AN38" i="43"/>
  <c r="AR38" i="43"/>
  <c r="AP65" i="43"/>
  <c r="AR65" i="43" s="1"/>
  <c r="AN172" i="43"/>
  <c r="AR172" i="43" s="1"/>
  <c r="AN159" i="43"/>
  <c r="AR159" i="43"/>
  <c r="AN157" i="43"/>
  <c r="AR157" i="43" s="1"/>
  <c r="AN120" i="43"/>
  <c r="AR120" i="43" s="1"/>
  <c r="AN121" i="43"/>
  <c r="AR121" i="43" s="1"/>
  <c r="Q134" i="17"/>
  <c r="R134" i="17" s="1"/>
  <c r="S134" i="17" s="1"/>
  <c r="M113" i="42"/>
  <c r="N113" i="42" s="1"/>
  <c r="O113" i="42" s="1"/>
  <c r="P113" i="42" s="1"/>
  <c r="Q55" i="17"/>
  <c r="R55" i="17" s="1"/>
  <c r="S55" i="17" s="1"/>
  <c r="N274" i="17"/>
  <c r="O274" i="17" s="1"/>
  <c r="P274" i="17" s="1"/>
  <c r="Q33" i="17"/>
  <c r="R33" i="17" s="1"/>
  <c r="S33" i="17" s="1"/>
  <c r="AB266" i="43"/>
  <c r="AC266" i="43" s="1"/>
  <c r="M16" i="17"/>
  <c r="N16" i="17" s="1"/>
  <c r="O16" i="17" s="1"/>
  <c r="N273" i="17"/>
  <c r="Q273" i="17"/>
  <c r="R273" i="17" s="1"/>
  <c r="S273" i="17" s="1"/>
  <c r="M136" i="17"/>
  <c r="L137" i="17"/>
  <c r="M329" i="17"/>
  <c r="N329" i="17" s="1"/>
  <c r="O329" i="17" s="1"/>
  <c r="P329" i="17" s="1"/>
  <c r="Q147" i="17"/>
  <c r="R147" i="17" s="1"/>
  <c r="S147" i="17" s="1"/>
  <c r="N93" i="17"/>
  <c r="O93" i="17" s="1"/>
  <c r="Q93" i="17"/>
  <c r="R93" i="17" s="1"/>
  <c r="S93" i="17" s="1"/>
  <c r="V180" i="43"/>
  <c r="T180" i="43"/>
  <c r="Q162" i="43"/>
  <c r="R162" i="43" s="1"/>
  <c r="P164" i="43"/>
  <c r="AJ162" i="43"/>
  <c r="AL175" i="43"/>
  <c r="AB47" i="43"/>
  <c r="AC47" i="43" s="1"/>
  <c r="AB19" i="43"/>
  <c r="AC19" i="43" s="1"/>
  <c r="T45" i="43"/>
  <c r="AL16" i="43"/>
  <c r="AP71" i="43"/>
  <c r="AC71" i="43"/>
  <c r="AR71" i="43" s="1"/>
  <c r="AP63" i="43"/>
  <c r="AR63" i="43" s="1"/>
  <c r="AN54" i="43"/>
  <c r="AR54" i="43" s="1"/>
  <c r="AN84" i="43"/>
  <c r="AR84" i="43" s="1"/>
  <c r="AN156" i="43"/>
  <c r="AN139" i="43"/>
  <c r="AR139" i="43" s="1"/>
  <c r="AN41" i="43"/>
  <c r="AR41" i="43"/>
  <c r="Q290" i="17"/>
  <c r="R290" i="17" s="1"/>
  <c r="S290" i="17" s="1"/>
  <c r="Q113" i="42" l="1"/>
  <c r="Q85" i="42"/>
  <c r="Q63" i="42"/>
  <c r="R63" i="42" s="1"/>
  <c r="S63" i="42" s="1"/>
  <c r="T63" i="42" s="1"/>
  <c r="O100" i="17"/>
  <c r="P100" i="17"/>
  <c r="P171" i="17"/>
  <c r="Q171" i="17" s="1"/>
  <c r="R171" i="17" s="1"/>
  <c r="S171" i="17" s="1"/>
  <c r="P14" i="17"/>
  <c r="P31" i="17"/>
  <c r="Q31" i="17" s="1"/>
  <c r="R31" i="17" s="1"/>
  <c r="S31" i="17" s="1"/>
  <c r="P102" i="17"/>
  <c r="Q102" i="17" s="1"/>
  <c r="R102" i="17" s="1"/>
  <c r="S102" i="17" s="1"/>
  <c r="P94" i="17"/>
  <c r="P24" i="17"/>
  <c r="Q24" i="17" s="1"/>
  <c r="R24" i="17" s="1"/>
  <c r="S24" i="17" s="1"/>
  <c r="P90" i="17"/>
  <c r="P173" i="17"/>
  <c r="Q173" i="17" s="1"/>
  <c r="R173" i="17" s="1"/>
  <c r="S173" i="17" s="1"/>
  <c r="P18" i="17"/>
  <c r="Q18" i="17" s="1"/>
  <c r="R18" i="17" s="1"/>
  <c r="S18" i="17" s="1"/>
  <c r="P96" i="17"/>
  <c r="Q96" i="17" s="1"/>
  <c r="R96" i="17" s="1"/>
  <c r="S96" i="17" s="1"/>
  <c r="P139" i="17"/>
  <c r="P88" i="17"/>
  <c r="Q88" i="17" s="1"/>
  <c r="R88" i="17" s="1"/>
  <c r="S88" i="17" s="1"/>
  <c r="P34" i="17"/>
  <c r="Q34" i="17" s="1"/>
  <c r="R34" i="17" s="1"/>
  <c r="S34" i="17" s="1"/>
  <c r="P20" i="17"/>
  <c r="Q20" i="17" s="1"/>
  <c r="R20" i="17" s="1"/>
  <c r="S20" i="17" s="1"/>
  <c r="P86" i="17"/>
  <c r="P98" i="17"/>
  <c r="Q98" i="17" s="1"/>
  <c r="R98" i="17" s="1"/>
  <c r="S98" i="17" s="1"/>
  <c r="P141" i="17"/>
  <c r="Q141" i="17" s="1"/>
  <c r="R141" i="17" s="1"/>
  <c r="S141" i="17" s="1"/>
  <c r="P135" i="17"/>
  <c r="P16" i="17"/>
  <c r="L176" i="17"/>
  <c r="M176" i="17" s="1"/>
  <c r="N176" i="17" s="1"/>
  <c r="P176" i="17" s="1"/>
  <c r="Q140" i="39"/>
  <c r="R140" i="39" s="1"/>
  <c r="Q373" i="39"/>
  <c r="R373" i="39" s="1"/>
  <c r="Q262" i="39"/>
  <c r="R262" i="39" s="1"/>
  <c r="Q52" i="39"/>
  <c r="R52" i="39" s="1"/>
  <c r="Q385" i="39"/>
  <c r="R385" i="39" s="1"/>
  <c r="Q155" i="39"/>
  <c r="R155" i="39" s="1"/>
  <c r="R18" i="42"/>
  <c r="Q25" i="42"/>
  <c r="E47" i="26" s="1"/>
  <c r="AF47" i="26" s="1"/>
  <c r="C27" i="26"/>
  <c r="AC27" i="26"/>
  <c r="S37" i="42"/>
  <c r="T37" i="42" s="1"/>
  <c r="S117" i="42"/>
  <c r="T117" i="42" s="1"/>
  <c r="Q50" i="42"/>
  <c r="E43" i="26" s="1"/>
  <c r="AF43" i="26" s="1"/>
  <c r="N126" i="42"/>
  <c r="N104" i="42"/>
  <c r="D39" i="26" s="1"/>
  <c r="AE39" i="26" s="1"/>
  <c r="Q480" i="39"/>
  <c r="R480" i="39" s="1"/>
  <c r="Q200" i="39"/>
  <c r="R200" i="39" s="1"/>
  <c r="Q220" i="39"/>
  <c r="R220" i="39" s="1"/>
  <c r="Q488" i="39"/>
  <c r="R488" i="39" s="1"/>
  <c r="Q256" i="39"/>
  <c r="R256" i="39" s="1"/>
  <c r="Q358" i="39"/>
  <c r="R358" i="39" s="1"/>
  <c r="Q347" i="39"/>
  <c r="R347" i="39" s="1"/>
  <c r="Q500" i="39"/>
  <c r="R500" i="39" s="1"/>
  <c r="Q357" i="39"/>
  <c r="R357" i="39" s="1"/>
  <c r="Q274" i="39"/>
  <c r="R274" i="39" s="1"/>
  <c r="Q484" i="39"/>
  <c r="R484" i="39" s="1"/>
  <c r="Q355" i="39"/>
  <c r="R355" i="39" s="1"/>
  <c r="Q473" i="39"/>
  <c r="R473" i="39" s="1"/>
  <c r="Q203" i="39"/>
  <c r="R203" i="39" s="1"/>
  <c r="S119" i="42"/>
  <c r="T119" i="42" s="1"/>
  <c r="Q260" i="39"/>
  <c r="R260" i="39" s="1"/>
  <c r="Q381" i="39"/>
  <c r="R381" i="39" s="1"/>
  <c r="Q339" i="39"/>
  <c r="R339" i="39" s="1"/>
  <c r="Q476" i="39"/>
  <c r="R476" i="39" s="1"/>
  <c r="Q464" i="39"/>
  <c r="R464" i="39" s="1"/>
  <c r="S151" i="42"/>
  <c r="T151" i="42" s="1"/>
  <c r="R28" i="44"/>
  <c r="V28" i="44" s="1"/>
  <c r="AL28" i="44" s="1"/>
  <c r="X15" i="44"/>
  <c r="Y15" i="44" s="1"/>
  <c r="AA15" i="44" s="1"/>
  <c r="Q468" i="39"/>
  <c r="R468" i="39" s="1"/>
  <c r="X73" i="44"/>
  <c r="Y73" i="44" s="1"/>
  <c r="AA73" i="44" s="1"/>
  <c r="Q228" i="39"/>
  <c r="R228" i="39" s="1"/>
  <c r="Q450" i="39"/>
  <c r="R450" i="39" s="1"/>
  <c r="Q364" i="39"/>
  <c r="R364" i="39" s="1"/>
  <c r="Q271" i="39"/>
  <c r="R271" i="39" s="1"/>
  <c r="Q269" i="39"/>
  <c r="R269" i="39" s="1"/>
  <c r="Q272" i="39"/>
  <c r="R272" i="39" s="1"/>
  <c r="D23" i="26"/>
  <c r="D35" i="26" s="1"/>
  <c r="Q371" i="39"/>
  <c r="R371" i="39" s="1"/>
  <c r="Q240" i="39"/>
  <c r="R240" i="39" s="1"/>
  <c r="Q283" i="39"/>
  <c r="R283" i="39" s="1"/>
  <c r="Q360" i="39"/>
  <c r="R360" i="39" s="1"/>
  <c r="R154" i="42"/>
  <c r="O333" i="39"/>
  <c r="E25" i="26" s="1"/>
  <c r="AF25" i="26" s="1"/>
  <c r="O191" i="39"/>
  <c r="E23" i="26" s="1"/>
  <c r="Q374" i="39"/>
  <c r="R374" i="39" s="1"/>
  <c r="P194" i="39"/>
  <c r="P333" i="39" s="1"/>
  <c r="F25" i="26" s="1"/>
  <c r="AG25" i="26" s="1"/>
  <c r="O411" i="39"/>
  <c r="E27" i="26" s="1"/>
  <c r="AF27" i="26" s="1"/>
  <c r="Q392" i="39"/>
  <c r="R392" i="39" s="1"/>
  <c r="P13" i="39"/>
  <c r="P191" i="39" s="1"/>
  <c r="F23" i="26" s="1"/>
  <c r="Q206" i="39"/>
  <c r="R206" i="39" s="1"/>
  <c r="Q460" i="39"/>
  <c r="R460" i="39" s="1"/>
  <c r="Q351" i="39"/>
  <c r="R351" i="39" s="1"/>
  <c r="Q501" i="39"/>
  <c r="R501" i="39" s="1"/>
  <c r="P337" i="39"/>
  <c r="P411" i="39" s="1"/>
  <c r="F27" i="26" s="1"/>
  <c r="AG27" i="26" s="1"/>
  <c r="O453" i="39"/>
  <c r="E29" i="26" s="1"/>
  <c r="AF29" i="26" s="1"/>
  <c r="Q210" i="39"/>
  <c r="R210" i="39" s="1"/>
  <c r="Q202" i="39"/>
  <c r="R202" i="39" s="1"/>
  <c r="Q46" i="39"/>
  <c r="R46" i="39" s="1"/>
  <c r="Q472" i="39"/>
  <c r="R472" i="39" s="1"/>
  <c r="Q208" i="39"/>
  <c r="R208" i="39" s="1"/>
  <c r="P109" i="42"/>
  <c r="O126" i="42"/>
  <c r="P304" i="17"/>
  <c r="Q304" i="17" s="1"/>
  <c r="R304" i="17" s="1"/>
  <c r="S304" i="17" s="1"/>
  <c r="O104" i="42"/>
  <c r="O511" i="39"/>
  <c r="E31" i="26" s="1"/>
  <c r="AF31" i="26" s="1"/>
  <c r="R160" i="42"/>
  <c r="F49" i="26" s="1"/>
  <c r="AG49" i="26" s="1"/>
  <c r="R50" i="42"/>
  <c r="F43" i="26" s="1"/>
  <c r="AG43" i="26" s="1"/>
  <c r="Q457" i="39"/>
  <c r="R457" i="39" s="1"/>
  <c r="P511" i="39"/>
  <c r="F31" i="26" s="1"/>
  <c r="AG31" i="26" s="1"/>
  <c r="S108" i="42"/>
  <c r="P453" i="39"/>
  <c r="F29" i="26" s="1"/>
  <c r="AG29" i="26" s="1"/>
  <c r="S54" i="42"/>
  <c r="T54" i="42" s="1"/>
  <c r="Q154" i="42"/>
  <c r="Q30" i="17"/>
  <c r="R30" i="17" s="1"/>
  <c r="S30" i="17" s="1"/>
  <c r="M178" i="17"/>
  <c r="D16" i="26" s="1"/>
  <c r="AE16" i="26" s="1"/>
  <c r="X196" i="44"/>
  <c r="Y196" i="44" s="1"/>
  <c r="AA196" i="44" s="1"/>
  <c r="AB196" i="44" s="1"/>
  <c r="AC196" i="44" s="1"/>
  <c r="R307" i="17"/>
  <c r="O307" i="17"/>
  <c r="S29" i="42"/>
  <c r="S157" i="42"/>
  <c r="X61" i="44"/>
  <c r="Y61" i="44" s="1"/>
  <c r="AA61" i="44" s="1"/>
  <c r="AB61" i="44" s="1"/>
  <c r="AC61" i="44" s="1"/>
  <c r="AN61" i="44" s="1"/>
  <c r="AR61" i="44" s="1"/>
  <c r="R98" i="44"/>
  <c r="V98" i="44" s="1"/>
  <c r="AL98" i="44" s="1"/>
  <c r="R102" i="44"/>
  <c r="T102" i="44" s="1"/>
  <c r="R200" i="44"/>
  <c r="T200" i="44" s="1"/>
  <c r="R74" i="44"/>
  <c r="T74" i="44" s="1"/>
  <c r="Q231" i="17"/>
  <c r="R231" i="17" s="1"/>
  <c r="S231" i="17" s="1"/>
  <c r="Q219" i="17"/>
  <c r="R219" i="17" s="1"/>
  <c r="S219" i="17" s="1"/>
  <c r="R114" i="44"/>
  <c r="T114" i="44" s="1"/>
  <c r="R68" i="44"/>
  <c r="V68" i="44" s="1"/>
  <c r="AL68" i="44" s="1"/>
  <c r="R143" i="44"/>
  <c r="T143" i="44" s="1"/>
  <c r="V55" i="44"/>
  <c r="AL55" i="44" s="1"/>
  <c r="V115" i="44"/>
  <c r="AL115" i="44" s="1"/>
  <c r="X127" i="44"/>
  <c r="Y127" i="44" s="1"/>
  <c r="AA127" i="44" s="1"/>
  <c r="R81" i="44"/>
  <c r="V81" i="44" s="1"/>
  <c r="AB81" i="44" s="1"/>
  <c r="AC81" i="44" s="1"/>
  <c r="AN81" i="44" s="1"/>
  <c r="AR81" i="44" s="1"/>
  <c r="X132" i="44"/>
  <c r="Y132" i="44" s="1"/>
  <c r="AA132" i="44" s="1"/>
  <c r="AB132" i="44" s="1"/>
  <c r="AC132" i="44" s="1"/>
  <c r="AN132" i="44" s="1"/>
  <c r="AR132" i="44" s="1"/>
  <c r="R125" i="44"/>
  <c r="V125" i="44" s="1"/>
  <c r="AB125" i="44" s="1"/>
  <c r="AC125" i="44" s="1"/>
  <c r="AN125" i="44" s="1"/>
  <c r="R57" i="44"/>
  <c r="V57" i="44" s="1"/>
  <c r="AL57" i="44" s="1"/>
  <c r="R189" i="44"/>
  <c r="T189" i="44" s="1"/>
  <c r="X112" i="44"/>
  <c r="Y112" i="44" s="1"/>
  <c r="AA112" i="44" s="1"/>
  <c r="AB112" i="44" s="1"/>
  <c r="AC112" i="44" s="1"/>
  <c r="X133" i="44"/>
  <c r="Y133" i="44" s="1"/>
  <c r="AA133" i="44" s="1"/>
  <c r="R62" i="44"/>
  <c r="T62" i="44" s="1"/>
  <c r="X31" i="44"/>
  <c r="Y31" i="44" s="1"/>
  <c r="AA31" i="44" s="1"/>
  <c r="X17" i="44"/>
  <c r="Y17" i="44" s="1"/>
  <c r="AA17" i="44" s="1"/>
  <c r="X149" i="44"/>
  <c r="Y149" i="44" s="1"/>
  <c r="AA149" i="44" s="1"/>
  <c r="AB149" i="44" s="1"/>
  <c r="AC149" i="44" s="1"/>
  <c r="AN149" i="44" s="1"/>
  <c r="AR149" i="44" s="1"/>
  <c r="R129" i="44"/>
  <c r="V129" i="44" s="1"/>
  <c r="AL129" i="44" s="1"/>
  <c r="R179" i="44"/>
  <c r="V179" i="44" s="1"/>
  <c r="AB179" i="44" s="1"/>
  <c r="AC179" i="44" s="1"/>
  <c r="X139" i="44"/>
  <c r="Y139" i="44" s="1"/>
  <c r="AA139" i="44" s="1"/>
  <c r="R101" i="44"/>
  <c r="V101" i="44" s="1"/>
  <c r="AL101" i="44" s="1"/>
  <c r="R206" i="44"/>
  <c r="T206" i="44" s="1"/>
  <c r="X88" i="44"/>
  <c r="Y88" i="44" s="1"/>
  <c r="AA88" i="44" s="1"/>
  <c r="X144" i="44"/>
  <c r="Y144" i="44" s="1"/>
  <c r="AA144" i="44" s="1"/>
  <c r="X188" i="44"/>
  <c r="Y188" i="44" s="1"/>
  <c r="AA188" i="44" s="1"/>
  <c r="AB188" i="44" s="1"/>
  <c r="AC188" i="44" s="1"/>
  <c r="X55" i="44"/>
  <c r="Y55" i="44" s="1"/>
  <c r="AA55" i="44" s="1"/>
  <c r="R180" i="44"/>
  <c r="V180" i="44" s="1"/>
  <c r="AB180" i="44" s="1"/>
  <c r="AC180" i="44" s="1"/>
  <c r="R93" i="44"/>
  <c r="V93" i="44" s="1"/>
  <c r="AL93" i="44" s="1"/>
  <c r="R97" i="44"/>
  <c r="V97" i="44" s="1"/>
  <c r="AB97" i="44" s="1"/>
  <c r="AC97" i="44" s="1"/>
  <c r="AN97" i="44" s="1"/>
  <c r="AR97" i="44" s="1"/>
  <c r="R153" i="44"/>
  <c r="T153" i="44" s="1"/>
  <c r="X84" i="44"/>
  <c r="Y84" i="44" s="1"/>
  <c r="AA84" i="44" s="1"/>
  <c r="R35" i="44"/>
  <c r="T35" i="44" s="1"/>
  <c r="R29" i="44"/>
  <c r="V29" i="44" s="1"/>
  <c r="AB29" i="44" s="1"/>
  <c r="AC29" i="44" s="1"/>
  <c r="AN29" i="44" s="1"/>
  <c r="X77" i="44"/>
  <c r="Y77" i="44" s="1"/>
  <c r="AA77" i="44" s="1"/>
  <c r="AB77" i="44" s="1"/>
  <c r="AC77" i="44" s="1"/>
  <c r="AN77" i="44" s="1"/>
  <c r="AR77" i="44" s="1"/>
  <c r="X13" i="44"/>
  <c r="Y13" i="44" s="1"/>
  <c r="R34" i="44"/>
  <c r="T34" i="44" s="1"/>
  <c r="R99" i="44"/>
  <c r="V99" i="44" s="1"/>
  <c r="AL99" i="44" s="1"/>
  <c r="X210" i="44"/>
  <c r="Y210" i="44" s="1"/>
  <c r="AA210" i="44" s="1"/>
  <c r="AB210" i="44" s="1"/>
  <c r="AC210" i="44" s="1"/>
  <c r="R60" i="44"/>
  <c r="T60" i="44" s="1"/>
  <c r="R30" i="44"/>
  <c r="V30" i="44" s="1"/>
  <c r="AB30" i="44" s="1"/>
  <c r="AC30" i="44" s="1"/>
  <c r="AN30" i="44" s="1"/>
  <c r="AR30" i="44" s="1"/>
  <c r="R41" i="44"/>
  <c r="V41" i="44" s="1"/>
  <c r="AL41" i="44" s="1"/>
  <c r="X203" i="44"/>
  <c r="Y203" i="44" s="1"/>
  <c r="AA203" i="44" s="1"/>
  <c r="R63" i="44"/>
  <c r="V63" i="44" s="1"/>
  <c r="AB63" i="44" s="1"/>
  <c r="AC63" i="44" s="1"/>
  <c r="AN63" i="44" s="1"/>
  <c r="AR63" i="44" s="1"/>
  <c r="X150" i="44"/>
  <c r="Y150" i="44" s="1"/>
  <c r="AA150" i="44" s="1"/>
  <c r="AB150" i="44" s="1"/>
  <c r="AC150" i="44" s="1"/>
  <c r="AN150" i="44" s="1"/>
  <c r="AR150" i="44" s="1"/>
  <c r="R37" i="44"/>
  <c r="V37" i="44" s="1"/>
  <c r="AL37" i="44" s="1"/>
  <c r="R124" i="44"/>
  <c r="T124" i="44" s="1"/>
  <c r="R152" i="44"/>
  <c r="V152" i="44" s="1"/>
  <c r="AL152" i="44" s="1"/>
  <c r="R80" i="44"/>
  <c r="T80" i="44" s="1"/>
  <c r="R194" i="44"/>
  <c r="V194" i="44" s="1"/>
  <c r="AB194" i="44" s="1"/>
  <c r="AC194" i="44" s="1"/>
  <c r="R113" i="44"/>
  <c r="T113" i="44" s="1"/>
  <c r="R44" i="44"/>
  <c r="T44" i="44" s="1"/>
  <c r="R65" i="44"/>
  <c r="V65" i="44" s="1"/>
  <c r="AB65" i="44" s="1"/>
  <c r="AC65" i="44" s="1"/>
  <c r="AN65" i="44" s="1"/>
  <c r="AR65" i="44" s="1"/>
  <c r="R204" i="44"/>
  <c r="T204" i="44" s="1"/>
  <c r="T116" i="44"/>
  <c r="X116" i="44" s="1"/>
  <c r="Y116" i="44" s="1"/>
  <c r="AA116" i="44" s="1"/>
  <c r="R20" i="44"/>
  <c r="V20" i="44" s="1"/>
  <c r="AL20" i="44" s="1"/>
  <c r="R103" i="44"/>
  <c r="V103" i="44" s="1"/>
  <c r="AL103" i="44" s="1"/>
  <c r="X207" i="44"/>
  <c r="Y207" i="44" s="1"/>
  <c r="AA207" i="44" s="1"/>
  <c r="X83" i="44"/>
  <c r="Y83" i="44" s="1"/>
  <c r="AA83" i="44" s="1"/>
  <c r="AB83" i="44" s="1"/>
  <c r="AC83" i="44" s="1"/>
  <c r="AN83" i="44" s="1"/>
  <c r="X131" i="44"/>
  <c r="Y131" i="44" s="1"/>
  <c r="AA131" i="44" s="1"/>
  <c r="AB131" i="44" s="1"/>
  <c r="AC131" i="44" s="1"/>
  <c r="AN131" i="44" s="1"/>
  <c r="X72" i="44"/>
  <c r="Y72" i="44" s="1"/>
  <c r="AA72" i="44" s="1"/>
  <c r="X128" i="44"/>
  <c r="Y128" i="44" s="1"/>
  <c r="AA128" i="44" s="1"/>
  <c r="AB128" i="44" s="1"/>
  <c r="AC128" i="44" s="1"/>
  <c r="AN128" i="44" s="1"/>
  <c r="AR128" i="44" s="1"/>
  <c r="X70" i="44"/>
  <c r="Y70" i="44" s="1"/>
  <c r="AA70" i="44" s="1"/>
  <c r="AB70" i="44" s="1"/>
  <c r="AC70" i="44" s="1"/>
  <c r="AN70" i="44" s="1"/>
  <c r="AR70" i="44" s="1"/>
  <c r="R13" i="42"/>
  <c r="R15" i="42" s="1"/>
  <c r="F45" i="26" s="1"/>
  <c r="AG45" i="26" s="1"/>
  <c r="R39" i="44"/>
  <c r="T39" i="44" s="1"/>
  <c r="R18" i="44"/>
  <c r="T18" i="44" s="1"/>
  <c r="X54" i="44"/>
  <c r="Y54" i="44" s="1"/>
  <c r="AA54" i="44" s="1"/>
  <c r="R36" i="44"/>
  <c r="V36" i="44" s="1"/>
  <c r="R147" i="44"/>
  <c r="V147" i="44" s="1"/>
  <c r="AB147" i="44" s="1"/>
  <c r="AC147" i="44" s="1"/>
  <c r="X135" i="44"/>
  <c r="Y135" i="44" s="1"/>
  <c r="AA135" i="44" s="1"/>
  <c r="AB135" i="44" s="1"/>
  <c r="AC135" i="44" s="1"/>
  <c r="AN135" i="44" s="1"/>
  <c r="AR135" i="44" s="1"/>
  <c r="R12" i="44"/>
  <c r="T12" i="44" s="1"/>
  <c r="X185" i="44"/>
  <c r="Y185" i="44" s="1"/>
  <c r="AA185" i="44" s="1"/>
  <c r="AB185" i="44" s="1"/>
  <c r="AC185" i="44" s="1"/>
  <c r="X195" i="44"/>
  <c r="Y195" i="44" s="1"/>
  <c r="AA195" i="44" s="1"/>
  <c r="Q172" i="17"/>
  <c r="R172" i="17" s="1"/>
  <c r="S172" i="17" s="1"/>
  <c r="R100" i="44"/>
  <c r="V100" i="44" s="1"/>
  <c r="AB100" i="44" s="1"/>
  <c r="AC100" i="44" s="1"/>
  <c r="AN100" i="44" s="1"/>
  <c r="AR100" i="44" s="1"/>
  <c r="X181" i="44"/>
  <c r="Y181" i="44" s="1"/>
  <c r="AA181" i="44" s="1"/>
  <c r="AB181" i="44" s="1"/>
  <c r="AC181" i="44" s="1"/>
  <c r="R33" i="44"/>
  <c r="V33" i="44" s="1"/>
  <c r="AL33" i="44" s="1"/>
  <c r="X199" i="44"/>
  <c r="Y199" i="44" s="1"/>
  <c r="AA199" i="44" s="1"/>
  <c r="X138" i="44"/>
  <c r="Y138" i="44" s="1"/>
  <c r="AA138" i="44" s="1"/>
  <c r="AB138" i="44" s="1"/>
  <c r="AC138" i="44" s="1"/>
  <c r="AN138" i="44" s="1"/>
  <c r="AR138" i="44" s="1"/>
  <c r="X148" i="44"/>
  <c r="Y148" i="44" s="1"/>
  <c r="AA148" i="44" s="1"/>
  <c r="AB148" i="44" s="1"/>
  <c r="AC148" i="44" s="1"/>
  <c r="AN148" i="44" s="1"/>
  <c r="X59" i="44"/>
  <c r="Y59" i="44" s="1"/>
  <c r="AA59" i="44" s="1"/>
  <c r="R126" i="44"/>
  <c r="V126" i="44" s="1"/>
  <c r="AL126" i="44" s="1"/>
  <c r="X193" i="44"/>
  <c r="Y193" i="44" s="1"/>
  <c r="AA193" i="44" s="1"/>
  <c r="R105" i="44"/>
  <c r="V105" i="44" s="1"/>
  <c r="AL105" i="44" s="1"/>
  <c r="R89" i="44"/>
  <c r="T89" i="44" s="1"/>
  <c r="V117" i="44"/>
  <c r="AL117" i="44" s="1"/>
  <c r="X145" i="44"/>
  <c r="Y145" i="44" s="1"/>
  <c r="AA145" i="44" s="1"/>
  <c r="AB145" i="44" s="1"/>
  <c r="AC145" i="44" s="1"/>
  <c r="AN145" i="44" s="1"/>
  <c r="AR145" i="44" s="1"/>
  <c r="R79" i="44"/>
  <c r="T79" i="44" s="1"/>
  <c r="X117" i="44"/>
  <c r="Y117" i="44" s="1"/>
  <c r="AA117" i="44" s="1"/>
  <c r="X140" i="44"/>
  <c r="Y140" i="44" s="1"/>
  <c r="AA140" i="44" s="1"/>
  <c r="R187" i="44"/>
  <c r="V187" i="44" s="1"/>
  <c r="AB187" i="44" s="1"/>
  <c r="AC187" i="44" s="1"/>
  <c r="X82" i="44"/>
  <c r="Y82" i="44" s="1"/>
  <c r="AA82" i="44" s="1"/>
  <c r="X27" i="44"/>
  <c r="Y27" i="44" s="1"/>
  <c r="AA27" i="44" s="1"/>
  <c r="AB27" i="44" s="1"/>
  <c r="AC27" i="44" s="1"/>
  <c r="AN27" i="44" s="1"/>
  <c r="R141" i="44"/>
  <c r="T141" i="44" s="1"/>
  <c r="X32" i="44"/>
  <c r="Y32" i="44" s="1"/>
  <c r="AA32" i="44" s="1"/>
  <c r="R202" i="44"/>
  <c r="T202" i="44" s="1"/>
  <c r="R95" i="44"/>
  <c r="V95" i="44" s="1"/>
  <c r="AB95" i="44" s="1"/>
  <c r="AC95" i="44" s="1"/>
  <c r="AN95" i="44" s="1"/>
  <c r="AR95" i="44" s="1"/>
  <c r="X66" i="44"/>
  <c r="Y66" i="44" s="1"/>
  <c r="AA66" i="44" s="1"/>
  <c r="R46" i="44"/>
  <c r="T46" i="44" s="1"/>
  <c r="Q319" i="17"/>
  <c r="R319" i="17" s="1"/>
  <c r="S319" i="17" s="1"/>
  <c r="R86" i="44"/>
  <c r="T86" i="44" s="1"/>
  <c r="R137" i="44"/>
  <c r="V137" i="44" s="1"/>
  <c r="AB137" i="44" s="1"/>
  <c r="AC137" i="44" s="1"/>
  <c r="AN137" i="44" s="1"/>
  <c r="AR137" i="44" s="1"/>
  <c r="X38" i="44"/>
  <c r="Y38" i="44" s="1"/>
  <c r="AA38" i="44" s="1"/>
  <c r="AB38" i="44" s="1"/>
  <c r="AC38" i="44" s="1"/>
  <c r="AN38" i="44" s="1"/>
  <c r="AR38" i="44" s="1"/>
  <c r="X209" i="44"/>
  <c r="Y209" i="44" s="1"/>
  <c r="AA209" i="44" s="1"/>
  <c r="R197" i="44"/>
  <c r="T197" i="44" s="1"/>
  <c r="X136" i="44"/>
  <c r="Y136" i="44" s="1"/>
  <c r="AA136" i="44" s="1"/>
  <c r="AB136" i="44" s="1"/>
  <c r="AC136" i="44" s="1"/>
  <c r="AN136" i="44" s="1"/>
  <c r="X192" i="44"/>
  <c r="Y192" i="44" s="1"/>
  <c r="AA192" i="44" s="1"/>
  <c r="AB192" i="44" s="1"/>
  <c r="AC192" i="44" s="1"/>
  <c r="X146" i="44"/>
  <c r="Y146" i="44" s="1"/>
  <c r="AA146" i="44" s="1"/>
  <c r="R201" i="44"/>
  <c r="T201" i="44" s="1"/>
  <c r="X64" i="44"/>
  <c r="Y64" i="44" s="1"/>
  <c r="AA64" i="44" s="1"/>
  <c r="AB64" i="44" s="1"/>
  <c r="AC64" i="44" s="1"/>
  <c r="AN64" i="44" s="1"/>
  <c r="AR64" i="44" s="1"/>
  <c r="X90" i="44"/>
  <c r="Y90" i="44" s="1"/>
  <c r="AA90" i="44" s="1"/>
  <c r="X190" i="44"/>
  <c r="Y190" i="44" s="1"/>
  <c r="AA190" i="44" s="1"/>
  <c r="R69" i="44"/>
  <c r="T69" i="44" s="1"/>
  <c r="T130" i="44"/>
  <c r="X40" i="44"/>
  <c r="Y40" i="44" s="1"/>
  <c r="AA40" i="44" s="1"/>
  <c r="X78" i="44"/>
  <c r="Y78" i="44" s="1"/>
  <c r="AA78" i="44" s="1"/>
  <c r="X92" i="44"/>
  <c r="Y92" i="44" s="1"/>
  <c r="AA92" i="44" s="1"/>
  <c r="R58" i="44"/>
  <c r="T58" i="44" s="1"/>
  <c r="R45" i="44"/>
  <c r="T45" i="44" s="1"/>
  <c r="X71" i="44"/>
  <c r="Y71" i="44" s="1"/>
  <c r="AA71" i="44" s="1"/>
  <c r="R198" i="44"/>
  <c r="V198" i="44" s="1"/>
  <c r="AB198" i="44" s="1"/>
  <c r="AC198" i="44" s="1"/>
  <c r="R94" i="44"/>
  <c r="T94" i="44" s="1"/>
  <c r="R104" i="44"/>
  <c r="V104" i="44" s="1"/>
  <c r="AB104" i="44" s="1"/>
  <c r="AC104" i="44" s="1"/>
  <c r="AN104" i="44" s="1"/>
  <c r="AR104" i="44" s="1"/>
  <c r="R151" i="44"/>
  <c r="V151" i="44" s="1"/>
  <c r="AB151" i="44" s="1"/>
  <c r="AC151" i="44" s="1"/>
  <c r="AN151" i="44" s="1"/>
  <c r="AR151" i="44" s="1"/>
  <c r="R53" i="44"/>
  <c r="T53" i="44" s="1"/>
  <c r="R176" i="44"/>
  <c r="V176" i="44" s="1"/>
  <c r="AB176" i="44" s="1"/>
  <c r="AC176" i="44" s="1"/>
  <c r="R16" i="44"/>
  <c r="T16" i="44" s="1"/>
  <c r="X87" i="44"/>
  <c r="Y87" i="44" s="1"/>
  <c r="AA87" i="44" s="1"/>
  <c r="R56" i="44"/>
  <c r="T56" i="44" s="1"/>
  <c r="X14" i="44"/>
  <c r="Y14" i="44" s="1"/>
  <c r="AA14" i="44" s="1"/>
  <c r="X184" i="44"/>
  <c r="Y184" i="44" s="1"/>
  <c r="AA184" i="44" s="1"/>
  <c r="AB184" i="44" s="1"/>
  <c r="AC184" i="44" s="1"/>
  <c r="X19" i="44"/>
  <c r="Y19" i="44" s="1"/>
  <c r="AA19" i="44" s="1"/>
  <c r="R183" i="44"/>
  <c r="T183" i="44" s="1"/>
  <c r="T91" i="44"/>
  <c r="X205" i="44"/>
  <c r="Y205" i="44" s="1"/>
  <c r="AA205" i="44" s="1"/>
  <c r="R43" i="44"/>
  <c r="V43" i="44" s="1"/>
  <c r="AL43" i="44" s="1"/>
  <c r="R85" i="44"/>
  <c r="V85" i="44" s="1"/>
  <c r="AL85" i="44" s="1"/>
  <c r="R96" i="44"/>
  <c r="V96" i="44" s="1"/>
  <c r="R208" i="44"/>
  <c r="V208" i="44" s="1"/>
  <c r="AB208" i="44" s="1"/>
  <c r="AC208" i="44" s="1"/>
  <c r="T145" i="44"/>
  <c r="X191" i="44"/>
  <c r="Y191" i="44" s="1"/>
  <c r="AA191" i="44" s="1"/>
  <c r="AB191" i="44" s="1"/>
  <c r="AC191" i="44" s="1"/>
  <c r="R142" i="44"/>
  <c r="V142" i="44" s="1"/>
  <c r="AB142" i="44" s="1"/>
  <c r="AC142" i="44" s="1"/>
  <c r="AN142" i="44" s="1"/>
  <c r="AR142" i="44" s="1"/>
  <c r="X134" i="44"/>
  <c r="Y134" i="44" s="1"/>
  <c r="AA134" i="44" s="1"/>
  <c r="R182" i="44"/>
  <c r="T182" i="44" s="1"/>
  <c r="X186" i="44"/>
  <c r="Y186" i="44" s="1"/>
  <c r="AA186" i="44" s="1"/>
  <c r="AB186" i="44" s="1"/>
  <c r="AC186" i="44" s="1"/>
  <c r="R42" i="44"/>
  <c r="V42" i="44" s="1"/>
  <c r="AL42" i="44" s="1"/>
  <c r="R75" i="44"/>
  <c r="T75" i="44" s="1"/>
  <c r="M126" i="42"/>
  <c r="X67" i="44"/>
  <c r="Y67" i="44" s="1"/>
  <c r="AA67" i="44" s="1"/>
  <c r="AL131" i="44"/>
  <c r="V127" i="44"/>
  <c r="AL127" i="44" s="1"/>
  <c r="V71" i="44"/>
  <c r="AL83" i="44"/>
  <c r="X76" i="44"/>
  <c r="Y76" i="44" s="1"/>
  <c r="AA76" i="44" s="1"/>
  <c r="AB76" i="44" s="1"/>
  <c r="AC76" i="44" s="1"/>
  <c r="AN76" i="44" s="1"/>
  <c r="AR76" i="44" s="1"/>
  <c r="T83" i="44"/>
  <c r="T128" i="44"/>
  <c r="T214" i="44"/>
  <c r="V17" i="44"/>
  <c r="V203" i="44"/>
  <c r="T77" i="44"/>
  <c r="T61" i="44"/>
  <c r="AR67" i="43"/>
  <c r="AN173" i="43"/>
  <c r="AR173" i="43" s="1"/>
  <c r="T210" i="44"/>
  <c r="T38" i="44"/>
  <c r="AR95" i="43"/>
  <c r="AL89" i="43"/>
  <c r="AB89" i="43"/>
  <c r="AC89" i="43" s="1"/>
  <c r="AN89" i="43" s="1"/>
  <c r="AR89" i="43" s="1"/>
  <c r="AB184" i="43"/>
  <c r="AC184" i="43" s="1"/>
  <c r="AN183" i="43"/>
  <c r="AR183" i="43"/>
  <c r="AL110" i="43"/>
  <c r="AL160" i="43"/>
  <c r="AL91" i="43"/>
  <c r="AB91" i="43"/>
  <c r="AC91" i="43" s="1"/>
  <c r="AN91" i="43" s="1"/>
  <c r="AR91" i="43" s="1"/>
  <c r="Q87" i="17"/>
  <c r="R87" i="17" s="1"/>
  <c r="S87" i="17" s="1"/>
  <c r="AC53" i="43"/>
  <c r="AR53" i="43" s="1"/>
  <c r="AB53" i="43"/>
  <c r="AP53" i="43" s="1"/>
  <c r="AL126" i="43"/>
  <c r="AB126" i="43"/>
  <c r="AC126" i="43" s="1"/>
  <c r="AN126" i="43" s="1"/>
  <c r="AR126" i="43" s="1"/>
  <c r="AL27" i="43"/>
  <c r="AB27" i="43"/>
  <c r="AC27" i="43" s="1"/>
  <c r="AN27" i="43" s="1"/>
  <c r="AR27" i="43" s="1"/>
  <c r="P191" i="43"/>
  <c r="AB72" i="43"/>
  <c r="AL72" i="43"/>
  <c r="AN93" i="43"/>
  <c r="AR93" i="43" s="1"/>
  <c r="AB70" i="43"/>
  <c r="AC70" i="43" s="1"/>
  <c r="AR70" i="43" s="1"/>
  <c r="AL70" i="43"/>
  <c r="AB85" i="43"/>
  <c r="AC85" i="43" s="1"/>
  <c r="AL132" i="43"/>
  <c r="AB22" i="43"/>
  <c r="AC22" i="43" s="1"/>
  <c r="AN22" i="43" s="1"/>
  <c r="AR22" i="43" s="1"/>
  <c r="AC106" i="43"/>
  <c r="AR106" i="43" s="1"/>
  <c r="AN138" i="43"/>
  <c r="AR138" i="43"/>
  <c r="V133" i="44"/>
  <c r="AL133" i="44" s="1"/>
  <c r="AB108" i="43"/>
  <c r="AC108" i="43" s="1"/>
  <c r="AR108" i="43" s="1"/>
  <c r="AL99" i="43"/>
  <c r="AB99" i="43"/>
  <c r="AC99" i="43" s="1"/>
  <c r="AR99" i="43" s="1"/>
  <c r="T150" i="44"/>
  <c r="AL87" i="43"/>
  <c r="AB87" i="43"/>
  <c r="AC87" i="43" s="1"/>
  <c r="AN87" i="43" s="1"/>
  <c r="AR87" i="43" s="1"/>
  <c r="AL158" i="43"/>
  <c r="AB158" i="43"/>
  <c r="AC158" i="43" s="1"/>
  <c r="AN158" i="43" s="1"/>
  <c r="AR158" i="43" s="1"/>
  <c r="AL83" i="43"/>
  <c r="AB83" i="43"/>
  <c r="V114" i="43"/>
  <c r="AL124" i="43"/>
  <c r="AB124" i="43"/>
  <c r="AC124" i="43" s="1"/>
  <c r="AB133" i="43"/>
  <c r="AC133" i="43" s="1"/>
  <c r="AN133" i="43" s="1"/>
  <c r="AR133" i="43" s="1"/>
  <c r="AL97" i="43"/>
  <c r="AB97" i="43"/>
  <c r="AC97" i="43" s="1"/>
  <c r="AN97" i="43" s="1"/>
  <c r="AR97" i="43" s="1"/>
  <c r="AB40" i="43"/>
  <c r="AC40" i="43" s="1"/>
  <c r="AN40" i="43" s="1"/>
  <c r="AR40" i="43" s="1"/>
  <c r="AL130" i="43"/>
  <c r="AB130" i="43"/>
  <c r="AC130" i="43" s="1"/>
  <c r="AL23" i="43"/>
  <c r="AL52" i="43"/>
  <c r="AB52" i="43"/>
  <c r="AC52" i="43" s="1"/>
  <c r="AB35" i="43"/>
  <c r="AC35" i="43" s="1"/>
  <c r="AB96" i="43"/>
  <c r="AC96" i="43" s="1"/>
  <c r="AN96" i="43" s="1"/>
  <c r="AR96" i="43" s="1"/>
  <c r="AL96" i="43"/>
  <c r="T102" i="43"/>
  <c r="V102" i="43"/>
  <c r="AL102" i="43" s="1"/>
  <c r="AL64" i="43"/>
  <c r="AB64" i="43"/>
  <c r="AA145" i="43"/>
  <c r="AL69" i="43"/>
  <c r="AB69" i="43"/>
  <c r="AB92" i="43"/>
  <c r="AC92" i="43" s="1"/>
  <c r="AA114" i="43"/>
  <c r="V145" i="43"/>
  <c r="AL61" i="43"/>
  <c r="AB61" i="43"/>
  <c r="AC61" i="43" s="1"/>
  <c r="AN61" i="43" s="1"/>
  <c r="AR61" i="43" s="1"/>
  <c r="AL36" i="43"/>
  <c r="AB36" i="43"/>
  <c r="AC36" i="43" s="1"/>
  <c r="T22" i="43"/>
  <c r="V22" i="43"/>
  <c r="AL22" i="43" s="1"/>
  <c r="AB60" i="43"/>
  <c r="AC60" i="43" s="1"/>
  <c r="E195" i="43"/>
  <c r="V68" i="43"/>
  <c r="AL68" i="43" s="1"/>
  <c r="T68" i="43"/>
  <c r="AL60" i="43"/>
  <c r="AL119" i="43"/>
  <c r="AB143" i="43"/>
  <c r="AC143" i="43" s="1"/>
  <c r="AR143" i="43" s="1"/>
  <c r="N218" i="17"/>
  <c r="O218" i="17" s="1"/>
  <c r="P218" i="17" s="1"/>
  <c r="Q218" i="17" s="1"/>
  <c r="R218" i="17" s="1"/>
  <c r="S218" i="17" s="1"/>
  <c r="L158" i="17"/>
  <c r="M158" i="17" s="1"/>
  <c r="N158" i="17" s="1"/>
  <c r="N242" i="17"/>
  <c r="O242" i="17" s="1"/>
  <c r="P242" i="17" s="1"/>
  <c r="Q242" i="17" s="1"/>
  <c r="R242" i="17" s="1"/>
  <c r="S242" i="17" s="1"/>
  <c r="M118" i="17"/>
  <c r="N118" i="17" s="1"/>
  <c r="N239" i="17"/>
  <c r="O239" i="17" s="1"/>
  <c r="P239" i="17" s="1"/>
  <c r="Q239" i="17" s="1"/>
  <c r="R239" i="17" s="1"/>
  <c r="S239" i="17" s="1"/>
  <c r="V14" i="44"/>
  <c r="AL14" i="44" s="1"/>
  <c r="V90" i="44"/>
  <c r="V13" i="44"/>
  <c r="AL13" i="44" s="1"/>
  <c r="V82" i="44"/>
  <c r="AL82" i="44" s="1"/>
  <c r="AL27" i="44"/>
  <c r="AL64" i="44"/>
  <c r="S166" i="42"/>
  <c r="L130" i="17"/>
  <c r="B12" i="26" s="1"/>
  <c r="AC12" i="26" s="1"/>
  <c r="M247" i="17"/>
  <c r="N247" i="17" s="1"/>
  <c r="O247" i="17" s="1"/>
  <c r="P247" i="17" s="1"/>
  <c r="Q247" i="17" s="1"/>
  <c r="R247" i="17" s="1"/>
  <c r="S247" i="17" s="1"/>
  <c r="V32" i="44"/>
  <c r="AJ119" i="44"/>
  <c r="V195" i="44"/>
  <c r="T112" i="44"/>
  <c r="V66" i="44"/>
  <c r="AL66" i="44" s="1"/>
  <c r="T191" i="44"/>
  <c r="V134" i="44"/>
  <c r="AL134" i="44" s="1"/>
  <c r="AL130" i="44"/>
  <c r="T136" i="44"/>
  <c r="T149" i="44"/>
  <c r="T27" i="44"/>
  <c r="AL136" i="44"/>
  <c r="V92" i="44"/>
  <c r="AL92" i="44" s="1"/>
  <c r="T181" i="44"/>
  <c r="AL38" i="44"/>
  <c r="V31" i="44"/>
  <c r="AL31" i="44" s="1"/>
  <c r="T186" i="44"/>
  <c r="T185" i="44"/>
  <c r="V88" i="44"/>
  <c r="V140" i="44"/>
  <c r="V84" i="44"/>
  <c r="AL84" i="44" s="1"/>
  <c r="AL76" i="44"/>
  <c r="V199" i="44"/>
  <c r="T76" i="44"/>
  <c r="V56" i="43"/>
  <c r="T56" i="43"/>
  <c r="AL50" i="43"/>
  <c r="AB50" i="43"/>
  <c r="AC50" i="43" s="1"/>
  <c r="AR55" i="43"/>
  <c r="AC58" i="43"/>
  <c r="V54" i="44"/>
  <c r="AL54" i="44" s="1"/>
  <c r="V40" i="44"/>
  <c r="AL40" i="44" s="1"/>
  <c r="T64" i="44"/>
  <c r="T138" i="44"/>
  <c r="AL48" i="43"/>
  <c r="AL31" i="43"/>
  <c r="AB31" i="43"/>
  <c r="AC31" i="43" s="1"/>
  <c r="AN31" i="43" s="1"/>
  <c r="AR31" i="43" s="1"/>
  <c r="N26" i="17"/>
  <c r="O26" i="17" s="1"/>
  <c r="Q26" i="17"/>
  <c r="R26" i="17" s="1"/>
  <c r="S26" i="17" s="1"/>
  <c r="V207" i="44"/>
  <c r="AL17" i="43"/>
  <c r="AB17" i="43"/>
  <c r="AC17" i="43" s="1"/>
  <c r="AN17" i="43" s="1"/>
  <c r="AR17" i="43" s="1"/>
  <c r="AL177" i="43"/>
  <c r="AB177" i="43"/>
  <c r="AC177" i="43" s="1"/>
  <c r="AN177" i="43" s="1"/>
  <c r="AR177" i="43" s="1"/>
  <c r="V87" i="44"/>
  <c r="AL87" i="44" s="1"/>
  <c r="V205" i="44"/>
  <c r="Q27" i="17"/>
  <c r="R27" i="17" s="1"/>
  <c r="S27" i="17" s="1"/>
  <c r="AL24" i="43"/>
  <c r="AB24" i="43"/>
  <c r="AC24" i="43" s="1"/>
  <c r="S303" i="17"/>
  <c r="R85" i="17"/>
  <c r="P57" i="42"/>
  <c r="P104" i="42" s="1"/>
  <c r="S130" i="42"/>
  <c r="L178" i="17"/>
  <c r="P167" i="42"/>
  <c r="O85" i="17"/>
  <c r="R13" i="17"/>
  <c r="Q14" i="17"/>
  <c r="R14" i="17" s="1"/>
  <c r="S14" i="17" s="1"/>
  <c r="P167" i="17"/>
  <c r="P178" i="17" s="1"/>
  <c r="O13" i="17"/>
  <c r="Q416" i="39"/>
  <c r="V78" i="44"/>
  <c r="V190" i="44"/>
  <c r="T196" i="44"/>
  <c r="V193" i="44"/>
  <c r="V72" i="44"/>
  <c r="AL72" i="44" s="1"/>
  <c r="T184" i="44"/>
  <c r="T188" i="44"/>
  <c r="AJ155" i="44"/>
  <c r="V73" i="44"/>
  <c r="AL73" i="44" s="1"/>
  <c r="AB130" i="44"/>
  <c r="AC130" i="44" s="1"/>
  <c r="AN130" i="44" s="1"/>
  <c r="AR130" i="44" s="1"/>
  <c r="V144" i="44"/>
  <c r="AL144" i="44" s="1"/>
  <c r="L204" i="17"/>
  <c r="B18" i="26" s="1"/>
  <c r="AC18" i="26" s="1"/>
  <c r="T135" i="44"/>
  <c r="AL132" i="44"/>
  <c r="T132" i="44"/>
  <c r="S332" i="17"/>
  <c r="T131" i="44"/>
  <c r="T148" i="44"/>
  <c r="T70" i="44"/>
  <c r="AL148" i="44"/>
  <c r="T192" i="44"/>
  <c r="V67" i="44"/>
  <c r="T67" i="44"/>
  <c r="T15" i="44"/>
  <c r="V15" i="44"/>
  <c r="AP22" i="44"/>
  <c r="T146" i="44"/>
  <c r="V146" i="44"/>
  <c r="V19" i="44"/>
  <c r="T19" i="44"/>
  <c r="AJ48" i="44"/>
  <c r="V139" i="44"/>
  <c r="T139" i="44"/>
  <c r="V209" i="44"/>
  <c r="T209" i="44"/>
  <c r="AJ107" i="44"/>
  <c r="AL91" i="44"/>
  <c r="AP48" i="44"/>
  <c r="AJ22" i="44"/>
  <c r="AP155" i="44"/>
  <c r="AP107" i="44"/>
  <c r="P225" i="17"/>
  <c r="Q225" i="17" s="1"/>
  <c r="R225" i="17" s="1"/>
  <c r="S225" i="17" s="1"/>
  <c r="T59" i="44"/>
  <c r="V59" i="44"/>
  <c r="AL128" i="44"/>
  <c r="AL112" i="44"/>
  <c r="AL138" i="44"/>
  <c r="AL150" i="44"/>
  <c r="AL77" i="44"/>
  <c r="S48" i="42"/>
  <c r="T48" i="42" s="1"/>
  <c r="AL149" i="44"/>
  <c r="AA126" i="44"/>
  <c r="P111" i="42"/>
  <c r="R113" i="42"/>
  <c r="S113" i="42" s="1"/>
  <c r="T113" i="42" s="1"/>
  <c r="R85" i="42"/>
  <c r="S85" i="42" s="1"/>
  <c r="T85" i="42" s="1"/>
  <c r="M104" i="42"/>
  <c r="B39" i="26" s="1"/>
  <c r="AC39" i="26" s="1"/>
  <c r="Q496" i="39"/>
  <c r="AA44" i="44"/>
  <c r="AN14" i="43"/>
  <c r="AR14" i="43"/>
  <c r="AN35" i="43"/>
  <c r="AR35" i="43"/>
  <c r="N182" i="17"/>
  <c r="O182" i="17" s="1"/>
  <c r="Q182" i="17"/>
  <c r="R182" i="17" s="1"/>
  <c r="S182" i="17" s="1"/>
  <c r="M137" i="17"/>
  <c r="P235" i="17"/>
  <c r="O231" i="17"/>
  <c r="T162" i="43"/>
  <c r="X162" i="43" s="1"/>
  <c r="Y162" i="43" s="1"/>
  <c r="AA162" i="43" s="1"/>
  <c r="R164" i="43"/>
  <c r="R191" i="43" s="1"/>
  <c r="V162" i="43"/>
  <c r="N136" i="17"/>
  <c r="O136" i="17" s="1"/>
  <c r="Q136" i="17"/>
  <c r="R136" i="17" s="1"/>
  <c r="S136" i="17" s="1"/>
  <c r="AL33" i="43"/>
  <c r="AB33" i="43"/>
  <c r="AC33" i="43" s="1"/>
  <c r="AC127" i="43"/>
  <c r="Q100" i="17"/>
  <c r="R100" i="17" s="1"/>
  <c r="S100" i="17" s="1"/>
  <c r="AP185" i="43"/>
  <c r="AP187" i="43" s="1"/>
  <c r="O314" i="17"/>
  <c r="M268" i="17"/>
  <c r="N268" i="17" s="1"/>
  <c r="O268" i="17" s="1"/>
  <c r="P268" i="17" s="1"/>
  <c r="Q329" i="17"/>
  <c r="R329" i="17" s="1"/>
  <c r="S329" i="17" s="1"/>
  <c r="Q16" i="17"/>
  <c r="R16" i="17" s="1"/>
  <c r="S16" i="17" s="1"/>
  <c r="AR58" i="43"/>
  <c r="N246" i="17"/>
  <c r="Q246" i="17"/>
  <c r="R246" i="17" s="1"/>
  <c r="S246" i="17" s="1"/>
  <c r="Q164" i="43"/>
  <c r="T185" i="43"/>
  <c r="X185" i="43" s="1"/>
  <c r="Y185" i="43" s="1"/>
  <c r="AA185" i="43" s="1"/>
  <c r="V185" i="43"/>
  <c r="AL185" i="43" s="1"/>
  <c r="Q90" i="17"/>
  <c r="R90" i="17" s="1"/>
  <c r="S90" i="17" s="1"/>
  <c r="N183" i="17"/>
  <c r="O183" i="17" s="1"/>
  <c r="Q183" i="17"/>
  <c r="R183" i="17" s="1"/>
  <c r="S183" i="17" s="1"/>
  <c r="Q315" i="17"/>
  <c r="R315" i="17" s="1"/>
  <c r="S315" i="17" s="1"/>
  <c r="Q135" i="17"/>
  <c r="R135" i="17" s="1"/>
  <c r="S135" i="17" s="1"/>
  <c r="N267" i="17"/>
  <c r="O267" i="17" s="1"/>
  <c r="Q267" i="17"/>
  <c r="R267" i="17" s="1"/>
  <c r="S267" i="17" s="1"/>
  <c r="Q139" i="17"/>
  <c r="R139" i="17" s="1"/>
  <c r="S139" i="17" s="1"/>
  <c r="AN47" i="43"/>
  <c r="AR47" i="43" s="1"/>
  <c r="AJ164" i="43"/>
  <c r="AJ191" i="43" s="1"/>
  <c r="AP162" i="43"/>
  <c r="AP164" i="43" s="1"/>
  <c r="AL162" i="43"/>
  <c r="AL164" i="43" s="1"/>
  <c r="Q274" i="17"/>
  <c r="R274" i="17" s="1"/>
  <c r="S274" i="17" s="1"/>
  <c r="N170" i="17"/>
  <c r="Q170" i="17"/>
  <c r="R170" i="17" s="1"/>
  <c r="S170" i="17" s="1"/>
  <c r="AN45" i="43"/>
  <c r="AR45" i="43" s="1"/>
  <c r="AN18" i="43"/>
  <c r="AR18" i="43" s="1"/>
  <c r="Q187" i="43"/>
  <c r="R314" i="17"/>
  <c r="AR156" i="43"/>
  <c r="AN19" i="43"/>
  <c r="AR19" i="43" s="1"/>
  <c r="AL180" i="43"/>
  <c r="AL187" i="43" s="1"/>
  <c r="AB180" i="43"/>
  <c r="V187" i="43"/>
  <c r="O273" i="17"/>
  <c r="Q94" i="17"/>
  <c r="R94" i="17" s="1"/>
  <c r="S94" i="17" s="1"/>
  <c r="AB16" i="43"/>
  <c r="AC16" i="43" s="1"/>
  <c r="Q86" i="17"/>
  <c r="R86" i="17" s="1"/>
  <c r="S86" i="17" s="1"/>
  <c r="AN169" i="43"/>
  <c r="AR169" i="43" s="1"/>
  <c r="Q232" i="17"/>
  <c r="R232" i="17" s="1"/>
  <c r="S232" i="17" s="1"/>
  <c r="Q308" i="17"/>
  <c r="R308" i="17" s="1"/>
  <c r="S308" i="17" s="1"/>
  <c r="N192" i="17"/>
  <c r="O192" i="17" s="1"/>
  <c r="Q192" i="17"/>
  <c r="R192" i="17" s="1"/>
  <c r="S192" i="17" s="1"/>
  <c r="R222" i="17"/>
  <c r="S222" i="17" s="1"/>
  <c r="O176" i="17" l="1"/>
  <c r="O158" i="17"/>
  <c r="P158" i="17"/>
  <c r="O118" i="17"/>
  <c r="O130" i="17" s="1"/>
  <c r="P118" i="17"/>
  <c r="AB28" i="44"/>
  <c r="AC28" i="44" s="1"/>
  <c r="AN28" i="44" s="1"/>
  <c r="AR28" i="44" s="1"/>
  <c r="F41" i="26"/>
  <c r="AG41" i="26" s="1"/>
  <c r="O162" i="42"/>
  <c r="S18" i="42"/>
  <c r="R25" i="42"/>
  <c r="F47" i="26" s="1"/>
  <c r="AG47" i="26" s="1"/>
  <c r="AG23" i="26"/>
  <c r="F35" i="26"/>
  <c r="AC35" i="26"/>
  <c r="AC36" i="26" s="1"/>
  <c r="AD18" i="26"/>
  <c r="AF23" i="26"/>
  <c r="E35" i="26"/>
  <c r="C23" i="26"/>
  <c r="C35" i="26" s="1"/>
  <c r="AE23" i="26"/>
  <c r="AD39" i="26"/>
  <c r="B36" i="26"/>
  <c r="AD27" i="26"/>
  <c r="AB68" i="44"/>
  <c r="AC68" i="44" s="1"/>
  <c r="AN68" i="44" s="1"/>
  <c r="AR68" i="44" s="1"/>
  <c r="T68" i="44"/>
  <c r="S154" i="42"/>
  <c r="T28" i="44"/>
  <c r="Q453" i="39"/>
  <c r="G29" i="26" s="1"/>
  <c r="AH29" i="26" s="1"/>
  <c r="Q194" i="39"/>
  <c r="Q333" i="39" s="1"/>
  <c r="G25" i="26" s="1"/>
  <c r="AH25" i="26" s="1"/>
  <c r="AL65" i="44"/>
  <c r="Q13" i="39"/>
  <c r="Q191" i="39" s="1"/>
  <c r="E16" i="26"/>
  <c r="AF16" i="26" s="1"/>
  <c r="Q337" i="39"/>
  <c r="Q411" i="39" s="1"/>
  <c r="G27" i="26" s="1"/>
  <c r="AH27" i="26" s="1"/>
  <c r="AL81" i="44"/>
  <c r="Q176" i="17"/>
  <c r="R176" i="17" s="1"/>
  <c r="M130" i="17"/>
  <c r="R109" i="42"/>
  <c r="S109" i="42" s="1"/>
  <c r="T109" i="42" s="1"/>
  <c r="P126" i="42"/>
  <c r="P162" i="42" s="1"/>
  <c r="AB88" i="44"/>
  <c r="AC88" i="44" s="1"/>
  <c r="AN88" i="44" s="1"/>
  <c r="AR88" i="44" s="1"/>
  <c r="T81" i="44"/>
  <c r="O513" i="39"/>
  <c r="N130" i="17"/>
  <c r="V102" i="44"/>
  <c r="AL102" i="44" s="1"/>
  <c r="P513" i="39"/>
  <c r="AB93" i="44"/>
  <c r="AC93" i="44" s="1"/>
  <c r="AN93" i="44" s="1"/>
  <c r="AR93" i="44" s="1"/>
  <c r="S160" i="42"/>
  <c r="G49" i="26" s="1"/>
  <c r="AH49" i="26" s="1"/>
  <c r="Q511" i="39"/>
  <c r="T29" i="42"/>
  <c r="T50" i="42" s="1"/>
  <c r="H43" i="26" s="1"/>
  <c r="AI43" i="26" s="1"/>
  <c r="S50" i="42"/>
  <c r="G43" i="26" s="1"/>
  <c r="AH43" i="26" s="1"/>
  <c r="E41" i="26"/>
  <c r="AF41" i="26" s="1"/>
  <c r="T108" i="42"/>
  <c r="T137" i="44"/>
  <c r="T98" i="44"/>
  <c r="AB98" i="44"/>
  <c r="AC98" i="44" s="1"/>
  <c r="AN98" i="44" s="1"/>
  <c r="AR98" i="44" s="1"/>
  <c r="V143" i="44"/>
  <c r="AB143" i="44" s="1"/>
  <c r="AC143" i="44" s="1"/>
  <c r="AN143" i="44" s="1"/>
  <c r="AR143" i="44" s="1"/>
  <c r="AB101" i="44"/>
  <c r="AC101" i="44" s="1"/>
  <c r="AN101" i="44" s="1"/>
  <c r="V200" i="44"/>
  <c r="AB200" i="44" s="1"/>
  <c r="AC200" i="44" s="1"/>
  <c r="V74" i="44"/>
  <c r="AB74" i="44" s="1"/>
  <c r="AC74" i="44" s="1"/>
  <c r="AN74" i="44" s="1"/>
  <c r="AR74" i="44" s="1"/>
  <c r="AB37" i="44"/>
  <c r="AC37" i="44" s="1"/>
  <c r="AN37" i="44" s="1"/>
  <c r="AR37" i="44" s="1"/>
  <c r="T93" i="44"/>
  <c r="O204" i="17"/>
  <c r="M162" i="17"/>
  <c r="N204" i="17"/>
  <c r="Q204" i="17"/>
  <c r="F18" i="26" s="1"/>
  <c r="AG18" i="26" s="1"/>
  <c r="R204" i="17"/>
  <c r="G18" i="26" s="1"/>
  <c r="AH18" i="26" s="1"/>
  <c r="S307" i="17"/>
  <c r="S204" i="17"/>
  <c r="H18" i="26" s="1"/>
  <c r="AI18" i="26" s="1"/>
  <c r="O170" i="17"/>
  <c r="O178" i="17" s="1"/>
  <c r="N178" i="17"/>
  <c r="AL142" i="44"/>
  <c r="T157" i="42"/>
  <c r="D37" i="26"/>
  <c r="T125" i="44"/>
  <c r="AL125" i="44"/>
  <c r="V114" i="44"/>
  <c r="AL114" i="44" s="1"/>
  <c r="T126" i="44"/>
  <c r="T97" i="44"/>
  <c r="AL137" i="44"/>
  <c r="AL97" i="44"/>
  <c r="AB99" i="44"/>
  <c r="AC99" i="44" s="1"/>
  <c r="AN99" i="44" s="1"/>
  <c r="AR99" i="44" s="1"/>
  <c r="T37" i="44"/>
  <c r="V58" i="44"/>
  <c r="AL58" i="44" s="1"/>
  <c r="AB115" i="44"/>
  <c r="AC115" i="44" s="1"/>
  <c r="T101" i="44"/>
  <c r="T99" i="44"/>
  <c r="V141" i="44"/>
  <c r="AB141" i="44" s="1"/>
  <c r="AC141" i="44" s="1"/>
  <c r="AN141" i="44" s="1"/>
  <c r="AR141" i="44" s="1"/>
  <c r="AB57" i="44"/>
  <c r="AC57" i="44" s="1"/>
  <c r="AN57" i="44" s="1"/>
  <c r="AR57" i="44" s="1"/>
  <c r="AB129" i="44"/>
  <c r="AC129" i="44" s="1"/>
  <c r="AN129" i="44" s="1"/>
  <c r="V206" i="44"/>
  <c r="AB206" i="44" s="1"/>
  <c r="AC206" i="44" s="1"/>
  <c r="AL63" i="44"/>
  <c r="T180" i="44"/>
  <c r="V189" i="44"/>
  <c r="AB189" i="44" s="1"/>
  <c r="AC189" i="44" s="1"/>
  <c r="AB105" i="44"/>
  <c r="AC105" i="44" s="1"/>
  <c r="AN105" i="44" s="1"/>
  <c r="AR105" i="44" s="1"/>
  <c r="T63" i="44"/>
  <c r="T179" i="44"/>
  <c r="T33" i="44"/>
  <c r="V62" i="44"/>
  <c r="AL62" i="44" s="1"/>
  <c r="T57" i="44"/>
  <c r="V34" i="44"/>
  <c r="AL34" i="44" s="1"/>
  <c r="T129" i="44"/>
  <c r="AB117" i="44"/>
  <c r="AC117" i="44" s="1"/>
  <c r="AR117" i="44" s="1"/>
  <c r="T29" i="44"/>
  <c r="AB17" i="44"/>
  <c r="AC17" i="44" s="1"/>
  <c r="AN17" i="44" s="1"/>
  <c r="AR17" i="44" s="1"/>
  <c r="V18" i="44"/>
  <c r="AB18" i="44" s="1"/>
  <c r="AC18" i="44" s="1"/>
  <c r="AN18" i="44" s="1"/>
  <c r="AR18" i="44" s="1"/>
  <c r="AB207" i="44"/>
  <c r="AC207" i="44" s="1"/>
  <c r="AL29" i="44"/>
  <c r="T194" i="44"/>
  <c r="AB41" i="44"/>
  <c r="AC41" i="44" s="1"/>
  <c r="AN41" i="44" s="1"/>
  <c r="AR41" i="44" s="1"/>
  <c r="T176" i="44"/>
  <c r="V204" i="44"/>
  <c r="AB204" i="44" s="1"/>
  <c r="AC204" i="44" s="1"/>
  <c r="V35" i="44"/>
  <c r="AL35" i="44" s="1"/>
  <c r="AL30" i="44"/>
  <c r="V153" i="44"/>
  <c r="AB153" i="44" s="1"/>
  <c r="AC153" i="44" s="1"/>
  <c r="V60" i="44"/>
  <c r="AL60" i="44" s="1"/>
  <c r="V39" i="44"/>
  <c r="AL39" i="44" s="1"/>
  <c r="AB205" i="44"/>
  <c r="AC205" i="44" s="1"/>
  <c r="T30" i="44"/>
  <c r="AB103" i="44"/>
  <c r="AC103" i="44" s="1"/>
  <c r="AN103" i="44" s="1"/>
  <c r="AR103" i="44" s="1"/>
  <c r="T103" i="44"/>
  <c r="AB199" i="44"/>
  <c r="AC199" i="44" s="1"/>
  <c r="AB140" i="44"/>
  <c r="AC140" i="44" s="1"/>
  <c r="AN140" i="44" s="1"/>
  <c r="AR140" i="44" s="1"/>
  <c r="T41" i="44"/>
  <c r="T119" i="44"/>
  <c r="AB193" i="44"/>
  <c r="AC193" i="44" s="1"/>
  <c r="T100" i="44"/>
  <c r="AB203" i="44"/>
  <c r="AC203" i="44" s="1"/>
  <c r="T187" i="44"/>
  <c r="AL100" i="44"/>
  <c r="R119" i="44"/>
  <c r="V113" i="44"/>
  <c r="AB113" i="44" s="1"/>
  <c r="AC113" i="44" s="1"/>
  <c r="AN113" i="44" s="1"/>
  <c r="AR113" i="44" s="1"/>
  <c r="V80" i="44"/>
  <c r="AL80" i="44" s="1"/>
  <c r="V44" i="44"/>
  <c r="AL44" i="44" s="1"/>
  <c r="AB152" i="44"/>
  <c r="AC152" i="44" s="1"/>
  <c r="AN152" i="44" s="1"/>
  <c r="AR152" i="44" s="1"/>
  <c r="T105" i="44"/>
  <c r="T65" i="44"/>
  <c r="T152" i="44"/>
  <c r="V124" i="44"/>
  <c r="AB124" i="44" s="1"/>
  <c r="AC124" i="44" s="1"/>
  <c r="AN124" i="44" s="1"/>
  <c r="AR124" i="44" s="1"/>
  <c r="AB20" i="44"/>
  <c r="AC20" i="44" s="1"/>
  <c r="AN20" i="44" s="1"/>
  <c r="AR20" i="44" s="1"/>
  <c r="S13" i="42"/>
  <c r="S15" i="42" s="1"/>
  <c r="G45" i="26" s="1"/>
  <c r="AH45" i="26" s="1"/>
  <c r="V79" i="44"/>
  <c r="AB79" i="44" s="1"/>
  <c r="AC79" i="44" s="1"/>
  <c r="AN79" i="44" s="1"/>
  <c r="AR79" i="44" s="1"/>
  <c r="T20" i="44"/>
  <c r="R22" i="44"/>
  <c r="AL147" i="44"/>
  <c r="T147" i="44"/>
  <c r="AB33" i="44"/>
  <c r="AC33" i="44" s="1"/>
  <c r="AN33" i="44" s="1"/>
  <c r="AR33" i="44" s="1"/>
  <c r="T36" i="44"/>
  <c r="AB78" i="44"/>
  <c r="AC78" i="44" s="1"/>
  <c r="AN78" i="44" s="1"/>
  <c r="AR78" i="44" s="1"/>
  <c r="V75" i="44"/>
  <c r="AB75" i="44" s="1"/>
  <c r="AC75" i="44" s="1"/>
  <c r="AN75" i="44" s="1"/>
  <c r="V12" i="44"/>
  <c r="AL12" i="44" s="1"/>
  <c r="X119" i="44"/>
  <c r="AB90" i="44"/>
  <c r="AC90" i="44" s="1"/>
  <c r="AN90" i="44" s="1"/>
  <c r="AR90" i="44" s="1"/>
  <c r="AB195" i="44"/>
  <c r="AC195" i="44" s="1"/>
  <c r="Y119" i="44"/>
  <c r="AB32" i="44"/>
  <c r="AC32" i="44" s="1"/>
  <c r="AN32" i="44" s="1"/>
  <c r="AR32" i="44" s="1"/>
  <c r="X155" i="44"/>
  <c r="T142" i="44"/>
  <c r="V201" i="44"/>
  <c r="AB201" i="44" s="1"/>
  <c r="AC201" i="44" s="1"/>
  <c r="V86" i="44"/>
  <c r="AB86" i="44" s="1"/>
  <c r="AC86" i="44" s="1"/>
  <c r="AN86" i="44" s="1"/>
  <c r="AR86" i="44" s="1"/>
  <c r="V53" i="44"/>
  <c r="AL53" i="44" s="1"/>
  <c r="V89" i="44"/>
  <c r="AB89" i="44" s="1"/>
  <c r="AC89" i="44" s="1"/>
  <c r="AN89" i="44" s="1"/>
  <c r="AR89" i="44" s="1"/>
  <c r="AL151" i="44"/>
  <c r="V183" i="44"/>
  <c r="AB183" i="44" s="1"/>
  <c r="AC183" i="44" s="1"/>
  <c r="V202" i="44"/>
  <c r="AB202" i="44" s="1"/>
  <c r="AC202" i="44" s="1"/>
  <c r="AL95" i="44"/>
  <c r="R155" i="44"/>
  <c r="AB71" i="44"/>
  <c r="AC71" i="44" s="1"/>
  <c r="AN71" i="44" s="1"/>
  <c r="AR71" i="44" s="1"/>
  <c r="Y48" i="44"/>
  <c r="X48" i="44"/>
  <c r="AB209" i="44"/>
  <c r="AC209" i="44" s="1"/>
  <c r="T198" i="44"/>
  <c r="V197" i="44"/>
  <c r="AB197" i="44" s="1"/>
  <c r="AC197" i="44" s="1"/>
  <c r="V69" i="44"/>
  <c r="AL69" i="44" s="1"/>
  <c r="V46" i="44"/>
  <c r="AB46" i="44" s="1"/>
  <c r="AC46" i="44" s="1"/>
  <c r="AN46" i="44" s="1"/>
  <c r="AR46" i="44" s="1"/>
  <c r="T95" i="44"/>
  <c r="T96" i="44"/>
  <c r="T43" i="44"/>
  <c r="AB190" i="44"/>
  <c r="AC190" i="44" s="1"/>
  <c r="T151" i="44"/>
  <c r="V56" i="44"/>
  <c r="AB56" i="44" s="1"/>
  <c r="AC56" i="44" s="1"/>
  <c r="AN56" i="44" s="1"/>
  <c r="AR56" i="44" s="1"/>
  <c r="T104" i="44"/>
  <c r="Y155" i="44"/>
  <c r="AL104" i="44"/>
  <c r="V94" i="44"/>
  <c r="AB94" i="44" s="1"/>
  <c r="AC94" i="44" s="1"/>
  <c r="AN94" i="44" s="1"/>
  <c r="V45" i="44"/>
  <c r="AB45" i="44" s="1"/>
  <c r="AC45" i="44" s="1"/>
  <c r="AN45" i="44" s="1"/>
  <c r="AR45" i="44" s="1"/>
  <c r="AL71" i="44"/>
  <c r="AB133" i="44"/>
  <c r="AC133" i="44" s="1"/>
  <c r="AN133" i="44" s="1"/>
  <c r="AR133" i="44" s="1"/>
  <c r="V16" i="44"/>
  <c r="AL16" i="44" s="1"/>
  <c r="AB14" i="44"/>
  <c r="AC14" i="44" s="1"/>
  <c r="AN14" i="44" s="1"/>
  <c r="AR14" i="44" s="1"/>
  <c r="T42" i="44"/>
  <c r="X22" i="44"/>
  <c r="AB85" i="44"/>
  <c r="AC85" i="44" s="1"/>
  <c r="AN85" i="44" s="1"/>
  <c r="AR85" i="44" s="1"/>
  <c r="R48" i="44"/>
  <c r="T208" i="44"/>
  <c r="R107" i="44"/>
  <c r="T85" i="44"/>
  <c r="V182" i="44"/>
  <c r="AB182" i="44" s="1"/>
  <c r="AC182" i="44" s="1"/>
  <c r="AB43" i="44"/>
  <c r="AC43" i="44" s="1"/>
  <c r="AN43" i="44" s="1"/>
  <c r="AR43" i="44" s="1"/>
  <c r="T166" i="42"/>
  <c r="AB127" i="44"/>
  <c r="AC127" i="44" s="1"/>
  <c r="AN127" i="44" s="1"/>
  <c r="AR127" i="44" s="1"/>
  <c r="AL17" i="44"/>
  <c r="AR83" i="44"/>
  <c r="X107" i="44"/>
  <c r="Y107" i="44"/>
  <c r="AR125" i="44"/>
  <c r="AL32" i="44"/>
  <c r="AR27" i="44"/>
  <c r="AL90" i="44"/>
  <c r="AP64" i="43"/>
  <c r="AC64" i="43"/>
  <c r="AR64" i="43" s="1"/>
  <c r="AC83" i="43"/>
  <c r="AB114" i="43"/>
  <c r="AB68" i="43"/>
  <c r="AN92" i="43"/>
  <c r="AR92" i="43" s="1"/>
  <c r="AB145" i="43"/>
  <c r="AN85" i="43"/>
  <c r="AR85" i="43" s="1"/>
  <c r="AC72" i="43"/>
  <c r="AR72" i="43" s="1"/>
  <c r="AP72" i="43"/>
  <c r="V77" i="43"/>
  <c r="D12" i="26"/>
  <c r="AL145" i="43"/>
  <c r="AN36" i="43"/>
  <c r="AR36" i="43" s="1"/>
  <c r="AC69" i="43"/>
  <c r="AR69" i="43" s="1"/>
  <c r="AP69" i="43"/>
  <c r="AR52" i="43"/>
  <c r="AN52" i="43"/>
  <c r="AB102" i="43"/>
  <c r="AN184" i="43"/>
  <c r="AR184" i="43"/>
  <c r="C39" i="26"/>
  <c r="AN124" i="43"/>
  <c r="AR124" i="43"/>
  <c r="AN130" i="43"/>
  <c r="AR130" i="43"/>
  <c r="AN60" i="43"/>
  <c r="AR60" i="43"/>
  <c r="AN164" i="43"/>
  <c r="AL114" i="43"/>
  <c r="AL191" i="43" s="1"/>
  <c r="L162" i="17"/>
  <c r="B14" i="26" s="1"/>
  <c r="AC14" i="26" s="1"/>
  <c r="AR29" i="44"/>
  <c r="L64" i="17"/>
  <c r="M64" i="17" s="1"/>
  <c r="M81" i="17" s="1"/>
  <c r="AB82" i="44"/>
  <c r="AC82" i="44" s="1"/>
  <c r="AN82" i="44" s="1"/>
  <c r="AR82" i="44" s="1"/>
  <c r="AB66" i="44"/>
  <c r="AC66" i="44" s="1"/>
  <c r="AN66" i="44" s="1"/>
  <c r="AR66" i="44" s="1"/>
  <c r="AB134" i="44"/>
  <c r="AC134" i="44" s="1"/>
  <c r="AN134" i="44" s="1"/>
  <c r="AR134" i="44" s="1"/>
  <c r="AB92" i="44"/>
  <c r="AC92" i="44" s="1"/>
  <c r="AN92" i="44" s="1"/>
  <c r="AR92" i="44" s="1"/>
  <c r="AL140" i="44"/>
  <c r="B37" i="26"/>
  <c r="B55" i="26" s="1"/>
  <c r="AL88" i="44"/>
  <c r="AB40" i="44"/>
  <c r="AC40" i="44" s="1"/>
  <c r="AN40" i="44" s="1"/>
  <c r="AR40" i="44" s="1"/>
  <c r="AB87" i="44"/>
  <c r="AC87" i="44" s="1"/>
  <c r="AN87" i="44" s="1"/>
  <c r="AR87" i="44" s="1"/>
  <c r="AB84" i="44"/>
  <c r="AC84" i="44" s="1"/>
  <c r="AN84" i="44" s="1"/>
  <c r="AR84" i="44" s="1"/>
  <c r="AB54" i="44"/>
  <c r="AC54" i="44" s="1"/>
  <c r="AN54" i="44" s="1"/>
  <c r="AR54" i="44" s="1"/>
  <c r="AB31" i="44"/>
  <c r="AC31" i="44" s="1"/>
  <c r="AN31" i="44" s="1"/>
  <c r="AR31" i="44" s="1"/>
  <c r="AR136" i="44"/>
  <c r="AN24" i="43"/>
  <c r="AR24" i="43" s="1"/>
  <c r="AL56" i="43"/>
  <c r="AL77" i="43" s="1"/>
  <c r="AB56" i="43"/>
  <c r="AN50" i="43"/>
  <c r="AR50" i="43" s="1"/>
  <c r="Q167" i="42"/>
  <c r="AL78" i="44"/>
  <c r="Q167" i="17"/>
  <c r="S13" i="17"/>
  <c r="S81" i="17" s="1"/>
  <c r="Q104" i="42"/>
  <c r="S85" i="17"/>
  <c r="S130" i="17" s="1"/>
  <c r="T130" i="42"/>
  <c r="T154" i="42" s="1"/>
  <c r="G41" i="26"/>
  <c r="AH41" i="26" s="1"/>
  <c r="R416" i="39"/>
  <c r="R453" i="39" s="1"/>
  <c r="AB144" i="44"/>
  <c r="AC144" i="44" s="1"/>
  <c r="AN144" i="44" s="1"/>
  <c r="AR144" i="44" s="1"/>
  <c r="AR131" i="44"/>
  <c r="AB72" i="44"/>
  <c r="AC72" i="44" s="1"/>
  <c r="AN72" i="44" s="1"/>
  <c r="AR72" i="44" s="1"/>
  <c r="AB73" i="44"/>
  <c r="AC73" i="44" s="1"/>
  <c r="AN73" i="44" s="1"/>
  <c r="AR73" i="44" s="1"/>
  <c r="AL96" i="44"/>
  <c r="AB96" i="44"/>
  <c r="AC96" i="44" s="1"/>
  <c r="AN96" i="44" s="1"/>
  <c r="AR96" i="44" s="1"/>
  <c r="AR148" i="44"/>
  <c r="AJ158" i="44"/>
  <c r="AB139" i="44"/>
  <c r="AC139" i="44" s="1"/>
  <c r="AN139" i="44" s="1"/>
  <c r="AR139" i="44" s="1"/>
  <c r="AL139" i="44"/>
  <c r="AB19" i="44"/>
  <c r="AC19" i="44" s="1"/>
  <c r="AN19" i="44" s="1"/>
  <c r="AR19" i="44" s="1"/>
  <c r="AL19" i="44"/>
  <c r="AL15" i="44"/>
  <c r="AB15" i="44"/>
  <c r="AC15" i="44" s="1"/>
  <c r="AN15" i="44" s="1"/>
  <c r="AR15" i="44" s="1"/>
  <c r="AL36" i="44"/>
  <c r="AB36" i="44"/>
  <c r="AC36" i="44" s="1"/>
  <c r="AN36" i="44" s="1"/>
  <c r="AR36" i="44" s="1"/>
  <c r="AB42" i="44"/>
  <c r="AC42" i="44" s="1"/>
  <c r="AN42" i="44" s="1"/>
  <c r="AR42" i="44" s="1"/>
  <c r="AL146" i="44"/>
  <c r="AB146" i="44"/>
  <c r="AC146" i="44" s="1"/>
  <c r="AL67" i="44"/>
  <c r="AB67" i="44"/>
  <c r="AC67" i="44" s="1"/>
  <c r="AN67" i="44" s="1"/>
  <c r="AR67" i="44" s="1"/>
  <c r="AA13" i="44"/>
  <c r="Y22" i="44"/>
  <c r="AL59" i="44"/>
  <c r="AB59" i="44"/>
  <c r="AC59" i="44" s="1"/>
  <c r="AN59" i="44" s="1"/>
  <c r="AN112" i="44"/>
  <c r="AR112" i="44" s="1"/>
  <c r="AN147" i="44"/>
  <c r="AR147" i="44" s="1"/>
  <c r="AB116" i="44"/>
  <c r="AA119" i="44"/>
  <c r="AB55" i="44"/>
  <c r="AC55" i="44" s="1"/>
  <c r="AN55" i="44" s="1"/>
  <c r="AR55" i="44" s="1"/>
  <c r="AA107" i="44"/>
  <c r="AB126" i="44"/>
  <c r="AA155" i="44"/>
  <c r="R496" i="39"/>
  <c r="R511" i="39" s="1"/>
  <c r="AA48" i="44"/>
  <c r="AN16" i="43"/>
  <c r="AR16" i="43" s="1"/>
  <c r="B16" i="26"/>
  <c r="AC16" i="26" s="1"/>
  <c r="Q191" i="43"/>
  <c r="AN33" i="43"/>
  <c r="AN77" i="43" s="1"/>
  <c r="AR33" i="43"/>
  <c r="AB162" i="43"/>
  <c r="AB164" i="43" s="1"/>
  <c r="AA164" i="43"/>
  <c r="N137" i="17"/>
  <c r="S314" i="17"/>
  <c r="Q268" i="17"/>
  <c r="R268" i="17" s="1"/>
  <c r="S268" i="17" s="1"/>
  <c r="AC180" i="43"/>
  <c r="E196" i="43"/>
  <c r="E197" i="43" s="1"/>
  <c r="V164" i="43"/>
  <c r="V191" i="43" s="1"/>
  <c r="AB77" i="43"/>
  <c r="AB185" i="43"/>
  <c r="AB187" i="43" s="1"/>
  <c r="AA187" i="43"/>
  <c r="O246" i="17"/>
  <c r="AN127" i="43"/>
  <c r="AN145" i="43" s="1"/>
  <c r="AC145" i="43"/>
  <c r="Q235" i="17"/>
  <c r="P130" i="17" l="1"/>
  <c r="E12" i="26" s="1"/>
  <c r="AF12" i="26" s="1"/>
  <c r="N162" i="17"/>
  <c r="P137" i="17"/>
  <c r="P162" i="17" s="1"/>
  <c r="Q118" i="17"/>
  <c r="Q158" i="17"/>
  <c r="R158" i="17" s="1"/>
  <c r="T18" i="42"/>
  <c r="T25" i="42" s="1"/>
  <c r="H47" i="26" s="1"/>
  <c r="AI47" i="26" s="1"/>
  <c r="S25" i="42"/>
  <c r="G47" i="26" s="1"/>
  <c r="AH47" i="26" s="1"/>
  <c r="R194" i="39"/>
  <c r="R333" i="39" s="1"/>
  <c r="AE35" i="26"/>
  <c r="AF35" i="26"/>
  <c r="AE37" i="26"/>
  <c r="D55" i="26"/>
  <c r="AD16" i="26"/>
  <c r="AG35" i="26"/>
  <c r="AD23" i="26"/>
  <c r="AD35" i="26" s="1"/>
  <c r="C37" i="26"/>
  <c r="C55" i="26" s="1"/>
  <c r="AC37" i="26"/>
  <c r="C12" i="26"/>
  <c r="AE12" i="26"/>
  <c r="AB102" i="44"/>
  <c r="AC102" i="44" s="1"/>
  <c r="AN102" i="44" s="1"/>
  <c r="AR102" i="44" s="1"/>
  <c r="R13" i="39"/>
  <c r="R191" i="39" s="1"/>
  <c r="Q513" i="39"/>
  <c r="R337" i="39"/>
  <c r="R411" i="39" s="1"/>
  <c r="H27" i="26" s="1"/>
  <c r="AI27" i="26" s="1"/>
  <c r="AL143" i="44"/>
  <c r="Q178" i="17"/>
  <c r="F16" i="26" s="1"/>
  <c r="AG16" i="26" s="1"/>
  <c r="AR101" i="44"/>
  <c r="Q126" i="42"/>
  <c r="Q162" i="42" s="1"/>
  <c r="M206" i="17"/>
  <c r="AL74" i="44"/>
  <c r="T160" i="42"/>
  <c r="H49" i="26" s="1"/>
  <c r="AI49" i="26" s="1"/>
  <c r="AB60" i="44"/>
  <c r="AC60" i="44" s="1"/>
  <c r="AN60" i="44" s="1"/>
  <c r="AR60" i="44" s="1"/>
  <c r="AB39" i="44"/>
  <c r="AC39" i="44" s="1"/>
  <c r="AN39" i="44" s="1"/>
  <c r="AR39" i="44" s="1"/>
  <c r="AB58" i="44"/>
  <c r="AC58" i="44" s="1"/>
  <c r="AN58" i="44" s="1"/>
  <c r="AR58" i="44" s="1"/>
  <c r="N64" i="17"/>
  <c r="AB114" i="44"/>
  <c r="AC114" i="44" s="1"/>
  <c r="AN114" i="44" s="1"/>
  <c r="AN119" i="44" s="1"/>
  <c r="AB35" i="44"/>
  <c r="AC35" i="44" s="1"/>
  <c r="AN35" i="44" s="1"/>
  <c r="AR35" i="44" s="1"/>
  <c r="AL141" i="44"/>
  <c r="AP115" i="44"/>
  <c r="AR115" i="44" s="1"/>
  <c r="AB62" i="44"/>
  <c r="AC62" i="44" s="1"/>
  <c r="AN62" i="44" s="1"/>
  <c r="AR62" i="44" s="1"/>
  <c r="AB34" i="44"/>
  <c r="AC34" i="44" s="1"/>
  <c r="AN34" i="44" s="1"/>
  <c r="AL18" i="44"/>
  <c r="AL22" i="44" s="1"/>
  <c r="AL79" i="44"/>
  <c r="AB80" i="44"/>
  <c r="AC80" i="44" s="1"/>
  <c r="AN80" i="44" s="1"/>
  <c r="AR80" i="44" s="1"/>
  <c r="AL75" i="44"/>
  <c r="AR75" i="44"/>
  <c r="AB44" i="44"/>
  <c r="V119" i="44"/>
  <c r="AL113" i="44"/>
  <c r="AL119" i="44" s="1"/>
  <c r="V155" i="44"/>
  <c r="AL89" i="44"/>
  <c r="T13" i="42"/>
  <c r="T15" i="42" s="1"/>
  <c r="H45" i="26" s="1"/>
  <c r="AI45" i="26" s="1"/>
  <c r="AL124" i="44"/>
  <c r="AR94" i="44"/>
  <c r="AL94" i="44"/>
  <c r="AB53" i="44"/>
  <c r="AC53" i="44" s="1"/>
  <c r="AN53" i="44" s="1"/>
  <c r="AR53" i="44" s="1"/>
  <c r="AL86" i="44"/>
  <c r="R158" i="44"/>
  <c r="AB12" i="44"/>
  <c r="AC12" i="44" s="1"/>
  <c r="AN12" i="44" s="1"/>
  <c r="AR12" i="44" s="1"/>
  <c r="T155" i="44"/>
  <c r="AL45" i="44"/>
  <c r="T48" i="44"/>
  <c r="T107" i="44"/>
  <c r="X158" i="44"/>
  <c r="V22" i="44"/>
  <c r="V48" i="44"/>
  <c r="AL46" i="44"/>
  <c r="AB69" i="44"/>
  <c r="AC69" i="44" s="1"/>
  <c r="AN69" i="44" s="1"/>
  <c r="AR69" i="44" s="1"/>
  <c r="V107" i="44"/>
  <c r="AL56" i="44"/>
  <c r="AB16" i="44"/>
  <c r="AC16" i="44" s="1"/>
  <c r="AN16" i="44" s="1"/>
  <c r="AR16" i="44" s="1"/>
  <c r="Y158" i="44"/>
  <c r="L81" i="17"/>
  <c r="L206" i="17" s="1"/>
  <c r="AP68" i="43"/>
  <c r="AC68" i="43"/>
  <c r="AR68" i="43" s="1"/>
  <c r="AR83" i="43"/>
  <c r="AN83" i="43"/>
  <c r="AN114" i="43" s="1"/>
  <c r="AC185" i="43"/>
  <c r="AR185" i="43" s="1"/>
  <c r="AP102" i="43"/>
  <c r="AP114" i="43" s="1"/>
  <c r="AC102" i="43"/>
  <c r="AR102" i="43" s="1"/>
  <c r="H12" i="26"/>
  <c r="AI12" i="26" s="1"/>
  <c r="H25" i="26"/>
  <c r="AI25" i="26" s="1"/>
  <c r="D14" i="26"/>
  <c r="AC56" i="43"/>
  <c r="AP56" i="43"/>
  <c r="AP77" i="43" s="1"/>
  <c r="E39" i="26"/>
  <c r="AF39" i="26" s="1"/>
  <c r="R57" i="42"/>
  <c r="R104" i="42" s="1"/>
  <c r="R167" i="17"/>
  <c r="R178" i="17" s="1"/>
  <c r="R167" i="42"/>
  <c r="G31" i="26"/>
  <c r="AH31" i="26" s="1"/>
  <c r="H31" i="26"/>
  <c r="AI31" i="26" s="1"/>
  <c r="AN146" i="44"/>
  <c r="AR146" i="44" s="1"/>
  <c r="AB13" i="44"/>
  <c r="AA22" i="44"/>
  <c r="AA158" i="44" s="1"/>
  <c r="AP116" i="44"/>
  <c r="AC116" i="44"/>
  <c r="R111" i="42"/>
  <c r="R126" i="42" s="1"/>
  <c r="AC126" i="44"/>
  <c r="AB155" i="44"/>
  <c r="H29" i="26"/>
  <c r="AI29" i="26" s="1"/>
  <c r="AR129" i="44"/>
  <c r="AB191" i="43"/>
  <c r="R235" i="17"/>
  <c r="S235" i="17" s="1"/>
  <c r="AR59" i="44"/>
  <c r="AN180" i="43"/>
  <c r="AN187" i="43" s="1"/>
  <c r="AN191" i="43" s="1"/>
  <c r="AC187" i="43"/>
  <c r="O137" i="17"/>
  <c r="O162" i="17" s="1"/>
  <c r="AA191" i="43"/>
  <c r="AR127" i="43"/>
  <c r="AR145" i="43" s="1"/>
  <c r="AC162" i="43"/>
  <c r="R118" i="17" l="1"/>
  <c r="R130" i="17" s="1"/>
  <c r="G12" i="26" s="1"/>
  <c r="AH12" i="26" s="1"/>
  <c r="Q130" i="17"/>
  <c r="F12" i="26" s="1"/>
  <c r="AG12" i="26" s="1"/>
  <c r="N81" i="17"/>
  <c r="N206" i="17" s="1"/>
  <c r="P64" i="17"/>
  <c r="R162" i="42"/>
  <c r="AD12" i="26"/>
  <c r="AE55" i="26"/>
  <c r="AC55" i="26"/>
  <c r="C14" i="26"/>
  <c r="AE14" i="26"/>
  <c r="AD37" i="26"/>
  <c r="AD55" i="26" s="1"/>
  <c r="R513" i="39"/>
  <c r="E37" i="26"/>
  <c r="AR114" i="44"/>
  <c r="AB119" i="44"/>
  <c r="AP119" i="44"/>
  <c r="AP158" i="44" s="1"/>
  <c r="H23" i="26"/>
  <c r="H35" i="26" s="1"/>
  <c r="O64" i="17"/>
  <c r="O81" i="17" s="1"/>
  <c r="O206" i="17" s="1"/>
  <c r="H41" i="26"/>
  <c r="AI41" i="26" s="1"/>
  <c r="AL155" i="44"/>
  <c r="AR34" i="44"/>
  <c r="AB48" i="44"/>
  <c r="AC44" i="44"/>
  <c r="AC48" i="44" s="1"/>
  <c r="AC107" i="44"/>
  <c r="AL107" i="44"/>
  <c r="V158" i="44"/>
  <c r="AL48" i="44"/>
  <c r="AB22" i="44"/>
  <c r="AB107" i="44"/>
  <c r="B10" i="26"/>
  <c r="B20" i="26" s="1"/>
  <c r="B57" i="26" s="1"/>
  <c r="AC114" i="43"/>
  <c r="AR114" i="43"/>
  <c r="AP191" i="43"/>
  <c r="D10" i="26"/>
  <c r="AR56" i="43"/>
  <c r="AR77" i="43" s="1"/>
  <c r="AC77" i="43"/>
  <c r="S167" i="42"/>
  <c r="S167" i="17"/>
  <c r="G16" i="26"/>
  <c r="AH16" i="26" s="1"/>
  <c r="S57" i="42"/>
  <c r="S104" i="42" s="1"/>
  <c r="C18" i="26"/>
  <c r="AN107" i="44"/>
  <c r="AR107" i="44"/>
  <c r="AC13" i="44"/>
  <c r="AN13" i="44" s="1"/>
  <c r="AR116" i="44"/>
  <c r="AC119" i="44"/>
  <c r="S111" i="42"/>
  <c r="S126" i="42" s="1"/>
  <c r="AN126" i="44"/>
  <c r="AC155" i="44"/>
  <c r="C16" i="26"/>
  <c r="AR162" i="43"/>
  <c r="AR164" i="43" s="1"/>
  <c r="AC164" i="43"/>
  <c r="AC191" i="43" s="1"/>
  <c r="AR180" i="43"/>
  <c r="AR187" i="43" s="1"/>
  <c r="AR119" i="44" l="1"/>
  <c r="S162" i="42"/>
  <c r="AF37" i="26"/>
  <c r="E55" i="26"/>
  <c r="AE10" i="26"/>
  <c r="AE20" i="26" s="1"/>
  <c r="AE57" i="26" s="1"/>
  <c r="D20" i="26"/>
  <c r="D57" i="26" s="1"/>
  <c r="AD14" i="26"/>
  <c r="B21" i="26"/>
  <c r="AC10" i="26"/>
  <c r="AI23" i="26"/>
  <c r="E14" i="26"/>
  <c r="AF14" i="26" s="1"/>
  <c r="AL158" i="44"/>
  <c r="AN44" i="44"/>
  <c r="AR44" i="44" s="1"/>
  <c r="AR48" i="44" s="1"/>
  <c r="P81" i="17"/>
  <c r="S178" i="17"/>
  <c r="F37" i="26"/>
  <c r="AB158" i="44"/>
  <c r="C10" i="26"/>
  <c r="C20" i="26" s="1"/>
  <c r="C57" i="26" s="1"/>
  <c r="F39" i="26"/>
  <c r="AG39" i="26" s="1"/>
  <c r="G39" i="26"/>
  <c r="AH39" i="26" s="1"/>
  <c r="T57" i="42"/>
  <c r="T104" i="42" s="1"/>
  <c r="T167" i="42"/>
  <c r="AC22" i="44"/>
  <c r="AC158" i="44" s="1"/>
  <c r="AN22" i="44"/>
  <c r="AR13" i="44"/>
  <c r="AR22" i="44" s="1"/>
  <c r="AR126" i="44"/>
  <c r="AR155" i="44" s="1"/>
  <c r="AN155" i="44"/>
  <c r="T111" i="42"/>
  <c r="T126" i="42" s="1"/>
  <c r="Q137" i="17"/>
  <c r="AR191" i="43"/>
  <c r="AE58" i="26" l="1"/>
  <c r="T162" i="42"/>
  <c r="AI35" i="26"/>
  <c r="AG37" i="26"/>
  <c r="F55" i="26"/>
  <c r="AF55" i="26"/>
  <c r="AC20" i="26"/>
  <c r="AC57" i="26" s="1"/>
  <c r="AD10" i="26"/>
  <c r="AD20" i="26" s="1"/>
  <c r="AD57" i="26" s="1"/>
  <c r="P206" i="17"/>
  <c r="D58" i="26"/>
  <c r="B58" i="26"/>
  <c r="AN48" i="44"/>
  <c r="AN158" i="44" s="1"/>
  <c r="H16" i="26"/>
  <c r="AI16" i="26" s="1"/>
  <c r="Q162" i="17"/>
  <c r="G37" i="26"/>
  <c r="H37" i="26"/>
  <c r="Q64" i="17"/>
  <c r="Q81" i="17" s="1"/>
  <c r="AR158" i="44"/>
  <c r="R137" i="17"/>
  <c r="R162" i="17" s="1"/>
  <c r="AH37" i="26" l="1"/>
  <c r="G55" i="26"/>
  <c r="AG55" i="26"/>
  <c r="AI37" i="26"/>
  <c r="H55" i="26"/>
  <c r="AC21" i="26"/>
  <c r="AC58" i="26"/>
  <c r="Q206" i="17"/>
  <c r="F14" i="26"/>
  <c r="AG14" i="26" s="1"/>
  <c r="H39" i="26"/>
  <c r="AI39" i="26" s="1"/>
  <c r="E10" i="26"/>
  <c r="G14" i="26"/>
  <c r="AH14" i="26" s="1"/>
  <c r="R64" i="17"/>
  <c r="R81" i="17" s="1"/>
  <c r="R206" i="17" s="1"/>
  <c r="F10" i="26"/>
  <c r="S137" i="17"/>
  <c r="S162" i="17" s="1"/>
  <c r="S206" i="17" s="1"/>
  <c r="AG10" i="26" l="1"/>
  <c r="AG20" i="26" s="1"/>
  <c r="AG57" i="26" s="1"/>
  <c r="F20" i="26"/>
  <c r="F57" i="26" s="1"/>
  <c r="AI55" i="26"/>
  <c r="AF10" i="26"/>
  <c r="E20" i="26"/>
  <c r="E57" i="26" s="1"/>
  <c r="AH55" i="26"/>
  <c r="H14" i="26"/>
  <c r="AI14" i="26" s="1"/>
  <c r="H10" i="26"/>
  <c r="AF20" i="26" l="1"/>
  <c r="AF57" i="26" s="1"/>
  <c r="AF58" i="26" s="1"/>
  <c r="AI10" i="26"/>
  <c r="AI20" i="26" s="1"/>
  <c r="AI57" i="26" s="1"/>
  <c r="H20" i="26"/>
  <c r="H57" i="26" s="1"/>
  <c r="E58" i="26"/>
  <c r="G10" i="26"/>
  <c r="AH10" i="26" l="1"/>
  <c r="AH20" i="26" s="1"/>
  <c r="G20" i="26"/>
  <c r="G23" i="26"/>
  <c r="AI58" i="26"/>
  <c r="AH23" i="26" l="1"/>
  <c r="G35" i="26"/>
  <c r="G57" i="26"/>
  <c r="H58" i="26"/>
  <c r="AH35" i="26" l="1"/>
  <c r="AH57" i="26" s="1"/>
  <c r="AH58" i="26" s="1"/>
  <c r="G58" i="26"/>
  <c r="AG58" i="26"/>
  <c r="F58" i="26" l="1"/>
</calcChain>
</file>

<file path=xl/comments1.xml><?xml version="1.0" encoding="utf-8"?>
<comments xmlns="http://schemas.openxmlformats.org/spreadsheetml/2006/main">
  <authors>
    <author>Jennifer Puryear</author>
  </authors>
  <commentList>
    <comment ref="R10" authorId="0" shapeId="0">
      <text>
        <r>
          <rPr>
            <sz val="9"/>
            <color indexed="81"/>
            <rFont val="Tahoma"/>
            <family val="2"/>
          </rPr>
          <t>Multiple accounts are allowed
Example: 14110,15110 
or a range of accounts 
Example:
14110..15110</t>
        </r>
      </text>
    </comment>
  </commentList>
</comments>
</file>

<file path=xl/comments2.xml><?xml version="1.0" encoding="utf-8"?>
<comments xmlns="http://schemas.openxmlformats.org/spreadsheetml/2006/main">
  <authors>
    <author>Adam Rodriguez</author>
    <author>Heather Garland</author>
  </authors>
  <commentList>
    <comment ref="O28" authorId="0" shapeId="0">
      <text>
        <r>
          <rPr>
            <b/>
            <sz val="9"/>
            <color indexed="81"/>
            <rFont val="Tahoma"/>
            <family val="2"/>
          </rPr>
          <t>Add / Replace</t>
        </r>
      </text>
    </comment>
    <comment ref="P28" authorId="0" shapeId="0">
      <text>
        <r>
          <rPr>
            <b/>
            <sz val="9"/>
            <color indexed="81"/>
            <rFont val="Tahoma"/>
            <family val="2"/>
          </rPr>
          <t>New / Used</t>
        </r>
      </text>
    </comment>
    <comment ref="AG28" authorId="0" shapeId="0">
      <text>
        <r>
          <rPr>
            <sz val="9"/>
            <color indexed="81"/>
            <rFont val="Tahoma"/>
            <family val="2"/>
          </rPr>
          <t>Required if PO Item is marked as 'R' and if Heavy Equipment or Truck</t>
        </r>
      </text>
    </comment>
    <comment ref="AI28" authorId="0" shapeId="0">
      <text>
        <r>
          <rPr>
            <sz val="9"/>
            <color indexed="81"/>
            <rFont val="Tahoma"/>
            <family val="2"/>
          </rPr>
          <t>Required if PO Item is marked as 'R' and if Heavy Equipment or Truck</t>
        </r>
      </text>
    </comment>
    <comment ref="AK28" authorId="0" shapeId="0">
      <text>
        <r>
          <rPr>
            <b/>
            <sz val="9"/>
            <color indexed="81"/>
            <rFont val="Tahoma"/>
            <family val="2"/>
          </rPr>
          <t>This field will not be uploaded to DMS</t>
        </r>
      </text>
    </comment>
    <comment ref="AM28" authorId="0" shapeId="0">
      <text>
        <r>
          <rPr>
            <b/>
            <sz val="9"/>
            <color indexed="81"/>
            <rFont val="Tahoma"/>
            <family val="2"/>
          </rPr>
          <t xml:space="preserve">This field will not be uploaded to DMS
</t>
        </r>
        <r>
          <rPr>
            <sz val="9"/>
            <color indexed="81"/>
            <rFont val="Tahoma"/>
            <family val="2"/>
          </rPr>
          <t>Text will become a hyperlink when you pull again</t>
        </r>
      </text>
    </comment>
    <comment ref="Y30" authorId="1" shapeId="0">
      <text>
        <r>
          <rPr>
            <b/>
            <sz val="9"/>
            <color indexed="81"/>
            <rFont val="Tahoma"/>
            <family val="2"/>
          </rPr>
          <t>Heather Garland:</t>
        </r>
        <r>
          <rPr>
            <sz val="9"/>
            <color indexed="81"/>
            <rFont val="Tahoma"/>
            <family val="2"/>
          </rPr>
          <t xml:space="preserve">
Permitting only - do not include.</t>
        </r>
      </text>
    </comment>
    <comment ref="N68" authorId="1" shapeId="0">
      <text>
        <r>
          <rPr>
            <b/>
            <sz val="9"/>
            <color indexed="81"/>
            <rFont val="Tahoma"/>
            <family val="2"/>
          </rPr>
          <t>Heather Garland:</t>
        </r>
        <r>
          <rPr>
            <sz val="9"/>
            <color indexed="81"/>
            <rFont val="Tahoma"/>
            <family val="2"/>
          </rPr>
          <t xml:space="preserve">
Blend of cart/container lives.</t>
        </r>
      </text>
    </comment>
    <comment ref="L72" authorId="1" shapeId="0">
      <text>
        <r>
          <rPr>
            <b/>
            <sz val="9"/>
            <color indexed="81"/>
            <rFont val="Tahoma"/>
            <family val="2"/>
          </rPr>
          <t>Heather Garland:</t>
        </r>
        <r>
          <rPr>
            <sz val="9"/>
            <color indexed="81"/>
            <rFont val="Tahoma"/>
            <family val="2"/>
          </rPr>
          <t xml:space="preserve">
Budgeted for 2021, but still in transit due to supply chain issues.</t>
        </r>
      </text>
    </comment>
  </commentList>
</comments>
</file>

<file path=xl/comments3.xml><?xml version="1.0" encoding="utf-8"?>
<comments xmlns="http://schemas.openxmlformats.org/spreadsheetml/2006/main">
  <authors>
    <author>Adam Rodriguez</author>
  </authors>
  <commentList>
    <comment ref="O28" authorId="0" shapeId="0">
      <text>
        <r>
          <rPr>
            <b/>
            <sz val="9"/>
            <color indexed="81"/>
            <rFont val="Tahoma"/>
            <family val="2"/>
          </rPr>
          <t>Add / Replace</t>
        </r>
      </text>
    </comment>
    <comment ref="P28" authorId="0" shapeId="0">
      <text>
        <r>
          <rPr>
            <b/>
            <sz val="9"/>
            <color indexed="81"/>
            <rFont val="Tahoma"/>
            <family val="2"/>
          </rPr>
          <t>New / Used</t>
        </r>
      </text>
    </comment>
    <comment ref="AG28" authorId="0" shapeId="0">
      <text>
        <r>
          <rPr>
            <sz val="9"/>
            <color indexed="81"/>
            <rFont val="Tahoma"/>
            <family val="2"/>
          </rPr>
          <t>Required if PO Item is marked as 'R' and if Heavy Equipment or Truck</t>
        </r>
      </text>
    </comment>
    <comment ref="AI28" authorId="0" shapeId="0">
      <text>
        <r>
          <rPr>
            <sz val="9"/>
            <color indexed="81"/>
            <rFont val="Tahoma"/>
            <family val="2"/>
          </rPr>
          <t>Required if PO Item is marked as 'R' and if Heavy Equipment or Truck</t>
        </r>
      </text>
    </comment>
    <comment ref="AK28" authorId="0" shapeId="0">
      <text>
        <r>
          <rPr>
            <b/>
            <sz val="9"/>
            <color indexed="81"/>
            <rFont val="Tahoma"/>
            <family val="2"/>
          </rPr>
          <t>This field will not be uploaded to DMS</t>
        </r>
      </text>
    </comment>
    <comment ref="AM28" authorId="0" shapeId="0">
      <text>
        <r>
          <rPr>
            <b/>
            <sz val="9"/>
            <color indexed="81"/>
            <rFont val="Tahoma"/>
            <family val="2"/>
          </rPr>
          <t xml:space="preserve">This field will not be uploaded to DMS
</t>
        </r>
        <r>
          <rPr>
            <sz val="9"/>
            <color indexed="81"/>
            <rFont val="Tahoma"/>
            <family val="2"/>
          </rPr>
          <t>Text will become a hyperlink when you pull again</t>
        </r>
      </text>
    </comment>
  </commentList>
</comments>
</file>

<file path=xl/comments4.xml><?xml version="1.0" encoding="utf-8"?>
<comments xmlns="http://schemas.openxmlformats.org/spreadsheetml/2006/main">
  <authors>
    <author>Adam Rodriguez</author>
    <author>Lindsay Waldram</author>
  </authors>
  <commentList>
    <comment ref="O28" authorId="0" shapeId="0">
      <text>
        <r>
          <rPr>
            <b/>
            <sz val="9"/>
            <color indexed="81"/>
            <rFont val="Tahoma"/>
            <family val="2"/>
          </rPr>
          <t>Add / Replace</t>
        </r>
      </text>
    </comment>
    <comment ref="P28" authorId="0" shapeId="0">
      <text>
        <r>
          <rPr>
            <b/>
            <sz val="9"/>
            <color indexed="81"/>
            <rFont val="Tahoma"/>
            <family val="2"/>
          </rPr>
          <t>New / Used</t>
        </r>
      </text>
    </comment>
    <comment ref="AG28" authorId="0" shapeId="0">
      <text>
        <r>
          <rPr>
            <sz val="9"/>
            <color indexed="81"/>
            <rFont val="Tahoma"/>
            <family val="2"/>
          </rPr>
          <t>Required if PO Item is marked as 'R' and if Heavy Equipment or Truck</t>
        </r>
      </text>
    </comment>
    <comment ref="AI28" authorId="0" shapeId="0">
      <text>
        <r>
          <rPr>
            <sz val="9"/>
            <color indexed="81"/>
            <rFont val="Tahoma"/>
            <family val="2"/>
          </rPr>
          <t>Required if PO Item is marked as 'R' and if Heavy Equipment or Truck</t>
        </r>
      </text>
    </comment>
    <comment ref="AK28" authorId="0" shapeId="0">
      <text>
        <r>
          <rPr>
            <b/>
            <sz val="9"/>
            <color indexed="81"/>
            <rFont val="Tahoma"/>
            <family val="2"/>
          </rPr>
          <t>This field will not be uploaded to DMS</t>
        </r>
      </text>
    </comment>
    <comment ref="AM28" authorId="0" shapeId="0">
      <text>
        <r>
          <rPr>
            <b/>
            <sz val="9"/>
            <color indexed="81"/>
            <rFont val="Tahoma"/>
            <family val="2"/>
          </rPr>
          <t xml:space="preserve">This field will not be uploaded to DMS
</t>
        </r>
        <r>
          <rPr>
            <sz val="9"/>
            <color indexed="81"/>
            <rFont val="Tahoma"/>
            <family val="2"/>
          </rPr>
          <t>Text will become a hyperlink when you pull again</t>
        </r>
      </text>
    </comment>
    <comment ref="Y30" authorId="1" shapeId="0">
      <text>
        <r>
          <rPr>
            <b/>
            <sz val="9"/>
            <color indexed="81"/>
            <rFont val="Tahoma"/>
            <family val="2"/>
          </rPr>
          <t>WCNX:</t>
        </r>
        <r>
          <rPr>
            <sz val="9"/>
            <color indexed="81"/>
            <rFont val="Tahoma"/>
            <family val="2"/>
          </rPr>
          <t xml:space="preserve">
Updated to actual per district</t>
        </r>
      </text>
    </comment>
  </commentList>
</comments>
</file>

<file path=xl/comments5.xml><?xml version="1.0" encoding="utf-8"?>
<comments xmlns="http://schemas.openxmlformats.org/spreadsheetml/2006/main">
  <authors>
    <author>Hammond, Greg (UTC)</author>
    <author>WCI Information Systems Department</author>
    <author>Ben Thompson</author>
    <author>Chelsea Paschke</author>
    <author>HeatherL</author>
    <author>PatrickSa</author>
    <author>Lindsay Waldram</author>
    <author>heatherg</author>
    <author>Heather Garland</author>
  </authors>
  <commentList>
    <comment ref="D15" authorId="0" shapeId="0">
      <text>
        <r>
          <rPr>
            <b/>
            <sz val="9"/>
            <color indexed="81"/>
            <rFont val="Tahoma"/>
            <family val="2"/>
          </rPr>
          <t>Hammond, Greg (UTC):</t>
        </r>
        <r>
          <rPr>
            <sz val="9"/>
            <color indexed="81"/>
            <rFont val="Tahoma"/>
            <family val="2"/>
          </rPr>
          <t xml:space="preserve">
Not present in prior case - classified as commercial recycling on orig trucks worksheet</t>
        </r>
      </text>
    </comment>
    <comment ref="I39" authorId="0" shapeId="0">
      <text>
        <r>
          <rPr>
            <b/>
            <sz val="9"/>
            <color indexed="81"/>
            <rFont val="Tahoma"/>
            <family val="2"/>
          </rPr>
          <t>Hammond, Greg (UTC):</t>
        </r>
        <r>
          <rPr>
            <sz val="9"/>
            <color indexed="81"/>
            <rFont val="Tahoma"/>
            <family val="2"/>
          </rPr>
          <t xml:space="preserve">
Propose change to 3 - don't see that any more were purchased since 2016</t>
        </r>
      </text>
    </comment>
    <comment ref="D89" authorId="0" shapeId="0">
      <text>
        <r>
          <rPr>
            <b/>
            <sz val="9"/>
            <color indexed="81"/>
            <rFont val="Tahoma"/>
            <family val="2"/>
          </rPr>
          <t>Hammond, Greg (UTC):</t>
        </r>
        <r>
          <rPr>
            <sz val="9"/>
            <color indexed="81"/>
            <rFont val="Tahoma"/>
            <family val="2"/>
          </rPr>
          <t xml:space="preserve">
Not present in last case</t>
        </r>
      </text>
    </comment>
    <comment ref="D91" authorId="0" shapeId="0">
      <text>
        <r>
          <rPr>
            <b/>
            <sz val="9"/>
            <color indexed="81"/>
            <rFont val="Tahoma"/>
            <family val="2"/>
          </rPr>
          <t>Hammond, Greg (UTC):</t>
        </r>
        <r>
          <rPr>
            <sz val="9"/>
            <color indexed="81"/>
            <rFont val="Tahoma"/>
            <family val="2"/>
          </rPr>
          <t xml:space="preserve">
Not present in last case</t>
        </r>
      </text>
    </comment>
    <comment ref="C101" authorId="1" shapeId="0">
      <text>
        <r>
          <rPr>
            <b/>
            <sz val="8"/>
            <color indexed="81"/>
            <rFont val="Tahoma"/>
            <family val="2"/>
          </rPr>
          <t>WCI Information Systems Department:</t>
        </r>
        <r>
          <rPr>
            <sz val="8"/>
            <color indexed="81"/>
            <rFont val="Tahoma"/>
            <family val="2"/>
          </rPr>
          <t xml:space="preserve">
I transferred this asset over from the 2180 schedule as this is the district the Master Truck Schedule said it belonged to.</t>
        </r>
      </text>
    </comment>
    <comment ref="D112" authorId="2" shapeId="0">
      <text>
        <r>
          <rPr>
            <b/>
            <sz val="9"/>
            <color indexed="81"/>
            <rFont val="Tahoma"/>
            <family val="2"/>
          </rPr>
          <t>Ben Thompson:</t>
        </r>
        <r>
          <rPr>
            <sz val="9"/>
            <color indexed="81"/>
            <rFont val="Tahoma"/>
            <family val="2"/>
          </rPr>
          <t xml:space="preserve">
75 total purchased and 73 allocated to other trucks.</t>
        </r>
      </text>
    </comment>
    <comment ref="D113" authorId="2" shapeId="0">
      <text>
        <r>
          <rPr>
            <b/>
            <sz val="9"/>
            <color indexed="81"/>
            <rFont val="Tahoma"/>
            <family val="2"/>
          </rPr>
          <t>Ben Thompson:</t>
        </r>
        <r>
          <rPr>
            <sz val="9"/>
            <color indexed="81"/>
            <rFont val="Tahoma"/>
            <family val="2"/>
          </rPr>
          <t xml:space="preserve">
75 total purchased and 73 allocated to other trucks.</t>
        </r>
      </text>
    </comment>
    <comment ref="D136" authorId="0" shapeId="0">
      <text>
        <r>
          <rPr>
            <b/>
            <sz val="9"/>
            <color indexed="81"/>
            <rFont val="Tahoma"/>
            <family val="2"/>
          </rPr>
          <t>Hammond, Greg (UTC):</t>
        </r>
        <r>
          <rPr>
            <sz val="9"/>
            <color indexed="81"/>
            <rFont val="Tahoma"/>
            <family val="2"/>
          </rPr>
          <t xml:space="preserve">
Converted from YW</t>
        </r>
      </text>
    </comment>
    <comment ref="I143" authorId="3" shapeId="0">
      <text>
        <r>
          <rPr>
            <b/>
            <sz val="9"/>
            <color indexed="81"/>
            <rFont val="Tahoma"/>
            <family val="2"/>
          </rPr>
          <t>Chelsea Paschke:</t>
        </r>
        <r>
          <rPr>
            <sz val="9"/>
            <color indexed="81"/>
            <rFont val="Tahoma"/>
            <family val="2"/>
          </rPr>
          <t xml:space="preserve">
combination of 3 assets. Is this the proper life to use?
</t>
        </r>
      </text>
    </comment>
    <comment ref="I167" authorId="0" shapeId="0">
      <text>
        <r>
          <rPr>
            <b/>
            <sz val="9"/>
            <color indexed="81"/>
            <rFont val="Tahoma"/>
            <family val="2"/>
          </rPr>
          <t xml:space="preserve">Hammond, Greg (UTC)
</t>
        </r>
        <r>
          <rPr>
            <sz val="9"/>
            <color indexed="81"/>
            <rFont val="Tahoma"/>
            <family val="2"/>
          </rPr>
          <t>Changed to 10 per company policy</t>
        </r>
      </text>
    </comment>
    <comment ref="L188" authorId="4" shapeId="0">
      <text>
        <r>
          <rPr>
            <b/>
            <sz val="8"/>
            <color indexed="81"/>
            <rFont val="Tahoma"/>
            <family val="2"/>
          </rPr>
          <t>HeatherL:</t>
        </r>
        <r>
          <rPr>
            <sz val="8"/>
            <color indexed="81"/>
            <rFont val="Tahoma"/>
            <family val="2"/>
          </rPr>
          <t xml:space="preserve">
On 12/21 I added a $3,819.97 greaser to this truck.  I found it listed on the 2180 listing as I was building that listing.  HL</t>
        </r>
      </text>
    </comment>
    <comment ref="B195" authorId="5" shapeId="0">
      <text>
        <r>
          <rPr>
            <b/>
            <sz val="8"/>
            <color indexed="81"/>
            <rFont val="Tahoma"/>
            <family val="2"/>
          </rPr>
          <t>PatrickSa:</t>
        </r>
        <r>
          <rPr>
            <sz val="8"/>
            <color indexed="81"/>
            <rFont val="Tahoma"/>
            <family val="2"/>
          </rPr>
          <t xml:space="preserve">
parent asset # 61093
</t>
        </r>
      </text>
    </comment>
    <comment ref="L236" authorId="0" shapeId="0">
      <text>
        <r>
          <rPr>
            <b/>
            <sz val="9"/>
            <color indexed="81"/>
            <rFont val="Tahoma"/>
            <family val="2"/>
          </rPr>
          <t>Hammond, Greg (UTC):</t>
        </r>
        <r>
          <rPr>
            <sz val="9"/>
            <color indexed="81"/>
            <rFont val="Tahoma"/>
            <family val="2"/>
          </rPr>
          <t xml:space="preserve">
Retired prior to 2012 rate case</t>
        </r>
      </text>
    </comment>
    <comment ref="B240" authorId="6" shapeId="0">
      <text>
        <r>
          <rPr>
            <b/>
            <sz val="9"/>
            <color indexed="81"/>
            <rFont val="Tahoma"/>
            <family val="2"/>
          </rPr>
          <t>Lindsay Waldram:</t>
        </r>
        <r>
          <rPr>
            <sz val="9"/>
            <color indexed="81"/>
            <rFont val="Tahoma"/>
            <family val="2"/>
          </rPr>
          <t xml:space="preserve">
Transferred?</t>
        </r>
      </text>
    </comment>
    <comment ref="C240" authorId="7" shapeId="0">
      <text>
        <r>
          <rPr>
            <b/>
            <sz val="9"/>
            <color indexed="81"/>
            <rFont val="Tahoma"/>
            <family val="2"/>
          </rPr>
          <t>heatherg:</t>
        </r>
        <r>
          <rPr>
            <sz val="9"/>
            <color indexed="81"/>
            <rFont val="Tahoma"/>
            <family val="2"/>
          </rPr>
          <t xml:space="preserve">
Used to deliver containers to Elma container repair yard.</t>
        </r>
      </text>
    </comment>
    <comment ref="I240" authorId="3" shapeId="0">
      <text>
        <r>
          <rPr>
            <b/>
            <sz val="9"/>
            <color indexed="81"/>
            <rFont val="Tahoma"/>
            <family val="2"/>
          </rPr>
          <t>Chelsea Paschke:</t>
        </r>
        <r>
          <rPr>
            <sz val="9"/>
            <color indexed="81"/>
            <rFont val="Tahoma"/>
            <family val="2"/>
          </rPr>
          <t xml:space="preserve">
reduced life from 5 to 3 and removed salvage value. Are we getting all of our depreciation for this asset?</t>
        </r>
      </text>
    </comment>
    <comment ref="C267" authorId="8" shapeId="0">
      <text>
        <r>
          <rPr>
            <b/>
            <sz val="9"/>
            <color indexed="81"/>
            <rFont val="Tahoma"/>
            <family val="2"/>
          </rPr>
          <t>Heather Garland:</t>
        </r>
        <r>
          <rPr>
            <sz val="9"/>
            <color indexed="81"/>
            <rFont val="Tahoma"/>
            <family val="2"/>
          </rPr>
          <t xml:space="preserve">
Transferred to 2188.
</t>
        </r>
      </text>
    </comment>
    <comment ref="C270" authorId="3" shapeId="0">
      <text>
        <r>
          <rPr>
            <b/>
            <sz val="9"/>
            <color indexed="81"/>
            <rFont val="Tahoma"/>
            <family val="2"/>
          </rPr>
          <t>Chelsea Paschke:</t>
        </r>
        <r>
          <rPr>
            <sz val="9"/>
            <color indexed="81"/>
            <rFont val="Tahoma"/>
            <family val="2"/>
          </rPr>
          <t xml:space="preserve">
per district - "RO Trailer, given back to Murreys.  Was used for RO Recycle while we had it" </t>
        </r>
      </text>
    </comment>
    <comment ref="D314" authorId="0" shapeId="0">
      <text>
        <r>
          <rPr>
            <b/>
            <sz val="9"/>
            <color indexed="81"/>
            <rFont val="Tahoma"/>
            <family val="2"/>
          </rPr>
          <t>Hammond, Greg (UTC):</t>
        </r>
        <r>
          <rPr>
            <sz val="9"/>
            <color indexed="81"/>
            <rFont val="Tahoma"/>
            <family val="2"/>
          </rPr>
          <t xml:space="preserve">
Not present in prior case - classified as commercial recycling on orig trucks worksheet</t>
        </r>
      </text>
    </comment>
    <comment ref="D330" authorId="0" shapeId="0">
      <text>
        <r>
          <rPr>
            <b/>
            <sz val="9"/>
            <color indexed="81"/>
            <rFont val="Tahoma"/>
            <family val="2"/>
          </rPr>
          <t>Hammond, Greg (UTC):</t>
        </r>
        <r>
          <rPr>
            <sz val="9"/>
            <color indexed="81"/>
            <rFont val="Tahoma"/>
            <family val="2"/>
          </rPr>
          <t xml:space="preserve">
Converted from Garbage</t>
        </r>
      </text>
    </comment>
  </commentList>
</comments>
</file>

<file path=xl/comments6.xml><?xml version="1.0" encoding="utf-8"?>
<comments xmlns="http://schemas.openxmlformats.org/spreadsheetml/2006/main">
  <authors>
    <author>Chelsea Paschke</author>
  </authors>
  <commentList>
    <comment ref="H285" authorId="0" shapeId="0">
      <text>
        <r>
          <rPr>
            <b/>
            <sz val="9"/>
            <color indexed="81"/>
            <rFont val="Tahoma"/>
            <family val="2"/>
          </rPr>
          <t>Chelsea Paschke:</t>
        </r>
        <r>
          <rPr>
            <sz val="9"/>
            <color indexed="81"/>
            <rFont val="Tahoma"/>
            <family val="2"/>
          </rPr>
          <t xml:space="preserve">
we have this as 6 y 11 m in the FAR?
</t>
        </r>
      </text>
    </comment>
  </commentList>
</comments>
</file>

<file path=xl/comments7.xml><?xml version="1.0" encoding="utf-8"?>
<comments xmlns="http://schemas.openxmlformats.org/spreadsheetml/2006/main">
  <authors>
    <author>Heather Garland</author>
    <author>Hammond, Greg (UTC)</author>
    <author>WCNX</author>
  </authors>
  <commentList>
    <comment ref="C13" authorId="0" shapeId="0">
      <text>
        <r>
          <rPr>
            <b/>
            <sz val="9"/>
            <color indexed="81"/>
            <rFont val="Tahoma"/>
            <family val="2"/>
          </rPr>
          <t>Heather Garland:</t>
        </r>
        <r>
          <rPr>
            <sz val="9"/>
            <color indexed="81"/>
            <rFont val="Tahoma"/>
            <family val="2"/>
          </rPr>
          <t xml:space="preserve">
Old office - will remain as a driver room when new building is built.</t>
        </r>
      </text>
    </comment>
    <comment ref="G93" authorId="1" shapeId="0">
      <text>
        <r>
          <rPr>
            <b/>
            <sz val="9"/>
            <color indexed="81"/>
            <rFont val="Tahoma"/>
            <family val="2"/>
          </rPr>
          <t>Hammond, Greg (UTC):</t>
        </r>
        <r>
          <rPr>
            <sz val="9"/>
            <color indexed="81"/>
            <rFont val="Tahoma"/>
            <family val="2"/>
          </rPr>
          <t xml:space="preserve">
Was 20%, changed to 0</t>
        </r>
      </text>
    </comment>
    <comment ref="G114" authorId="1" shapeId="0">
      <text>
        <r>
          <rPr>
            <b/>
            <sz val="9"/>
            <color indexed="81"/>
            <rFont val="Tahoma"/>
            <family val="2"/>
          </rPr>
          <t>Hammond, Greg (UTC):</t>
        </r>
        <r>
          <rPr>
            <sz val="9"/>
            <color indexed="81"/>
            <rFont val="Tahoma"/>
            <family val="2"/>
          </rPr>
          <t xml:space="preserve">
Was 20%, changed to 0</t>
        </r>
      </text>
    </comment>
    <comment ref="C141" authorId="2" shapeId="0">
      <text>
        <r>
          <rPr>
            <b/>
            <sz val="8"/>
            <color indexed="81"/>
            <rFont val="Tahoma"/>
            <family val="2"/>
          </rPr>
          <t>WCNX:</t>
        </r>
        <r>
          <rPr>
            <sz val="8"/>
            <color indexed="81"/>
            <rFont val="Tahoma"/>
            <family val="2"/>
          </rPr>
          <t xml:space="preserve">
Purchase of three (3) narrow band radio channels from Olympic Radio, LLC.  Last March, we entered into a 10 year agreement with Olympic Radio to lease 2 narrow band radio channels for all of our 2-way radio communication throughout South LeMay.  The new radios and channels have greatly improved communication throughout the districts.  Therefore, we negotiated an agreement to purchase the channels outright.
</t>
        </r>
      </text>
    </comment>
  </commentList>
</comments>
</file>

<file path=xl/comments8.xml><?xml version="1.0" encoding="utf-8"?>
<comments xmlns="http://schemas.openxmlformats.org/spreadsheetml/2006/main">
  <authors>
    <author>HeatherL</author>
    <author>PatrickSa</author>
    <author>heatherg</author>
    <author>WCI Information Systems Department</author>
    <author>Ben Thompson</author>
    <author>WCNX</author>
    <author>jenniferb</author>
    <author>Heather Garland</author>
  </authors>
  <commentList>
    <comment ref="N31" authorId="0" shapeId="0">
      <text>
        <r>
          <rPr>
            <b/>
            <sz val="8"/>
            <color indexed="81"/>
            <rFont val="Tahoma"/>
            <family val="2"/>
          </rPr>
          <t>HeatherL:</t>
        </r>
        <r>
          <rPr>
            <sz val="8"/>
            <color indexed="81"/>
            <rFont val="Tahoma"/>
            <family val="2"/>
          </rPr>
          <t xml:space="preserve">
On 12/21 I added a $3,819.97 greaser to this truck.  I found it listed on the 2180 listing as I was building that listing.  HL</t>
        </r>
      </text>
    </comment>
    <comment ref="B60" authorId="1" shapeId="0">
      <text>
        <r>
          <rPr>
            <b/>
            <sz val="8"/>
            <color indexed="81"/>
            <rFont val="Tahoma"/>
            <family val="2"/>
          </rPr>
          <t>PatrickSa:</t>
        </r>
        <r>
          <rPr>
            <sz val="8"/>
            <color indexed="81"/>
            <rFont val="Tahoma"/>
            <family val="2"/>
          </rPr>
          <t xml:space="preserve">
parent asset # 61093
</t>
        </r>
      </text>
    </comment>
    <comment ref="C69" authorId="2" shapeId="0">
      <text>
        <r>
          <rPr>
            <b/>
            <sz val="9"/>
            <color indexed="81"/>
            <rFont val="Tahoma"/>
            <family val="2"/>
          </rPr>
          <t>heatherg:</t>
        </r>
        <r>
          <rPr>
            <sz val="9"/>
            <color indexed="81"/>
            <rFont val="Tahoma"/>
            <family val="2"/>
          </rPr>
          <t xml:space="preserve">
Used to deliver containers to Elma container repair yard.</t>
        </r>
      </text>
    </comment>
    <comment ref="C93" authorId="3" shapeId="0">
      <text>
        <r>
          <rPr>
            <b/>
            <sz val="8"/>
            <color indexed="81"/>
            <rFont val="Tahoma"/>
            <family val="2"/>
          </rPr>
          <t>WCI Information Systems Department:</t>
        </r>
        <r>
          <rPr>
            <sz val="8"/>
            <color indexed="81"/>
            <rFont val="Tahoma"/>
            <family val="2"/>
          </rPr>
          <t xml:space="preserve">
I transferred this asset over from the 2180 schedule as this is the district the Master Truck Schedule said it belonged to.</t>
        </r>
      </text>
    </comment>
    <comment ref="D109" authorId="4" shapeId="0">
      <text>
        <r>
          <rPr>
            <b/>
            <sz val="9"/>
            <color indexed="81"/>
            <rFont val="Tahoma"/>
            <family val="2"/>
          </rPr>
          <t>Ben Thompson:</t>
        </r>
        <r>
          <rPr>
            <sz val="9"/>
            <color indexed="81"/>
            <rFont val="Tahoma"/>
            <family val="2"/>
          </rPr>
          <t xml:space="preserve">
75 total purchased and 73 allocated to other trucks.</t>
        </r>
      </text>
    </comment>
    <comment ref="D110" authorId="4" shapeId="0">
      <text>
        <r>
          <rPr>
            <b/>
            <sz val="9"/>
            <color indexed="81"/>
            <rFont val="Tahoma"/>
            <family val="2"/>
          </rPr>
          <t>Ben Thompson:</t>
        </r>
        <r>
          <rPr>
            <sz val="9"/>
            <color indexed="81"/>
            <rFont val="Tahoma"/>
            <family val="2"/>
          </rPr>
          <t xml:space="preserve">
75 total purchased and 73 allocated to other trucks.</t>
        </r>
      </text>
    </comment>
    <comment ref="C203" authorId="5" shapeId="0">
      <text>
        <r>
          <rPr>
            <b/>
            <sz val="8"/>
            <color indexed="81"/>
            <rFont val="Tahoma"/>
            <family val="2"/>
          </rPr>
          <t>WCNX:</t>
        </r>
        <r>
          <rPr>
            <sz val="8"/>
            <color indexed="81"/>
            <rFont val="Tahoma"/>
            <family val="2"/>
          </rPr>
          <t xml:space="preserve">
Transferred to 2186 5/2011.</t>
        </r>
      </text>
    </comment>
    <comment ref="C207" authorId="5" shapeId="0">
      <text>
        <r>
          <rPr>
            <b/>
            <sz val="8"/>
            <color indexed="81"/>
            <rFont val="Tahoma"/>
            <family val="2"/>
          </rPr>
          <t>WCNX:</t>
        </r>
        <r>
          <rPr>
            <sz val="8"/>
            <color indexed="81"/>
            <rFont val="Tahoma"/>
            <family val="2"/>
          </rPr>
          <t xml:space="preserve">
Transferred to 2188.</t>
        </r>
      </text>
    </comment>
    <comment ref="C208" authorId="5" shapeId="0">
      <text>
        <r>
          <rPr>
            <b/>
            <sz val="8"/>
            <color indexed="81"/>
            <rFont val="Tahoma"/>
            <family val="2"/>
          </rPr>
          <t>WCNX:</t>
        </r>
        <r>
          <rPr>
            <sz val="8"/>
            <color indexed="81"/>
            <rFont val="Tahoma"/>
            <family val="2"/>
          </rPr>
          <t xml:space="preserve">
Transferred to 2186.</t>
        </r>
      </text>
    </comment>
    <comment ref="C209" authorId="5" shapeId="0">
      <text>
        <r>
          <rPr>
            <b/>
            <sz val="8"/>
            <color indexed="81"/>
            <rFont val="Tahoma"/>
            <family val="2"/>
          </rPr>
          <t>WCNX:</t>
        </r>
        <r>
          <rPr>
            <sz val="8"/>
            <color indexed="81"/>
            <rFont val="Tahoma"/>
            <family val="2"/>
          </rPr>
          <t xml:space="preserve">
Tranasferred to 2184.
</t>
        </r>
      </text>
    </comment>
    <comment ref="C210" authorId="5" shapeId="0">
      <text>
        <r>
          <rPr>
            <b/>
            <sz val="8"/>
            <color indexed="81"/>
            <rFont val="Tahoma"/>
            <family val="2"/>
          </rPr>
          <t>WCNX:</t>
        </r>
        <r>
          <rPr>
            <sz val="8"/>
            <color indexed="81"/>
            <rFont val="Tahoma"/>
            <family val="2"/>
          </rPr>
          <t xml:space="preserve">
Transferred to PA 2 years ago.</t>
        </r>
      </text>
    </comment>
    <comment ref="C211" authorId="5" shapeId="0">
      <text>
        <r>
          <rPr>
            <b/>
            <sz val="8"/>
            <color indexed="81"/>
            <rFont val="Tahoma"/>
            <family val="2"/>
          </rPr>
          <t>WCNX:</t>
        </r>
        <r>
          <rPr>
            <sz val="8"/>
            <color indexed="81"/>
            <rFont val="Tahoma"/>
            <family val="2"/>
          </rPr>
          <t xml:space="preserve">
Transferred to 2186.
</t>
        </r>
      </text>
    </comment>
    <comment ref="D214" authorId="1" shapeId="0">
      <text>
        <r>
          <rPr>
            <b/>
            <sz val="8"/>
            <color indexed="81"/>
            <rFont val="Tahoma"/>
            <family val="2"/>
          </rPr>
          <t>PatrickSa:</t>
        </r>
        <r>
          <rPr>
            <sz val="8"/>
            <color indexed="81"/>
            <rFont val="Tahoma"/>
            <family val="2"/>
          </rPr>
          <t xml:space="preserve">
now disposed of</t>
        </r>
      </text>
    </comment>
    <comment ref="C245" authorId="2" shapeId="0">
      <text>
        <r>
          <rPr>
            <b/>
            <sz val="9"/>
            <color indexed="81"/>
            <rFont val="Tahoma"/>
            <family val="2"/>
          </rPr>
          <t>heatherg:</t>
        </r>
        <r>
          <rPr>
            <sz val="9"/>
            <color indexed="81"/>
            <rFont val="Tahoma"/>
            <family val="2"/>
          </rPr>
          <t xml:space="preserve">
Retired Nov 2015 per Jim Roth.</t>
        </r>
      </text>
    </comment>
    <comment ref="C251" authorId="2" shapeId="0">
      <text>
        <r>
          <rPr>
            <b/>
            <sz val="9"/>
            <color indexed="81"/>
            <rFont val="Tahoma"/>
            <family val="2"/>
          </rPr>
          <t>heatherg:</t>
        </r>
        <r>
          <rPr>
            <sz val="9"/>
            <color indexed="81"/>
            <rFont val="Tahoma"/>
            <family val="2"/>
          </rPr>
          <t xml:space="preserve">
Retired 11/2015 per Jim Roth.</t>
        </r>
      </text>
    </comment>
    <comment ref="B259" authorId="6" shapeId="0">
      <text>
        <r>
          <rPr>
            <b/>
            <sz val="9"/>
            <color indexed="81"/>
            <rFont val="Tahoma"/>
            <family val="2"/>
          </rPr>
          <t>jenniferb:</t>
        </r>
        <r>
          <rPr>
            <sz val="9"/>
            <color indexed="81"/>
            <rFont val="Tahoma"/>
            <family val="2"/>
          </rPr>
          <t xml:space="preserve">
transfer to 2184</t>
        </r>
      </text>
    </comment>
    <comment ref="C277" authorId="7" shapeId="0">
      <text>
        <r>
          <rPr>
            <b/>
            <sz val="9"/>
            <color indexed="81"/>
            <rFont val="Tahoma"/>
            <family val="2"/>
          </rPr>
          <t>Heather Garland:</t>
        </r>
        <r>
          <rPr>
            <sz val="9"/>
            <color indexed="81"/>
            <rFont val="Tahoma"/>
            <family val="2"/>
          </rPr>
          <t xml:space="preserve">
Transferred to Gray's.</t>
        </r>
      </text>
    </comment>
  </commentList>
</comments>
</file>

<file path=xl/comments9.xml><?xml version="1.0" encoding="utf-8"?>
<comments xmlns="http://schemas.openxmlformats.org/spreadsheetml/2006/main">
  <authors>
    <author>WCNX</author>
  </authors>
  <commentList>
    <comment ref="C144" authorId="0" shapeId="0">
      <text>
        <r>
          <rPr>
            <b/>
            <sz val="8"/>
            <color indexed="81"/>
            <rFont val="Tahoma"/>
            <family val="2"/>
          </rPr>
          <t>WCNX:</t>
        </r>
        <r>
          <rPr>
            <sz val="8"/>
            <color indexed="81"/>
            <rFont val="Tahoma"/>
            <family val="2"/>
          </rPr>
          <t xml:space="preserve">
Purchase of three (3) narrow band radio channels from Olympic Radio, LLC.  Last March, we entered into a 10 year agreement with Olympic Radio to lease 2 narrow band radio channels for all of our 2-way radio communication throughout South LeMay.  The new radios and channels have greatly improved communication throughout the districts.  Therefore, we negotiated an agreement to purchase the channels outright.
</t>
        </r>
      </text>
    </comment>
    <comment ref="C176" authorId="0" shapeId="0">
      <text>
        <r>
          <rPr>
            <b/>
            <sz val="8"/>
            <color indexed="81"/>
            <rFont val="Tahoma"/>
            <family val="2"/>
          </rPr>
          <t>WCNX:</t>
        </r>
        <r>
          <rPr>
            <sz val="8"/>
            <color indexed="81"/>
            <rFont val="Tahoma"/>
            <family val="2"/>
          </rPr>
          <t xml:space="preserve">
Transferred to 2188.</t>
        </r>
      </text>
    </comment>
  </commentList>
</comments>
</file>

<file path=xl/sharedStrings.xml><?xml version="1.0" encoding="utf-8"?>
<sst xmlns="http://schemas.openxmlformats.org/spreadsheetml/2006/main" count="12360" uniqueCount="2370">
  <si>
    <t>TRAVEL FOR 3553</t>
  </si>
  <si>
    <t>TRAVEL FOR 3556</t>
  </si>
  <si>
    <t>TOTAL SERVICE EQUIPMENT</t>
  </si>
  <si>
    <t>COMPUTER</t>
  </si>
  <si>
    <t>USE TAX ON COMPUTERS</t>
  </si>
  <si>
    <t>Trucks</t>
  </si>
  <si>
    <t>Investment</t>
  </si>
  <si>
    <t>20</t>
  </si>
  <si>
    <t>05</t>
  </si>
  <si>
    <t>10</t>
  </si>
  <si>
    <t>39</t>
  </si>
  <si>
    <t>07</t>
  </si>
  <si>
    <t>PAVING AT HOGUM BAY RD</t>
  </si>
  <si>
    <t>LID ASSESSMENT-HOGUM BAY RD</t>
  </si>
  <si>
    <t>TRANSITION PLATES FOR LOADING DOCKS</t>
  </si>
  <si>
    <t>FLOOR SYSTEM -- PACIFIC SHOP</t>
  </si>
  <si>
    <t>HOGUM BAY ROAD LAND IMPROVEMENTS</t>
  </si>
  <si>
    <t>PACIFIC OFFICE</t>
  </si>
  <si>
    <t>PACIFIC SHOP</t>
  </si>
  <si>
    <t>PACIFIC RECYCLE CENTER</t>
  </si>
  <si>
    <t>DIAGNOSTIC COMPUTER-PACIFIC</t>
  </si>
  <si>
    <t>Leasehold Improvements</t>
  </si>
  <si>
    <t>Residential Recycling</t>
  </si>
  <si>
    <t>5 YD F/L CATHEDRAL</t>
  </si>
  <si>
    <t>Land</t>
  </si>
  <si>
    <t xml:space="preserve">Beginning </t>
  </si>
  <si>
    <t>Depreciation Schedule</t>
  </si>
  <si>
    <t>Months in first year</t>
  </si>
  <si>
    <t>Months in second year</t>
  </si>
  <si>
    <t>A.</t>
  </si>
  <si>
    <t>Purchase date</t>
  </si>
  <si>
    <t>First year</t>
  </si>
  <si>
    <t>B.</t>
  </si>
  <si>
    <t>End of Test Period</t>
  </si>
  <si>
    <t>Second year</t>
  </si>
  <si>
    <t>C</t>
  </si>
  <si>
    <t>Date fully Depr</t>
  </si>
  <si>
    <t>D.</t>
  </si>
  <si>
    <t>Beg of Test Period</t>
  </si>
  <si>
    <t>E.</t>
  </si>
  <si>
    <t>Disposition Date</t>
  </si>
  <si>
    <t>Disposal</t>
  </si>
  <si>
    <t>Total</t>
  </si>
  <si>
    <t>Ending</t>
  </si>
  <si>
    <t>Allocated</t>
  </si>
  <si>
    <t xml:space="preserve"> </t>
  </si>
  <si>
    <t>Date in</t>
  </si>
  <si>
    <t>Salvage</t>
  </si>
  <si>
    <t>Year</t>
  </si>
  <si>
    <t>Asset</t>
  </si>
  <si>
    <t>Test</t>
  </si>
  <si>
    <t>%</t>
  </si>
  <si>
    <t>Accum</t>
  </si>
  <si>
    <t>Branch</t>
  </si>
  <si>
    <t>Accum.</t>
  </si>
  <si>
    <t>Average</t>
  </si>
  <si>
    <t>Building Structures</t>
  </si>
  <si>
    <t xml:space="preserve">Service </t>
  </si>
  <si>
    <t>Value</t>
  </si>
  <si>
    <t xml:space="preserve">Life </t>
  </si>
  <si>
    <t xml:space="preserve">Fully </t>
  </si>
  <si>
    <t xml:space="preserve"> Mo.</t>
  </si>
  <si>
    <t>Depr</t>
  </si>
  <si>
    <t xml:space="preserve">Monthly </t>
  </si>
  <si>
    <t>Depn</t>
  </si>
  <si>
    <t>Test yr.</t>
  </si>
  <si>
    <t>Allo.</t>
  </si>
  <si>
    <t>Test year</t>
  </si>
  <si>
    <t>Depr.</t>
  </si>
  <si>
    <t>B</t>
  </si>
  <si>
    <t>C.</t>
  </si>
  <si>
    <t>Codes</t>
  </si>
  <si>
    <t>No</t>
  </si>
  <si>
    <t>Asset Classification</t>
  </si>
  <si>
    <t>Mo</t>
  </si>
  <si>
    <t>M</t>
  </si>
  <si>
    <t>Years</t>
  </si>
  <si>
    <t>Depn.</t>
  </si>
  <si>
    <t>S/L</t>
  </si>
  <si>
    <t>TOTAL BUILDING STRUCTURES</t>
  </si>
  <si>
    <t>40YD F/L</t>
  </si>
  <si>
    <t>WORK ON #2504</t>
  </si>
  <si>
    <t>FLUP - 4033 - V02221293</t>
  </si>
  <si>
    <t>GRAND TOTAL</t>
  </si>
  <si>
    <t>GREASER SYSTEM FOR 1040</t>
  </si>
  <si>
    <t>Shop Equipment</t>
  </si>
  <si>
    <t>SPRINKLERS IN GREEN BLDG</t>
  </si>
  <si>
    <t>GREASER SYSTEM FOR 1041</t>
  </si>
  <si>
    <t>PACIFIC RADIO SYSTEM</t>
  </si>
  <si>
    <t>TRAVEL/STRIPING COSTS-3552</t>
  </si>
  <si>
    <t>TRAVEL COSTS-3552</t>
  </si>
  <si>
    <t>GREASE SYSTEM ON 2553</t>
  </si>
  <si>
    <t>27 CY LEACH CURBTENDER</t>
  </si>
  <si>
    <t>ASSESSED USE TAX ON CONST. BOX</t>
  </si>
  <si>
    <t>2 YD R/L W/PLASTIC</t>
  </si>
  <si>
    <t>1 YD R/L W/PLASTIC LID</t>
  </si>
  <si>
    <t>3 YD FL W/PLASTIC LIDS</t>
  </si>
  <si>
    <t>2 YD F/L W/PLASTIC LIDS</t>
  </si>
  <si>
    <t>1 YD R/L BINS</t>
  </si>
  <si>
    <t>-</t>
  </si>
  <si>
    <t>Method</t>
  </si>
  <si>
    <t>Accum Depr</t>
  </si>
  <si>
    <t>15</t>
  </si>
  <si>
    <t>MISC TOOLS</t>
  </si>
  <si>
    <t>POWER WASHER</t>
  </si>
  <si>
    <t>A/C MAINTENANCE TOOL</t>
  </si>
  <si>
    <t>AIR COMPRESSOR</t>
  </si>
  <si>
    <t>TOOLS FOR PACIFIC SHOP</t>
  </si>
  <si>
    <t>HEATER -- PACIFIC SHOP</t>
  </si>
  <si>
    <t>PAVING/LIGHTING -- PACIFIC PARKING</t>
  </si>
  <si>
    <t>FLOORING - PACIFIC SHOP</t>
  </si>
  <si>
    <t>LIGHTING BY TRUCK WASH</t>
  </si>
  <si>
    <t>LUBE SYSTEM</t>
  </si>
  <si>
    <t>BALER</t>
  </si>
  <si>
    <t>TOURQUE MULTIPLIER</t>
  </si>
  <si>
    <t>Equipment</t>
  </si>
  <si>
    <t>INSTALLATION ON TANKS</t>
  </si>
  <si>
    <t>CONTAINERS SORTLINE</t>
  </si>
  <si>
    <t>FIBERS SORTLINE</t>
  </si>
  <si>
    <t>REPLACE BELT ON PICKLINE</t>
  </si>
  <si>
    <t>PARTS WASHER</t>
  </si>
  <si>
    <t>RECYCLE PROCESSING EQUIPMENT</t>
  </si>
  <si>
    <t>SCALE</t>
  </si>
  <si>
    <t>TRUCK WASH</t>
  </si>
  <si>
    <t>REINSTALL OIL HEATERS</t>
  </si>
  <si>
    <t>FUEL TANK/STATION</t>
  </si>
  <si>
    <t>TRUCK LIFTS</t>
  </si>
  <si>
    <t>GARAGE DOOR OPENERS</t>
  </si>
  <si>
    <t>CONTAINER WASH</t>
  </si>
  <si>
    <t>DOOR OPENERS-SHOP</t>
  </si>
  <si>
    <t>PLASMA TORCH</t>
  </si>
  <si>
    <t>RAMPS</t>
  </si>
  <si>
    <t>ALARM SYSTEM -- PACIFIC SHOP</t>
  </si>
  <si>
    <t>1.5 YD R/L CONTAINERS</t>
  </si>
  <si>
    <t>1.5 YD F/L CONTAINERS</t>
  </si>
  <si>
    <t>PHONE SYSTEM UPGRADE</t>
  </si>
  <si>
    <t>PACIFIC PHONE SYSTEM UPGRADE</t>
  </si>
  <si>
    <t>5 YD</t>
  </si>
  <si>
    <t>Building</t>
  </si>
  <si>
    <t>65 GALLON GREEN CARTS</t>
  </si>
  <si>
    <t>4 YD F/L CONTAINERS</t>
  </si>
  <si>
    <t>95 GALLON BLUE YARD WASTE</t>
  </si>
  <si>
    <t>VIDEO CAMERA</t>
  </si>
  <si>
    <t>Truck</t>
  </si>
  <si>
    <t>35 GALLON GREEN CARTS</t>
  </si>
  <si>
    <t>ROLL OFF</t>
  </si>
  <si>
    <t>TOTAL ROLL OFF</t>
  </si>
  <si>
    <t>Garbage</t>
  </si>
  <si>
    <t>04 IHC 7400 W/ 20 YD PACKER</t>
  </si>
  <si>
    <t>07 INT'L W/20 YD METROPAK R/L</t>
  </si>
  <si>
    <t>07 INT'L W/METROPAK R/L BODY</t>
  </si>
  <si>
    <t>RL SP</t>
  </si>
  <si>
    <t>06 PETE 320 W/40 YD F/L PACKER</t>
  </si>
  <si>
    <t>07 AUTOCAR W/F/L PACKER</t>
  </si>
  <si>
    <t>96 MACK TRUCK</t>
  </si>
  <si>
    <t>SL SP</t>
  </si>
  <si>
    <t>00 PETERBILT 320</t>
  </si>
  <si>
    <t>Yard Waste</t>
  </si>
  <si>
    <t>01 WXR64 W/27CY CURTENDER</t>
  </si>
  <si>
    <t>05 PETE W/27CY CURBTENDER</t>
  </si>
  <si>
    <t>06 PETE W/27 CY CURBTENDER</t>
  </si>
  <si>
    <t>07 PETE W/27 CY CURBTENDER</t>
  </si>
  <si>
    <t>07 PETE W/27 CY CURBTENDER BODY</t>
  </si>
  <si>
    <t>02 INT'L 9200I 6X4 ROLLOFF</t>
  </si>
  <si>
    <t>04 STERLING W/ROLLOFF</t>
  </si>
  <si>
    <t>06 VOLVO W/DROP BOX MECHANISM</t>
  </si>
  <si>
    <t>06 VOLVO W/ROLLOFF UNIT</t>
  </si>
  <si>
    <t>07 VOLVO W/HELM DROP</t>
  </si>
  <si>
    <t>2000 PETERBILT</t>
  </si>
  <si>
    <t>2000 PETERBILT 320</t>
  </si>
  <si>
    <t>20 YD DROP BOX</t>
  </si>
  <si>
    <t>30 YD DROP BOX</t>
  </si>
  <si>
    <t>40 YD DROP BOX</t>
  </si>
  <si>
    <t>Cost</t>
  </si>
  <si>
    <t>2002 INT'L 9200I</t>
  </si>
  <si>
    <t>2 YD F/L W/ PLAST. LID &amp; CASTR</t>
  </si>
  <si>
    <t>50</t>
  </si>
  <si>
    <t>TOTAL LEASEHOLD IMPROVEMENTS</t>
  </si>
  <si>
    <t>5 YD CONTAINERS</t>
  </si>
  <si>
    <t>5 YD FRONT LOAD</t>
  </si>
  <si>
    <t>HOOKLIFT ON FORD #4510</t>
  </si>
  <si>
    <t>TRAVEL EXP. ON #4510</t>
  </si>
  <si>
    <t>HOOKLIFT #4511</t>
  </si>
  <si>
    <t>95 GALLON CARTS - BLUE</t>
  </si>
  <si>
    <t>SHARP AR-405 COPIER</t>
  </si>
  <si>
    <t>HP LASERJET 4200DTN (PACIFIC)</t>
  </si>
  <si>
    <t>20 GALLON CART INSERTS</t>
  </si>
  <si>
    <t>35 GALLON GREEN CONTAINERS</t>
  </si>
  <si>
    <t>Beginning</t>
  </si>
  <si>
    <t>Quantity</t>
  </si>
  <si>
    <t>1 YD R/L CONTAINER</t>
  </si>
  <si>
    <t>1.5 YD COMBO W/ LIDS</t>
  </si>
  <si>
    <t>SHOP HEATER</t>
  </si>
  <si>
    <t>1.5 YD FRONT LOAD</t>
  </si>
  <si>
    <t>1.5 YD HEIL</t>
  </si>
  <si>
    <t>1.5 YD R/L W/ LIDS &amp; CASTORS</t>
  </si>
  <si>
    <t>10 YD DROP BOXES</t>
  </si>
  <si>
    <t>10 YD DROP BOX</t>
  </si>
  <si>
    <t>2 YD COMBO CONTAINERS</t>
  </si>
  <si>
    <t>2 YD R/L CONTAINER</t>
  </si>
  <si>
    <t>2 YD R/L W/ LIDS</t>
  </si>
  <si>
    <t>2 YD R/L W/LIDS</t>
  </si>
  <si>
    <t>20 GALLON ROLL OUT CART INSERT</t>
  </si>
  <si>
    <t>PHONES FOR PACIFIC DISPOSAL</t>
  </si>
  <si>
    <t>DIGITAL TELEPHONE SYSTEM</t>
  </si>
  <si>
    <t>PMT. ON PHONE SYSTEM</t>
  </si>
  <si>
    <t>BALANCE PD ON PHONE SYSTEM</t>
  </si>
  <si>
    <t>PRINTER AND MONITOR</t>
  </si>
  <si>
    <t>HP LJ 8100DN 32PPM W/AUTO</t>
  </si>
  <si>
    <t>USE TAX ON HP PRINTER</t>
  </si>
  <si>
    <t>FURNITURE FOR NEW OFFICE</t>
  </si>
  <si>
    <t>FIXTURES FOR NEW OFFICE</t>
  </si>
  <si>
    <t>COMPUTERS FOR NEW OFFICE</t>
  </si>
  <si>
    <t>PHONE SYSTEM</t>
  </si>
  <si>
    <t>PACIFIC SHOP COMPUTER</t>
  </si>
  <si>
    <t>UNISOFT CUSTOM WORKSTATION</t>
  </si>
  <si>
    <t>COMPUTER - PAC OFFICE</t>
  </si>
  <si>
    <t>COMPUTER WORKSTATION</t>
  </si>
  <si>
    <t>LAPTOP FOR EDGE SEMINAR</t>
  </si>
  <si>
    <t>SHELVING IN SHOP</t>
  </si>
  <si>
    <t>CABINET WASHER</t>
  </si>
  <si>
    <t>3 YD F/L W/ LIDS</t>
  </si>
  <si>
    <t>3 YD F/L W/LIDS</t>
  </si>
  <si>
    <t>35 GALLON CARTS</t>
  </si>
  <si>
    <t>35 GALLON CARTS - FOREST GREEN</t>
  </si>
  <si>
    <t>35 GALLON CARTS - GREEN</t>
  </si>
  <si>
    <t>35 GALLON CARTS - GREY</t>
  </si>
  <si>
    <t>35 GALLON FOREST GREEN REFUSE CARTS</t>
  </si>
  <si>
    <t>4 YD CONTAINERS</t>
  </si>
  <si>
    <t>68 GALLON GREEN CARTS</t>
  </si>
  <si>
    <t>2 YD R/L CONTAINERS</t>
  </si>
  <si>
    <t>40 YD DROP BOX W/LID</t>
  </si>
  <si>
    <t>40 YD STATIONARY COMPATORS</t>
  </si>
  <si>
    <t>95 GALLON  BLUE CARTS</t>
  </si>
  <si>
    <t>95 GALLON  BLUE YW CARTS</t>
  </si>
  <si>
    <t>95 GALLON  GREEN CARTS</t>
  </si>
  <si>
    <t>95 GALLON  GREEN CARTS W/BEIGE RECYCLE LID</t>
  </si>
  <si>
    <t>95 GALLON  GREEN RECYCLE CARTS W/IML LID</t>
  </si>
  <si>
    <t>95 GALLON  THUR CO RECYCLE CARTS</t>
  </si>
  <si>
    <t>95 GALLON AQUA BLUE CARTS</t>
  </si>
  <si>
    <t>95 GALLON AQUA CARTS</t>
  </si>
  <si>
    <t>95 GALLON BLUE YW CARTS</t>
  </si>
  <si>
    <t>2YD FRONT LOAD</t>
  </si>
  <si>
    <t>2 YD FRONT LOAD</t>
  </si>
  <si>
    <t>6 YD FRONT  LOAD</t>
  </si>
  <si>
    <t>CONVENTIONS</t>
  </si>
  <si>
    <t xml:space="preserve">Calendar year test period: </t>
  </si>
  <si>
    <t>mos in first year</t>
  </si>
  <si>
    <t>mos in 2nd year</t>
  </si>
  <si>
    <t>Second Year</t>
  </si>
  <si>
    <t>GARBAGE</t>
  </si>
  <si>
    <t>Accumulated</t>
  </si>
  <si>
    <t>Depreciation</t>
  </si>
  <si>
    <t>Dispositions must be in test period</t>
  </si>
  <si>
    <t>Asset Description</t>
  </si>
  <si>
    <t>Computes with one month convention</t>
  </si>
  <si>
    <t>i.e. whole month depreciation no</t>
  </si>
  <si>
    <t>matter what day of month put on</t>
  </si>
  <si>
    <t>service.</t>
  </si>
  <si>
    <t>Asset put in service in first month of test</t>
  </si>
  <si>
    <t>3 YD F/L CONTAINERS</t>
  </si>
  <si>
    <t>95 GALLON BLUE CARTS</t>
  </si>
  <si>
    <t>95 GALLON GREEN CARTS</t>
  </si>
  <si>
    <t>2 YD F/L CONTAINERS</t>
  </si>
  <si>
    <t>LEASEHOLD IMPROVEMENTS</t>
  </si>
  <si>
    <t>SHOP &amp; GARAGE</t>
  </si>
  <si>
    <t>TOTAL SHOP &amp; GARAGE</t>
  </si>
  <si>
    <t>CONCRETE CAP SLABS</t>
  </si>
  <si>
    <t>Test Year</t>
  </si>
  <si>
    <t>Drop Boxes</t>
  </si>
  <si>
    <t xml:space="preserve">Yard Waste </t>
  </si>
  <si>
    <t>Total Trucks</t>
  </si>
  <si>
    <t>Containers:</t>
  </si>
  <si>
    <t>Total Cont, Carts,Totes</t>
  </si>
  <si>
    <t>Service Equipment</t>
  </si>
  <si>
    <t>Office Equipment</t>
  </si>
  <si>
    <t>Total Equipment</t>
  </si>
  <si>
    <t>TOTAL YARD WASTE</t>
  </si>
  <si>
    <t>SERVICE EQUIPMENT</t>
  </si>
  <si>
    <t>1 YD F/L CONTAINERS</t>
  </si>
  <si>
    <t>period receives a full year depreciation</t>
  </si>
  <si>
    <t>but 1/2 of net assets for average investment</t>
  </si>
  <si>
    <t>Date in service cannot be after end of test period</t>
  </si>
  <si>
    <t>RO</t>
  </si>
  <si>
    <t>SL</t>
  </si>
  <si>
    <t>RL</t>
  </si>
  <si>
    <t>FL</t>
  </si>
  <si>
    <t>Roll Off</t>
  </si>
  <si>
    <t>DEL</t>
  </si>
  <si>
    <t>GREASER FOR 4054</t>
  </si>
  <si>
    <t>REC SP</t>
  </si>
  <si>
    <t xml:space="preserve">REC   </t>
  </si>
  <si>
    <t>REC</t>
  </si>
  <si>
    <t>05 GMC PU</t>
  </si>
  <si>
    <t>TOTAL GARBAGE</t>
  </si>
  <si>
    <t>YARD WASTE</t>
  </si>
  <si>
    <t>FET ON CURBTENDER BODY</t>
  </si>
  <si>
    <t>1 YD F/L F/T W/PLASTIC LIDS</t>
  </si>
  <si>
    <t>2 YD R/L W/PLASTIC LIDS</t>
  </si>
  <si>
    <t>3 YD F/L W/ PLAS LIDS &amp; CAST.</t>
  </si>
  <si>
    <t>3 YD F/L W/PLAS LIDS &amp; CASTR</t>
  </si>
  <si>
    <t>LIGHTING RETROFIT -- PAC SHOP</t>
  </si>
  <si>
    <t>20 GALLON CONTAINERS</t>
  </si>
  <si>
    <t>1996 INT'L 4700</t>
  </si>
  <si>
    <t>FLAT BED TO CONVERT TO DELIVERY</t>
  </si>
  <si>
    <t>ALUMINUM RECYCLE BODY</t>
  </si>
  <si>
    <t>95 GALLON CARTS - GREEN</t>
  </si>
  <si>
    <t>95 GALLON CARTS - NAVY BLUE</t>
  </si>
  <si>
    <t>95 GALLON REFUSE CARTS</t>
  </si>
  <si>
    <t>RADIO SYSTEM</t>
  </si>
  <si>
    <t>HP LASERJET 8150 PRINTER</t>
  </si>
  <si>
    <t>DC</t>
  </si>
  <si>
    <t>RW</t>
  </si>
  <si>
    <t>CAPITAL REPAIR ON #5001</t>
  </si>
  <si>
    <t>1990 TYPE M CURB</t>
  </si>
  <si>
    <t>FLUP - TRUCK 5013</t>
  </si>
  <si>
    <t/>
  </si>
  <si>
    <t>FLUP - TRUCK 3556</t>
  </si>
  <si>
    <t>1989 TYPE H REAR REL</t>
  </si>
  <si>
    <t>FLUP - TRUCK 1208</t>
  </si>
  <si>
    <t>FLUP-TRUCK 3575</t>
  </si>
  <si>
    <t>2009 PETERBILT 320 TYPE: H  TSIDE</t>
  </si>
  <si>
    <t>2009 TYPE H TSIDE ASL - CHASSIS, BODY, AUTOGREASER</t>
  </si>
  <si>
    <t>CONVERT TO DELIVERY TRUCK</t>
  </si>
  <si>
    <t>DRIVE CAMS</t>
  </si>
  <si>
    <t>DRIVE CAMS (ONSITE TECHNICIANS)</t>
  </si>
  <si>
    <t>PACIFIC ROUTEWARE INSTALLATIONS</t>
  </si>
  <si>
    <t>FLUP - TRUCK 4510</t>
  </si>
  <si>
    <t>FLUP - TRUCK 4511</t>
  </si>
  <si>
    <t>FLUP - TRUCK 4025</t>
  </si>
  <si>
    <t>FLUP - TRUCK 4030</t>
  </si>
  <si>
    <t>FLUP - TRUCK 4033</t>
  </si>
  <si>
    <t>08 VOLVO W/HELM ROLLOFF</t>
  </si>
  <si>
    <t>01 INT'L 4700 4X2 W/OLD BED</t>
  </si>
  <si>
    <t>FLUP - TRUCK 5042</t>
  </si>
  <si>
    <t>FLUP-TRUCK 5043</t>
  </si>
  <si>
    <t>07 AUTOCAR W/ MCNEILUS F/L BODY</t>
  </si>
  <si>
    <t>1990 TYPE H REAR REL</t>
  </si>
  <si>
    <t>FLUP - TRUCK 1214</t>
  </si>
  <si>
    <t>FLUP-TRUCK 3558</t>
  </si>
  <si>
    <t>FLUP - TRUCK 3572</t>
  </si>
  <si>
    <t>2183 Container List</t>
  </si>
  <si>
    <t>2183 Trucks List</t>
  </si>
  <si>
    <t>2183 - Other Equipment</t>
  </si>
  <si>
    <t>OFFICE ADDITION</t>
  </si>
  <si>
    <t>1991 CHEVY P/U</t>
  </si>
  <si>
    <t>88 CHEVY P/U</t>
  </si>
  <si>
    <t>THURSTON CO. MISC IMPROVEMENTS</t>
  </si>
  <si>
    <t>COMPUTER FOR OFFICE</t>
  </si>
  <si>
    <t>GARAGE DOORS (PAC SHOP)</t>
  </si>
  <si>
    <t>Z WALL LIGHTING (PACIFIC)</t>
  </si>
  <si>
    <t>TIP WALL AND PAVING (PACIFIC)</t>
  </si>
  <si>
    <t>PARTS WASHER (PACIFIC)</t>
  </si>
  <si>
    <t>MILLERMATIC WELDER</t>
  </si>
  <si>
    <t>GENERATOR -- PACIFIC OFFICE</t>
  </si>
  <si>
    <t>25' PLASMA TORCH</t>
  </si>
  <si>
    <t>WELDER</t>
  </si>
  <si>
    <t>HARRIS SELCO BALER W/ CONVEYOR</t>
  </si>
  <si>
    <t>EQUIPMENT</t>
  </si>
  <si>
    <t>CAN FLATTENER</t>
  </si>
  <si>
    <t>(2) HEATERS &amp; TANK W/ STAND</t>
  </si>
  <si>
    <t>10 TON FLOOR JACK</t>
  </si>
  <si>
    <t>PAIR OF 220 EMERSON FLOOR JACKS ($1,740/EACH)</t>
  </si>
  <si>
    <t>SHOP JACKS</t>
  </si>
  <si>
    <t>FORD 8000 COE (SHOP TRUCK)</t>
  </si>
  <si>
    <t>BALANCE ON PHONE SYSTEM</t>
  </si>
  <si>
    <t>COMPUTER N357061493+</t>
  </si>
  <si>
    <t>PKBL MONITOR &amp; DESKJET</t>
  </si>
  <si>
    <t>CONVERS. PAC. (SOFTWARE)</t>
  </si>
  <si>
    <t>GREASE SYSTEM/STRIPING ON 3556</t>
  </si>
  <si>
    <t xml:space="preserve">FILTER INSTALLED BY REBUILDER </t>
  </si>
  <si>
    <t>VEHICLE REPAIR</t>
  </si>
  <si>
    <t>CAPITAL REPAIR - TRANSMISSION</t>
  </si>
  <si>
    <t>01 PB 320 W/LEACH 27 YD CURBTENDER</t>
  </si>
  <si>
    <t>06 INT'L W/ 20YD METRO-PAK RL</t>
  </si>
  <si>
    <t>06 INT'L W/METRO-PAK RL</t>
  </si>
  <si>
    <t>06 PB W/27 CY WAYNE CURBTENDER</t>
  </si>
  <si>
    <t>07 PB W/27 CY CURBTENDER S/L BODY</t>
  </si>
  <si>
    <t>2000 VOLVO W/CASCON POWERLIFT RO</t>
  </si>
  <si>
    <t>00 PB 320 W/27YD LEACH CURBTENDER</t>
  </si>
  <si>
    <t>03 PB 320 W/27 CY CURBTENDER</t>
  </si>
  <si>
    <t>07 PB W/ 27 F/L CURBTENDER</t>
  </si>
  <si>
    <t>Total other Equipment</t>
  </si>
  <si>
    <t>Pacific Disposal and Butlers Cove Refuse Service</t>
  </si>
  <si>
    <t>FAS #</t>
  </si>
  <si>
    <t>New 2010 Autocar ACX FEL</t>
  </si>
  <si>
    <t>RESIDENTIAL RECYCLE</t>
  </si>
  <si>
    <t>MULTI-FAMILY RECYCLE</t>
  </si>
  <si>
    <t>INSTALL ROUTEWARE 5000</t>
  </si>
  <si>
    <t>Perform Inframe on Trck 3552</t>
  </si>
  <si>
    <t>GARBAGE CONTAINERS</t>
  </si>
  <si>
    <t>2 YD PLASTIC</t>
  </si>
  <si>
    <t>3 YD PLASTIC</t>
  </si>
  <si>
    <t>TOTAL GARBAGE CARTS</t>
  </si>
  <si>
    <t>TOTAL DROP BOXES</t>
  </si>
  <si>
    <t>DROP BOXES</t>
  </si>
  <si>
    <t>CURBSIDE RECYCLING</t>
  </si>
  <si>
    <t>TOTAL CURBSIDE RECYCLING</t>
  </si>
  <si>
    <t>35 GAL REFUSE - GREEN</t>
  </si>
  <si>
    <t>95 GAL REFUSE - GREEN</t>
  </si>
  <si>
    <t>65 GAL REFUSE - GREEN</t>
  </si>
  <si>
    <t>95 GAL - YW - DARK BLUE</t>
  </si>
  <si>
    <t>95 GAL - RECYCLE - GREEN W/ TAN LID</t>
  </si>
  <si>
    <t>4 YD PLASTIC &amp; 40 DRN PLUGS</t>
  </si>
  <si>
    <t>GRAND TOTAL CONTAINERS</t>
  </si>
  <si>
    <t>TOTAL RESIDENTIAL RECYCLE</t>
  </si>
  <si>
    <t>TOTAL MULTI-FAMILY RECYCLE</t>
  </si>
  <si>
    <t>TOTAL GARBAGE CONTAINERS</t>
  </si>
  <si>
    <t>GARBAGE CARTS</t>
  </si>
  <si>
    <t>OFFICE EQUIPMENT</t>
  </si>
  <si>
    <t>TOTAL OFFICE EQUIPMENT</t>
  </si>
  <si>
    <t>Stormwater Improvement (Installation of Oil Water Separator)</t>
  </si>
  <si>
    <t>Professional  Services for Stormwater Improvement</t>
  </si>
  <si>
    <t>Run Circuits to New Office Furniture</t>
  </si>
  <si>
    <t>Office Renovation for Pacific Disposal</t>
  </si>
  <si>
    <t>Supply Permit &amp; Connect Office Equipment</t>
  </si>
  <si>
    <t>Cubical panel installation for Pacific Disposal</t>
  </si>
  <si>
    <t>(7) Winterms for Pacific Disposal</t>
  </si>
  <si>
    <t>Phone System Upgrade Pacific</t>
  </si>
  <si>
    <t>RW Mappoint 2010 Licenses</t>
  </si>
  <si>
    <t>Kohler Gas Welder</t>
  </si>
  <si>
    <t>1992 International Pumper Truck</t>
  </si>
  <si>
    <t>RM Site Licenses &amp; Users</t>
  </si>
  <si>
    <t>Garbage Carts</t>
  </si>
  <si>
    <t>Recycling Carts</t>
  </si>
  <si>
    <t>2009 VOLVO VNM84T200 Type: H  DROP</t>
  </si>
  <si>
    <t>81014, 81012</t>
  </si>
  <si>
    <t>RM Site Licenses</t>
  </si>
  <si>
    <t>Depreciation Summary -2183</t>
  </si>
  <si>
    <t>Check</t>
  </si>
  <si>
    <t>RETIREMENTS/TRANSFERS 2011</t>
  </si>
  <si>
    <t>ITEMS BELOW WERE REMOVED DURING 2011 PER CLEAN UP DONE BY DISTRICT PERSONNEL</t>
  </si>
  <si>
    <t>FAR #</t>
  </si>
  <si>
    <t>1990 Pick-Up Truck (Utility) (U)</t>
  </si>
  <si>
    <t>Handheld Radios &amp; Repeater for Radios</t>
  </si>
  <si>
    <t>88725, 88721</t>
  </si>
  <si>
    <t>(32) Truck Radios</t>
  </si>
  <si>
    <t>(11) Truck Radios</t>
  </si>
  <si>
    <t>(18) Truck Radios</t>
  </si>
  <si>
    <t>(2) Truck Radios</t>
  </si>
  <si>
    <t>(3) Truck Radios</t>
  </si>
  <si>
    <t>2012 Peterbilt w/Wayne Body (N)</t>
  </si>
  <si>
    <t>Sony Internet TV</t>
  </si>
  <si>
    <t>91068, 92495, 92496</t>
  </si>
  <si>
    <t>Rebuild Engine #4511</t>
  </si>
  <si>
    <t>HP Probook 6460B &amp; Docking Stn</t>
  </si>
  <si>
    <t>RETIREMENTS/TRANSFERS 2012</t>
  </si>
  <si>
    <t>2011 Peterbilt w/ MeNeilus FEL (N)</t>
  </si>
  <si>
    <t>01 DODGE DAKOTA - Supervisor Truck</t>
  </si>
  <si>
    <t>06 DODGE DAKOTA - Shop Truck</t>
  </si>
  <si>
    <t>99 INTERNATIONAL TRUCK (Glass)</t>
  </si>
  <si>
    <t>ALUMINUM RECYCLING BODY (Glass)</t>
  </si>
  <si>
    <t>02 INT'L 4700 4X2 W/RECYCLE BODY (Glass)</t>
  </si>
  <si>
    <t>1992 NISSAN UD HOOK TRUCK</t>
  </si>
  <si>
    <t>2005 F150 EXTENDED CAB PICKUP (U) SUPERVISOR TRK</t>
  </si>
  <si>
    <t>NOT LICENSED IN 2012</t>
  </si>
  <si>
    <t>Rural Garbage Service &amp;</t>
  </si>
  <si>
    <t>1999 INTERNATIONAL TRUCK (Glass)</t>
  </si>
  <si>
    <t>HEIL 20YD BED</t>
  </si>
  <si>
    <t>TYRONE UNITS</t>
  </si>
  <si>
    <t>1996 VOLVO FE42</t>
  </si>
  <si>
    <t>SHOP WORK ON #1009</t>
  </si>
  <si>
    <t>ASL</t>
  </si>
  <si>
    <t>95877, 96158, 97258</t>
  </si>
  <si>
    <t>97273, 97274</t>
  </si>
  <si>
    <t>95 GAL - RECYCLE - FOREST GREEN</t>
  </si>
  <si>
    <t>20 GAL REFUSE - GREEN</t>
  </si>
  <si>
    <t>Replace R/O Body - TRUCK 4030</t>
  </si>
  <si>
    <t>96611, 96947, 96949</t>
  </si>
  <si>
    <t>Wash Rack System Replacement</t>
  </si>
  <si>
    <t>97550, 97551</t>
  </si>
  <si>
    <t>RM Licenses for LeMay Pacific</t>
  </si>
  <si>
    <t>Conference Room Furniture</t>
  </si>
  <si>
    <t>95 GALLON CARTS - BLUE (COMMERCIAL)</t>
  </si>
  <si>
    <t>20 GAL CARTS W/ LIDS - GREEN</t>
  </si>
  <si>
    <t>FEL</t>
  </si>
  <si>
    <t>2013 Peterbilt 320 w/ Wittke Starlight Body (N)</t>
  </si>
  <si>
    <t>Engine Repair - 1042</t>
  </si>
  <si>
    <t>97216, 102295</t>
  </si>
  <si>
    <t>RETIREMENTS/TRANSFERS 2013</t>
  </si>
  <si>
    <t>104090, 104091</t>
  </si>
  <si>
    <t>Model 5680 Floor Scrubber</t>
  </si>
  <si>
    <t>107452, 107453</t>
  </si>
  <si>
    <t>107129, 107130</t>
  </si>
  <si>
    <t>107428, 107429, 107430</t>
  </si>
  <si>
    <t>6 YD F/L CONTAINERS</t>
  </si>
  <si>
    <t>HP Compaq 6300 Pro</t>
  </si>
  <si>
    <t>Engine Replacement #3604</t>
  </si>
  <si>
    <t>109342, 109343</t>
  </si>
  <si>
    <t>Radio Frequency for Truck Radios</t>
  </si>
  <si>
    <t>Engine Replacement #3603</t>
  </si>
  <si>
    <t>2014 ASL Peterbilt/Wayne (N)</t>
  </si>
  <si>
    <t>2013 ASL Peterbilt/Wayne (N)</t>
  </si>
  <si>
    <t>2002 Dodge Pick-Up (Site Management) (N)</t>
  </si>
  <si>
    <t>Tarping System &amp; Installation #4046 (N)</t>
  </si>
  <si>
    <t>Tarping System &amp; Installation #4047 (N)</t>
  </si>
  <si>
    <t>Tarping System &amp; Installation #4061 (N)</t>
  </si>
  <si>
    <t>Tarping System &amp; Installatio #4068 (N)</t>
  </si>
  <si>
    <t>Tarping System &amp; Installation #4054 (N)</t>
  </si>
  <si>
    <t>111303, 111304</t>
  </si>
  <si>
    <t>2006 Ford F550 Service Truck (U)</t>
  </si>
  <si>
    <t>2014 Isuzu Service Truck</t>
  </si>
  <si>
    <t>Wyse Winterms D10D</t>
  </si>
  <si>
    <t>00 PETERBILT 320 W/LABRIE RECYCLER (N)</t>
  </si>
  <si>
    <t>111221, 111222</t>
  </si>
  <si>
    <t>Engine Replacement #245</t>
  </si>
  <si>
    <t>Transmission Replacement #245</t>
  </si>
  <si>
    <t>RETIREMENTS/TRANSFERS 2014</t>
  </si>
  <si>
    <t>Retired</t>
  </si>
  <si>
    <t>Transmission Repair - Trk #3552</t>
  </si>
  <si>
    <t>95 GAL - RECYCLE CART</t>
  </si>
  <si>
    <t>96 GAL - RECYCLE CART</t>
  </si>
  <si>
    <t>96 GAL REFUSE - GREEN</t>
  </si>
  <si>
    <t>64 GAL REFUSE - GREEN</t>
  </si>
  <si>
    <t>96 GAL - YW - DARK BLUE</t>
  </si>
  <si>
    <t>1.5 YD REL CONTAINERS</t>
  </si>
  <si>
    <t>2 YD REL CONTAINERS</t>
  </si>
  <si>
    <t>1 YD REL CONTAINERS</t>
  </si>
  <si>
    <t>Panasonic Toughbook 53/Diagnostic Link</t>
  </si>
  <si>
    <t>Trucks Diagnostic Reader</t>
  </si>
  <si>
    <t>3 YD REL CONTAINERS</t>
  </si>
  <si>
    <t>6 YD REL CONTAINERS</t>
  </si>
  <si>
    <t>4 YD REL CONTAINERS</t>
  </si>
  <si>
    <t>Miller Dimension 652 Carbon Arc Welder</t>
  </si>
  <si>
    <t>118138/118758</t>
  </si>
  <si>
    <t>RO Box Winches</t>
  </si>
  <si>
    <t>2015 ASL Peterbilt (N)</t>
  </si>
  <si>
    <t>REL</t>
  </si>
  <si>
    <t>2015 REL Peterbilt (N)</t>
  </si>
  <si>
    <t>RO-Spare</t>
  </si>
  <si>
    <t>Auto Tarper #4033</t>
  </si>
  <si>
    <t>Commercial Recycling</t>
  </si>
  <si>
    <t>1992 VOLVO FE42</t>
  </si>
  <si>
    <t>MOTOROLA RADIO</t>
  </si>
  <si>
    <t>VOLVO AUTO SHIFTER</t>
  </si>
  <si>
    <t>CART FLIPPER</t>
  </si>
  <si>
    <t>1995 NISSAN UD HOOK TRUCK</t>
  </si>
  <si>
    <t>'00 INT'L 4900 4X2 W/20 YD METRO-PAK</t>
  </si>
  <si>
    <t>'02 INT'L 4900 4X2 W/20 YD METROPAK</t>
  </si>
  <si>
    <t>2003 INTL 7400 20 Yd Rearload</t>
  </si>
  <si>
    <t>'04 INT'L 4300 SBA 4X2</t>
  </si>
  <si>
    <t>'05 AUTOCAR WX64 W/WITTKE BODY</t>
  </si>
  <si>
    <t>1997 TYPE H REL (U)</t>
  </si>
  <si>
    <t>Panel Van</t>
  </si>
  <si>
    <t>FLUP - TRUCK 1029</t>
  </si>
  <si>
    <t>FLUP - TRUCK 1559</t>
  </si>
  <si>
    <t>FLUP - TRUCK 2022</t>
  </si>
  <si>
    <t>(16) TRUCK RADIOS</t>
  </si>
  <si>
    <t>TOTAL COMMERCIAL RECYCLING</t>
  </si>
  <si>
    <t>GREASER UNIT FOR 4049</t>
  </si>
  <si>
    <t>06 VOLVO DROP TRUCK (50% Reg/50% Non-Reg)</t>
  </si>
  <si>
    <t>08 VOLVO W/HELM DROP (50% Reg/50% Non-Reg)</t>
  </si>
  <si>
    <t>Auto Tarper &amp; Installation #4062 (N)</t>
  </si>
  <si>
    <t>Auto Tarper &amp; Installation #4049 (N)</t>
  </si>
  <si>
    <t>Commercial Recycle</t>
  </si>
  <si>
    <t>2006 FORD F-150 SUPERVISOR TRK</t>
  </si>
  <si>
    <t>Sup Trk</t>
  </si>
  <si>
    <t>95 Gal Carts - Dark Blue</t>
  </si>
  <si>
    <t>65 Gal Carts - Forest Green</t>
  </si>
  <si>
    <t>95 Gal Carts - Forest Green</t>
  </si>
  <si>
    <t>2 YD RECYCLE CONTAINER</t>
  </si>
  <si>
    <t>5 YD F/L CONTAINERS</t>
  </si>
  <si>
    <t>30 YD DB LIDS</t>
  </si>
  <si>
    <t>99 INT'L 4700 VAN DELIVERY TRUCK</t>
  </si>
  <si>
    <t>123663/123665</t>
  </si>
  <si>
    <t>123659/123660</t>
  </si>
  <si>
    <t>3 YD FEL CONTAINERS</t>
  </si>
  <si>
    <t>6 YD FEL CONTAINERS</t>
  </si>
  <si>
    <t>122783/122791</t>
  </si>
  <si>
    <t>2006 Transcraft Delivery Trailer with Forklift (U)</t>
  </si>
  <si>
    <t>Body, Floor, Packer Repair #3603</t>
  </si>
  <si>
    <t>Transmission Repair #4061</t>
  </si>
  <si>
    <t>HP 640 Laptop &amp; Docking Station</t>
  </si>
  <si>
    <t>HP 650 Laptop &amp; Docking Station</t>
  </si>
  <si>
    <t>(4) HP ProDesk 600G1</t>
  </si>
  <si>
    <t>Winterm Upgrades (17)</t>
  </si>
  <si>
    <t>New HP 650 Laptop &amp; Docking Station - Controller</t>
  </si>
  <si>
    <t>125758/126400</t>
  </si>
  <si>
    <t>Landa Pressure Washer</t>
  </si>
  <si>
    <t>Parking Lot Paving</t>
  </si>
  <si>
    <t>RETIREMENTS/TRANSFERS 2015</t>
  </si>
  <si>
    <t>5 YD FEL CONTAINERS</t>
  </si>
  <si>
    <t>JLG 1932RS Scissor Lift- Forklift</t>
  </si>
  <si>
    <t xml:space="preserve">2016 REL Peterbilt </t>
  </si>
  <si>
    <t xml:space="preserve">2016 ASL </t>
  </si>
  <si>
    <t>HP SB Probook 650 G1</t>
  </si>
  <si>
    <t>35 GAL REFUSE</t>
  </si>
  <si>
    <t>96 GAL REFUSE</t>
  </si>
  <si>
    <t>(46) Samsung Tablets</t>
  </si>
  <si>
    <t>(14) Samsung Tablets</t>
  </si>
  <si>
    <t>(3) Samsung Tablets</t>
  </si>
  <si>
    <t>(10) Samsung Tablets</t>
  </si>
  <si>
    <t>(2) Samsung Tablets</t>
  </si>
  <si>
    <t>132279/139785/139930</t>
  </si>
  <si>
    <t>HP SB PROBOOK 650</t>
  </si>
  <si>
    <t>96 GAL YW CARTS</t>
  </si>
  <si>
    <t>64 GAL REFUSE</t>
  </si>
  <si>
    <t>2017 RO Truck</t>
  </si>
  <si>
    <t>2017 Recycle Truck</t>
  </si>
  <si>
    <t>170001/170262</t>
  </si>
  <si>
    <t>2017 Recycle Truck &amp; License</t>
  </si>
  <si>
    <t>169999/170263</t>
  </si>
  <si>
    <t>2017 FEL Truck</t>
  </si>
  <si>
    <t>2016 Ford F150 &amp; Registration</t>
  </si>
  <si>
    <t>167233/169241</t>
  </si>
  <si>
    <t>(4) Truck lifts and forklift adapter</t>
  </si>
  <si>
    <t>Shop Lighting</t>
  </si>
  <si>
    <t>2 YD CONTAINERS</t>
  </si>
  <si>
    <t>RETIREMENTS/TRANSFERS 2016</t>
  </si>
  <si>
    <t>RETIREMENTS/TRANSFERS 2017</t>
  </si>
  <si>
    <t>30 YD Lidded RO Boxes</t>
  </si>
  <si>
    <t>6 Yd Containers</t>
  </si>
  <si>
    <t>4 Yd Containers</t>
  </si>
  <si>
    <t>1 Yd Containers</t>
  </si>
  <si>
    <t>96 Gallon Yardwaste Carts</t>
  </si>
  <si>
    <t>35 Gallon Refuse Carts</t>
  </si>
  <si>
    <t>96 Gallon Refuse Carts</t>
  </si>
  <si>
    <t>40 yd lidded RO Boxes</t>
  </si>
  <si>
    <t>96 Gal Recycle Carts</t>
  </si>
  <si>
    <t>64 Gal MSW Carts</t>
  </si>
  <si>
    <t>64 Gallon MSW Carts and Lids</t>
  </si>
  <si>
    <t>35 Gallon Garbage</t>
  </si>
  <si>
    <t>96 Gallon Recycle Carts</t>
  </si>
  <si>
    <t>1.5 Yd Container</t>
  </si>
  <si>
    <t>20 gal Garbage Carts</t>
  </si>
  <si>
    <t>6 Yd FEL Containers</t>
  </si>
  <si>
    <t>1.5 Yd Rear Load Containers</t>
  </si>
  <si>
    <t>1 Yd Rear Load Containers</t>
  </si>
  <si>
    <t>30yd RO Boxes/ RO Metal Cont., 30 yd</t>
  </si>
  <si>
    <t>186157, 61096</t>
  </si>
  <si>
    <t>186158, 61097</t>
  </si>
  <si>
    <t>Hoist RO Body</t>
  </si>
  <si>
    <t>(5) Truck Tablets</t>
  </si>
  <si>
    <t>Salvage Value Calculations</t>
  </si>
  <si>
    <t>Adjustment to</t>
  </si>
  <si>
    <t>Amort of</t>
  </si>
  <si>
    <t>Total Depreciation</t>
  </si>
  <si>
    <t>Avg. Investment</t>
  </si>
  <si>
    <t>Adjusted Avg.</t>
  </si>
  <si>
    <t>Salvage Value</t>
  </si>
  <si>
    <t>For Test Period</t>
  </si>
  <si>
    <t>Fully Depr Assets</t>
  </si>
  <si>
    <t>Assets w/ Depr Life</t>
  </si>
  <si>
    <t>Fully Depreciated in 2016</t>
  </si>
  <si>
    <t>Fully Depreciated in 2017</t>
  </si>
  <si>
    <t>Potential Excluded Depreciation</t>
  </si>
  <si>
    <t>HP ProBook 650 G2</t>
  </si>
  <si>
    <t xml:space="preserve">Annual </t>
  </si>
  <si>
    <t>Truck #5001  Amort of salvage</t>
  </si>
  <si>
    <t>Truck #4510 Amort of salvage</t>
  </si>
  <si>
    <t>Truck #4511 Amort of salvage</t>
  </si>
  <si>
    <t>Truck #3561 Amort of salvage</t>
  </si>
  <si>
    <t>Truck #1040 Amort of salvage</t>
  </si>
  <si>
    <t>Truck #3575 Amort of salvage</t>
  </si>
  <si>
    <t>Truck #5001 Amort of salvage</t>
  </si>
  <si>
    <t>Truck #3586 Amort of salvage</t>
  </si>
  <si>
    <t>Truck #3590 Amort of salvage</t>
  </si>
  <si>
    <t>Truck #3591 Amort of salvage</t>
  </si>
  <si>
    <t>Truck #3593 Amort of salvage</t>
  </si>
  <si>
    <t>Truck #11088 Amort of salvage</t>
  </si>
  <si>
    <t>Truck #3603 Amort of salvage</t>
  </si>
  <si>
    <t>Truck #1054 Amort of salvage</t>
  </si>
  <si>
    <t>Truck #1067 Amort of salvage</t>
  </si>
  <si>
    <t>Truck #1062 Amort of salvage</t>
  </si>
  <si>
    <t>Truck #3606 Amort of salvage</t>
  </si>
  <si>
    <t>Truck #3622 Amort of salvage</t>
  </si>
  <si>
    <t>Truck #5012 Amort of salvage</t>
  </si>
  <si>
    <t>Truck #3621 Amort of salvage</t>
  </si>
  <si>
    <t>Truck #67258 Amort of salvage</t>
  </si>
  <si>
    <t>Truck #68611 Amort of salvage</t>
  </si>
  <si>
    <t>Truck #2035 Amort of salvage</t>
  </si>
  <si>
    <t>Truck #3629 Amort of salvage</t>
  </si>
  <si>
    <t>Truck #2036 Amort of salvage</t>
  </si>
  <si>
    <t>Truck #4025 Amort of salvage</t>
  </si>
  <si>
    <t>Truck #4030 Amort of salvage</t>
  </si>
  <si>
    <t>Truck #4033 Amort of salvage</t>
  </si>
  <si>
    <t>Truck #4046 Amort of salvage</t>
  </si>
  <si>
    <t>Truck #4047 Amort of salvage</t>
  </si>
  <si>
    <t>Truck #4049 Amort of salvage</t>
  </si>
  <si>
    <t>Truck #4054 Amort of salvage</t>
  </si>
  <si>
    <t>Truck #4061 Amort of salvage</t>
  </si>
  <si>
    <t>Truck #4062 Amort of salvage</t>
  </si>
  <si>
    <t>Truck #4068 Amort of salvage</t>
  </si>
  <si>
    <t>Truck #5036 Amort of salvage</t>
  </si>
  <si>
    <t>Truck #5035 Amort of salvage</t>
  </si>
  <si>
    <t>Truck #5041 Amort of salvage</t>
  </si>
  <si>
    <t>Truck #5042 Amort of salvage</t>
  </si>
  <si>
    <t>Truck #5043 Amort of salvage</t>
  </si>
  <si>
    <t>Truck #5045 Amort of salvage</t>
  </si>
  <si>
    <t>Truck #3598 Amort of salvage</t>
  </si>
  <si>
    <t>Truck #3599 Amort of salvage</t>
  </si>
  <si>
    <t>Truck #3600 Amort of salvage</t>
  </si>
  <si>
    <t>Truck #3601 Amort of salvage</t>
  </si>
  <si>
    <t>Truck #3602 Amort of salvage</t>
  </si>
  <si>
    <t>Truck #3604 Amort of salvage</t>
  </si>
  <si>
    <t>Truck #3615 Amort of salvage</t>
  </si>
  <si>
    <t>Truck #68612 Amort of salvage</t>
  </si>
  <si>
    <t>Truck #3558 Amort of salvage</t>
  </si>
  <si>
    <t>Truck #3572 Amort of salvage</t>
  </si>
  <si>
    <t>Truck #3605 Amort of salvage</t>
  </si>
  <si>
    <t>Truck #4512 Amort of salvage</t>
  </si>
  <si>
    <t>Truck #4518 Amort of salvage</t>
  </si>
  <si>
    <t>Truck #2022 Amort of salvage</t>
  </si>
  <si>
    <t>Truck #9243 Amort of salvage</t>
  </si>
  <si>
    <t>Truck #9206 Amort of salvage</t>
  </si>
  <si>
    <t>Truck #6020 Amort of salvage</t>
  </si>
  <si>
    <t>Truck #6029 Amort of salvage</t>
  </si>
  <si>
    <t>Truck #6050 Amort of salvage</t>
  </si>
  <si>
    <t>International Pumper Truck Amort of salvage</t>
  </si>
  <si>
    <t>Truck #6047 Amort of salvage</t>
  </si>
  <si>
    <t>Routeware Amort of salvage</t>
  </si>
  <si>
    <t>Decals for New Truck Labrie</t>
  </si>
  <si>
    <t>191852/191688</t>
  </si>
  <si>
    <t>2018 ASL Truck Peterbilt Automated Sideload</t>
  </si>
  <si>
    <t>191687/114283</t>
  </si>
  <si>
    <t>Body for Truck</t>
  </si>
  <si>
    <t>2018 Hooklift Truck Stellar Retriever Truck</t>
  </si>
  <si>
    <t>2018 CD Truck</t>
  </si>
  <si>
    <t>65 Gallon Refuse Carts</t>
  </si>
  <si>
    <t>2018 ASL Truck Labrie</t>
  </si>
  <si>
    <t>96G Recycle Containers</t>
  </si>
  <si>
    <t>30 Yd RO Boxes</t>
  </si>
  <si>
    <t>2Yd RL Metal  Containers</t>
  </si>
  <si>
    <t>New ASL Pete 320 RHD/Labrie Automizer 29YD (UTC)</t>
  </si>
  <si>
    <t>New Pete 320 Chassis / Wittke Starlight FEL Truck</t>
  </si>
  <si>
    <t>New REL Pete 220/New Way Cobra 16yd</t>
  </si>
  <si>
    <t>New Glass Truck Pete 320/Kann Recy Body (UTC)</t>
  </si>
  <si>
    <t>194075/194074</t>
  </si>
  <si>
    <t>196852/194074</t>
  </si>
  <si>
    <t>Decals</t>
  </si>
  <si>
    <t>200622/199117</t>
  </si>
  <si>
    <t>Mobile Radio</t>
  </si>
  <si>
    <t>203437/202090</t>
  </si>
  <si>
    <t>Overweight  Permit for Truck 3672</t>
  </si>
  <si>
    <t>New Supervisor pickup Ford F150</t>
  </si>
  <si>
    <t>35 Gallon Refuse Containers</t>
  </si>
  <si>
    <t>96 Gallon Refuse Containers</t>
  </si>
  <si>
    <t>64 Gallon Refuse Container</t>
  </si>
  <si>
    <t>65 Gallon Refuse Containers</t>
  </si>
  <si>
    <t>96 Gallon Refuse Container</t>
  </si>
  <si>
    <t>Year/Mo</t>
  </si>
  <si>
    <t>Fully Depr</t>
  </si>
  <si>
    <t>Effective Rate Month</t>
  </si>
  <si>
    <t>First Year</t>
  </si>
  <si>
    <t>Rate Effective Year</t>
  </si>
  <si>
    <t>Annual</t>
  </si>
  <si>
    <t>Fully Der</t>
  </si>
  <si>
    <t>2019 RO Truck</t>
  </si>
  <si>
    <t>30 YD Containers</t>
  </si>
  <si>
    <t>206416/204247</t>
  </si>
  <si>
    <t>25 Yd Containers</t>
  </si>
  <si>
    <t>RETIREMENTS/TRANSFERS 2018</t>
  </si>
  <si>
    <t>3 Axle Trailer w/ 24 R/O Boom Muonthed</t>
  </si>
  <si>
    <t>4 Yd Metal Containers</t>
  </si>
  <si>
    <t>3 Yd Metal Containers</t>
  </si>
  <si>
    <t>1 Yd Metal Containers</t>
  </si>
  <si>
    <t>6 Yd Metal Containers</t>
  </si>
  <si>
    <t>2 Yd Metal Containers</t>
  </si>
  <si>
    <t>2019 FEL Truck</t>
  </si>
  <si>
    <t>202167/203776</t>
  </si>
  <si>
    <t>202091/203775</t>
  </si>
  <si>
    <t>202090/203774</t>
  </si>
  <si>
    <t>Drive Cam &amp; Mobil Radio</t>
  </si>
  <si>
    <t>204944/203765/202090</t>
  </si>
  <si>
    <t>2019 ASL Truck</t>
  </si>
  <si>
    <t>205327/ 2016195</t>
  </si>
  <si>
    <t>205637/ 204943/ 205327</t>
  </si>
  <si>
    <t>Mobile Radio &amp; Drive Cam</t>
  </si>
  <si>
    <t>203829/ 204847/ 204842</t>
  </si>
  <si>
    <t>205641/ 204942/ 203829</t>
  </si>
  <si>
    <t>202838/ 204846/ 204845/ 204844</t>
  </si>
  <si>
    <t>202838/ 205638/ 204940</t>
  </si>
  <si>
    <t>204939/ 203764/ 202091</t>
  </si>
  <si>
    <t>195950/ 197581/ 197580/ 197493</t>
  </si>
  <si>
    <t>196996/ 197437/ 195950</t>
  </si>
  <si>
    <t>Radio &amp; Drive Cam</t>
  </si>
  <si>
    <t>199117/ 200989/ 199421</t>
  </si>
  <si>
    <t>203124/ 204843/ 204841</t>
  </si>
  <si>
    <t>203124/205640/ 204520</t>
  </si>
  <si>
    <t>202839/ 204840/ 204839</t>
  </si>
  <si>
    <t>202839/205642/ 204522</t>
  </si>
  <si>
    <t>202167/206320/ 204521</t>
  </si>
  <si>
    <t>Radio &amp; Drivecam</t>
  </si>
  <si>
    <t>20 YD Containers</t>
  </si>
  <si>
    <t>19.5 Yd Containers</t>
  </si>
  <si>
    <t>15 Yd Containers</t>
  </si>
  <si>
    <t>10 Yd Containers</t>
  </si>
  <si>
    <t>10 Yd Hook Lift Container</t>
  </si>
  <si>
    <t>2 Yd Containers</t>
  </si>
  <si>
    <t>203760/ 204911</t>
  </si>
  <si>
    <t>Drive Cam</t>
  </si>
  <si>
    <t>Resi Recycle</t>
  </si>
  <si>
    <t>Roll off</t>
  </si>
  <si>
    <t>Amort Salvage Value of 18-19 Retired Trucks</t>
  </si>
  <si>
    <t>1999 Type H Van Box</t>
  </si>
  <si>
    <t>12 ft Storage Units</t>
  </si>
  <si>
    <t>22 ft Storage Units</t>
  </si>
  <si>
    <t>210490/61085</t>
  </si>
  <si>
    <t>Capital Repair Truck 1041 in Frame Rebuild</t>
  </si>
  <si>
    <t>HP ProBook 650 G4 Training Laptop</t>
  </si>
  <si>
    <t>Shop Diagnostic Laptop w/ Software</t>
  </si>
  <si>
    <t>35 Gallons Refuse Containers</t>
  </si>
  <si>
    <t>96 Gallon Recycle Containers</t>
  </si>
  <si>
    <t>New Roll Off Truck</t>
  </si>
  <si>
    <t>MRF Building</t>
  </si>
  <si>
    <t>MRF BUILDING</t>
  </si>
  <si>
    <t>TOTAL MRF BUILDING</t>
  </si>
  <si>
    <t>Comm Recycle</t>
  </si>
  <si>
    <t>64 Gallon Refus Carts</t>
  </si>
  <si>
    <t>N</t>
  </si>
  <si>
    <t>Y-2184</t>
  </si>
  <si>
    <t>Y-2149</t>
  </si>
  <si>
    <t>Y- 2189</t>
  </si>
  <si>
    <t>Y-2195</t>
  </si>
  <si>
    <t>Date Disposed/Transferred</t>
  </si>
  <si>
    <t>NBV</t>
  </si>
  <si>
    <t>Transferred?</t>
  </si>
  <si>
    <t>Proceeds</t>
  </si>
  <si>
    <t>218214/216379</t>
  </si>
  <si>
    <t>Engine Replacement #4068</t>
  </si>
  <si>
    <t>64 Gallon Refuse Carts</t>
  </si>
  <si>
    <t>21 Gallon Refuse Containers</t>
  </si>
  <si>
    <t>40 Yd RO Boxes</t>
  </si>
  <si>
    <t>2yd Metal Containers</t>
  </si>
  <si>
    <t>5yd Metal Containers</t>
  </si>
  <si>
    <t>6yd Metal Containers</t>
  </si>
  <si>
    <t>5 Yd Metal Containers</t>
  </si>
  <si>
    <t>6Yd FEL Metal Container</t>
  </si>
  <si>
    <t>3Yd FEL Metal Containers</t>
  </si>
  <si>
    <t>2yd FEL Metal Containers</t>
  </si>
  <si>
    <t>1.5yd FEL Metal Containers</t>
  </si>
  <si>
    <t>2019 ASL Pete 320 RHD/Labrie Automizer 29YD</t>
  </si>
  <si>
    <t>2019 Ford Pickup - Supervisor</t>
  </si>
  <si>
    <t>219336/222161</t>
  </si>
  <si>
    <t>2020 Peterbilt ASL Truck</t>
  </si>
  <si>
    <t>2020 Peterbilt RO Truck</t>
  </si>
  <si>
    <t>2020 Peterbilt FEL Truck</t>
  </si>
  <si>
    <t>Engine Overhaul #1038</t>
  </si>
  <si>
    <t>210008/216734/217913</t>
  </si>
  <si>
    <t>Retirements/Transfers 2019</t>
  </si>
  <si>
    <t>2020 Peterbilt ROL Truck</t>
  </si>
  <si>
    <t>237513/239454/239455</t>
  </si>
  <si>
    <t>2021 Peterbilt Hooklift Truck</t>
  </si>
  <si>
    <t>236404/239456</t>
  </si>
  <si>
    <t xml:space="preserve">Drive Cam </t>
  </si>
  <si>
    <t>61094/230207</t>
  </si>
  <si>
    <t>Cap Repair: Truck 1045 Engine Inframe Rebuild</t>
  </si>
  <si>
    <t>2020 Ford Pickup Truck</t>
  </si>
  <si>
    <t>232602/233145</t>
  </si>
  <si>
    <t>5YD Commercial Containers</t>
  </si>
  <si>
    <t>5 yd FEL Metal Containers</t>
  </si>
  <si>
    <t>1.5 yd REL Metal Containers</t>
  </si>
  <si>
    <t>2 yd REL Metal Conatiners</t>
  </si>
  <si>
    <t>2 yd FEL Metal Containers</t>
  </si>
  <si>
    <t>3 yd FEL Metal Containers</t>
  </si>
  <si>
    <t>1 yd REL Metal Containers</t>
  </si>
  <si>
    <t>6 yd FEL Metal Containers</t>
  </si>
  <si>
    <t>25 yd Drop-Boxes</t>
  </si>
  <si>
    <t>30 yd RO Boxes</t>
  </si>
  <si>
    <t>20 yd RO Containers</t>
  </si>
  <si>
    <t>30 yd RO Containers</t>
  </si>
  <si>
    <t>95 Gallon Refuse Containers</t>
  </si>
  <si>
    <t>95 Gallon Yardwaste</t>
  </si>
  <si>
    <t>95 Gallon Recycle Containers</t>
  </si>
  <si>
    <t>64 Gallon Refuse Containers</t>
  </si>
  <si>
    <t>236851/236329</t>
  </si>
  <si>
    <t>20 Gallon Refuse Containers</t>
  </si>
  <si>
    <t>96 Gallon Yardwaste Conatiners</t>
  </si>
  <si>
    <t>95 Gal Yardwaste Totes</t>
  </si>
  <si>
    <t>96 Gal MSW Totes</t>
  </si>
  <si>
    <t>HP SB ProDesk 600 Serial MXL9511WR2</t>
  </si>
  <si>
    <t>(108) SF300 DriveCams</t>
  </si>
  <si>
    <t>(30) Power Harnesses for new DriveCams</t>
  </si>
  <si>
    <t>240614/240613</t>
  </si>
  <si>
    <t>(2) SF300 DriveCams</t>
  </si>
  <si>
    <t>240653/237513</t>
  </si>
  <si>
    <t>236404/240654</t>
  </si>
  <si>
    <t>New RO Truck 4523 Decals</t>
  </si>
  <si>
    <t>236404/240655</t>
  </si>
  <si>
    <t>Licensing for Truck 4523</t>
  </si>
  <si>
    <t>35 Gallons MSW Totes</t>
  </si>
  <si>
    <t>95 Gallon MSW Totes</t>
  </si>
  <si>
    <t>95 Gallon Recycle Totes</t>
  </si>
  <si>
    <t>95 Gallon Yardwaste Totes</t>
  </si>
  <si>
    <t>20 yd RO Boxes</t>
  </si>
  <si>
    <t>241234/242363</t>
  </si>
  <si>
    <t>Truck 3703 Decals</t>
  </si>
  <si>
    <t>241234/242536</t>
  </si>
  <si>
    <t>DriveCam</t>
  </si>
  <si>
    <t>241234/242699</t>
  </si>
  <si>
    <t>Radio</t>
  </si>
  <si>
    <t>2021 Peterbilt Recycle Truck</t>
  </si>
  <si>
    <t>6yd FEL Metal Commercial Containers</t>
  </si>
  <si>
    <t>4 Yd Metal Commercial Containers</t>
  </si>
  <si>
    <t>6Yd Metal Commercial Containers</t>
  </si>
  <si>
    <t>1 Yd FEL Metal Commercial Containers</t>
  </si>
  <si>
    <t>2 Yd FEL Metal Commercial Containers</t>
  </si>
  <si>
    <t>3 Yd FEL Metal Commercial Containers</t>
  </si>
  <si>
    <t>5 Yd FEL Metal Commercial Containers</t>
  </si>
  <si>
    <t>2 Yd REL Metal Commercial Containers</t>
  </si>
  <si>
    <t>1 Yd REL Metal Commercial Containers</t>
  </si>
  <si>
    <t>2021 Peterbilt REL Truck</t>
  </si>
  <si>
    <t>242814/244665</t>
  </si>
  <si>
    <t>243666/244666</t>
  </si>
  <si>
    <t>243666/244803</t>
  </si>
  <si>
    <t>Truck 1088 Radio</t>
  </si>
  <si>
    <t>30YD Containers</t>
  </si>
  <si>
    <t>20 Yard R/O Containers</t>
  </si>
  <si>
    <t>30 Yard R/O Containers</t>
  </si>
  <si>
    <t>35 YD Rolloff</t>
  </si>
  <si>
    <t>65 Gallon MSW Totes</t>
  </si>
  <si>
    <t>2020 Retirements/Transfers</t>
  </si>
  <si>
    <t>Retirements/Transfers 2020</t>
  </si>
  <si>
    <t>Retirements/Transfers 2021</t>
  </si>
  <si>
    <t>Assets Through 12/31/2020</t>
  </si>
  <si>
    <t>Building - Shop</t>
  </si>
  <si>
    <t>TOTAL BUILDING SHOP</t>
  </si>
  <si>
    <t>TOTAL BUILDING OFFICE</t>
  </si>
  <si>
    <t>BUILDING OFFICE</t>
  </si>
  <si>
    <t>Building - Office</t>
  </si>
  <si>
    <t>+</t>
  </si>
  <si>
    <t>New Asset Adds from Fixed Asset Report (1/1/2021 Forward)</t>
  </si>
  <si>
    <t>Proforma Additions</t>
  </si>
  <si>
    <t>Combined Summary</t>
  </si>
  <si>
    <t>=</t>
  </si>
  <si>
    <t>Row Labels</t>
  </si>
  <si>
    <t>Sum of Cost</t>
  </si>
  <si>
    <t>Sum of Test Year Depreciation</t>
  </si>
  <si>
    <t>Sum of BOY Accum</t>
  </si>
  <si>
    <t>Sum of EOY Accum</t>
  </si>
  <si>
    <t>Sum of EOY Average Investment</t>
  </si>
  <si>
    <t>MSW Carts</t>
  </si>
  <si>
    <t>MSW/Recycle Containers</t>
  </si>
  <si>
    <t>Old</t>
  </si>
  <si>
    <t>Service Equip</t>
  </si>
  <si>
    <t>YW Carts</t>
  </si>
  <si>
    <t>Grand Total</t>
  </si>
  <si>
    <t>Pasted Values (per FAR)</t>
  </si>
  <si>
    <t>Per District</t>
  </si>
  <si>
    <t>Remaining Outstanding</t>
  </si>
  <si>
    <t>2183-16-0023</t>
  </si>
  <si>
    <t>2183-17-0001</t>
  </si>
  <si>
    <t>2183-18-0016</t>
  </si>
  <si>
    <t>2183-19-0001</t>
  </si>
  <si>
    <t>2183-20-0019</t>
  </si>
  <si>
    <t>2183-21-0001</t>
  </si>
  <si>
    <t>2183-21-0001-1</t>
  </si>
  <si>
    <t>2183-21-0016</t>
  </si>
  <si>
    <t>2183-21-0016-1</t>
  </si>
  <si>
    <t>2183-21-0017</t>
  </si>
  <si>
    <t>Location</t>
  </si>
  <si>
    <t>AssetID</t>
  </si>
  <si>
    <t>ParentChild</t>
  </si>
  <si>
    <t>Description</t>
  </si>
  <si>
    <t>SystemNo</t>
  </si>
  <si>
    <t>MFGSerialNum</t>
  </si>
  <si>
    <t>LicensePlate</t>
  </si>
  <si>
    <t>ModelYear</t>
  </si>
  <si>
    <t>VendorMfg</t>
  </si>
  <si>
    <t>BodyManuf</t>
  </si>
  <si>
    <t>InsuranceCategory</t>
  </si>
  <si>
    <t>InServiceDate</t>
  </si>
  <si>
    <t>AcquisitionDate</t>
  </si>
  <si>
    <t>PONumber</t>
  </si>
  <si>
    <t>EstimatedLife</t>
  </si>
  <si>
    <t>AssetGL</t>
  </si>
  <si>
    <t>AcqValue</t>
  </si>
  <si>
    <t>AccumulatedGL</t>
  </si>
  <si>
    <t>CurrentLifeToDate</t>
  </si>
  <si>
    <t>CurrentYearToDate</t>
  </si>
  <si>
    <t>ExpenseGL</t>
  </si>
  <si>
    <t>CurrentPeriodDepr</t>
  </si>
  <si>
    <t>AcqType</t>
  </si>
  <si>
    <t>FormerCompany</t>
  </si>
  <si>
    <t>InvoiceNum</t>
  </si>
  <si>
    <t>CompAsstNo</t>
  </si>
  <si>
    <t>Book</t>
  </si>
  <si>
    <t>ActivityCd</t>
  </si>
  <si>
    <t>DeprMethod</t>
  </si>
  <si>
    <t>BegLsDeprDate</t>
  </si>
  <si>
    <t>LongName</t>
  </si>
  <si>
    <t>Sequence</t>
  </si>
  <si>
    <t>BegLifeToDate</t>
  </si>
  <si>
    <t>Default Month :</t>
  </si>
  <si>
    <t>Default Year :</t>
  </si>
  <si>
    <t>reportdrill(Invoice!C2,,pairgroup(pair("C:C",Invoice!E8),pair("",Invoice!E7,"N")),"Drill To Invoices by FAS# (Exc CIP)")</t>
  </si>
  <si>
    <t>Fixed Asset Register</t>
  </si>
  <si>
    <t>Asset Count:</t>
  </si>
  <si>
    <t>Data Last Updated in this Pull:</t>
  </si>
  <si>
    <t>Jan  4 2022  8:43AM</t>
  </si>
  <si>
    <t>Period:</t>
  </si>
  <si>
    <t>2021-12</t>
  </si>
  <si>
    <t>Ctrl + Shift + J</t>
  </si>
  <si>
    <t>VIN:</t>
  </si>
  <si>
    <t>(Contains the string)</t>
  </si>
  <si>
    <t>Parent/Child:</t>
  </si>
  <si>
    <t>(Leave blank for all)</t>
  </si>
  <si>
    <t>Service Date To:</t>
  </si>
  <si>
    <t>District:</t>
  </si>
  <si>
    <t>2183</t>
  </si>
  <si>
    <t>(F9 Aware)</t>
  </si>
  <si>
    <t>Description:</t>
  </si>
  <si>
    <t>Asset Acct:</t>
  </si>
  <si>
    <t>Service Date From:</t>
  </si>
  <si>
    <t>PO Number:</t>
  </si>
  <si>
    <t>Exp Acct:</t>
  </si>
  <si>
    <t>Asset #:</t>
  </si>
  <si>
    <t>Ins Category:</t>
  </si>
  <si>
    <t>(Not setup yet)</t>
  </si>
  <si>
    <t>Depreciated %:</t>
  </si>
  <si>
    <t>District</t>
  </si>
  <si>
    <t>Asset #</t>
  </si>
  <si>
    <t>Parent/ Child</t>
  </si>
  <si>
    <t>Descr</t>
  </si>
  <si>
    <t>Container Count</t>
  </si>
  <si>
    <t>MFG Serial#</t>
  </si>
  <si>
    <t>License Plate</t>
  </si>
  <si>
    <t>Model Year</t>
  </si>
  <si>
    <t>Vendor/Mfg</t>
  </si>
  <si>
    <t>Body Mfg</t>
  </si>
  <si>
    <t>Ins Category</t>
  </si>
  <si>
    <t>In Service Date</t>
  </si>
  <si>
    <t>Acq Date</t>
  </si>
  <si>
    <t>CER #</t>
  </si>
  <si>
    <t>Useful Life</t>
  </si>
  <si>
    <t>Asset Account</t>
  </si>
  <si>
    <t>Accum Account</t>
  </si>
  <si>
    <t>Accum Life to Date</t>
  </si>
  <si>
    <t>Accum YTD</t>
  </si>
  <si>
    <t>Expense Account</t>
  </si>
  <si>
    <t>Current Depr</t>
  </si>
  <si>
    <t>Acq Type</t>
  </si>
  <si>
    <t>Former Company</t>
  </si>
  <si>
    <t>Invoice #</t>
  </si>
  <si>
    <t>Company Asset #</t>
  </si>
  <si>
    <t>Activity Cd</t>
  </si>
  <si>
    <t>Depr Meth</t>
  </si>
  <si>
    <t>Beg Date</t>
  </si>
  <si>
    <t>Dbase</t>
  </si>
  <si>
    <t>Seq</t>
  </si>
  <si>
    <t>Beg Depr</t>
  </si>
  <si>
    <t>Truck #</t>
  </si>
  <si>
    <t>Equipment Type</t>
  </si>
  <si>
    <t>Month</t>
  </si>
  <si>
    <t>Year Fully Dep</t>
  </si>
  <si>
    <t>Year/Mo Fully Dep</t>
  </si>
  <si>
    <t>Monthly Depreciation</t>
  </si>
  <si>
    <t>Annual Depreciation</t>
  </si>
  <si>
    <t>Test Year Depreciation</t>
  </si>
  <si>
    <t>BOY Accum</t>
  </si>
  <si>
    <t>EOY Accum</t>
  </si>
  <si>
    <t>EOY Average Investment</t>
  </si>
  <si>
    <t>Pre 2021 Add?</t>
  </si>
  <si>
    <t>P</t>
  </si>
  <si>
    <t>40 RouteTab Mounts for 2183 Thurston Cty</t>
  </si>
  <si>
    <t>PROCLIPUSA</t>
  </si>
  <si>
    <t>1010-20-0033-2</t>
  </si>
  <si>
    <t>SI-1171635</t>
  </si>
  <si>
    <t>Internal</t>
  </si>
  <si>
    <t>A</t>
  </si>
  <si>
    <t>WCNX</t>
  </si>
  <si>
    <t>8 RouteTab Mounts for 2183 Yakima</t>
  </si>
  <si>
    <t>8 Samsung Active Pro Tablets for 2183</t>
  </si>
  <si>
    <t>COMPLETE TABLET SOLUTIONS</t>
  </si>
  <si>
    <t>1010-20-0033-1</t>
  </si>
  <si>
    <t>New Office Building - Furniture</t>
  </si>
  <si>
    <t>GORDON PRODUCTS INC</t>
  </si>
  <si>
    <t>196256-0</t>
  </si>
  <si>
    <t>REHRIG PACIFIC COMPANY IN</t>
  </si>
  <si>
    <t>Non-Container Audit</t>
  </si>
  <si>
    <t>2183-21-0015-1</t>
  </si>
  <si>
    <t>New Office Building</t>
  </si>
  <si>
    <t>SITTS &amp; HILL ENGINEERS IN</t>
  </si>
  <si>
    <t>17974-32</t>
  </si>
  <si>
    <t>New Office Furniture</t>
  </si>
  <si>
    <t>196256-1</t>
  </si>
  <si>
    <t>MOUNTAIN CONSTRUCTION INC</t>
  </si>
  <si>
    <t>20-8168-00 App No 14</t>
  </si>
  <si>
    <t>75" Television</t>
  </si>
  <si>
    <t>BEST BUY</t>
  </si>
  <si>
    <t>Drive Cam Units</t>
  </si>
  <si>
    <t>1010-21-0038</t>
  </si>
  <si>
    <t>17974-31</t>
  </si>
  <si>
    <t>New Office Building - IT Equipment</t>
  </si>
  <si>
    <t>New Office Building - Cameras</t>
  </si>
  <si>
    <t>35 Gallon refuse Containers</t>
  </si>
  <si>
    <t>95 Gallon Plastic YardwasteTotes</t>
  </si>
  <si>
    <t>Non-Contianer Audit</t>
  </si>
  <si>
    <t>65 Gallon Plastic Refuse Totes</t>
  </si>
  <si>
    <t>MAYES TESTING ENGINEERS I</t>
  </si>
  <si>
    <t>TF67689</t>
  </si>
  <si>
    <t>20-8168-00 App No 13</t>
  </si>
  <si>
    <t>6Yd Metal FEL Commercial Containers</t>
  </si>
  <si>
    <t>WASTEQUIP LLC</t>
  </si>
  <si>
    <t>6 YD FEL Container</t>
  </si>
  <si>
    <t>2183-21-0014-1</t>
  </si>
  <si>
    <t>20INV000023168</t>
  </si>
  <si>
    <t>20INV000023020</t>
  </si>
  <si>
    <t>5Yd Metal FEL Commercial Containers</t>
  </si>
  <si>
    <t>5 YD FEL Container</t>
  </si>
  <si>
    <t>3Yd Metal FEL Commercial Containers</t>
  </si>
  <si>
    <t>3 YD FEL Container</t>
  </si>
  <si>
    <t>2Yd Metal FEL Commercial Containers</t>
  </si>
  <si>
    <t>2 YD FEL Container</t>
  </si>
  <si>
    <t>1.5Yd Metal FEL Commercial Containers</t>
  </si>
  <si>
    <t>1.5 YD FEL Container</t>
  </si>
  <si>
    <t>Decals for Truck 3718</t>
  </si>
  <si>
    <t>Larsen Sign Co.</t>
  </si>
  <si>
    <t>Non-Rolling Stock</t>
  </si>
  <si>
    <t>2183-21-0006-1</t>
  </si>
  <si>
    <t>License for Truck 3718</t>
  </si>
  <si>
    <t>WA State DOL</t>
  </si>
  <si>
    <t>C32037X</t>
  </si>
  <si>
    <t>PUGET SOUND ENERGY</t>
  </si>
  <si>
    <t>2021 Peterbilt ASL Truck - Warranties - COVID 2183-20-0023</t>
  </si>
  <si>
    <t>WESTERN PETERBILT LLC</t>
  </si>
  <si>
    <t>2183-21-0004-1</t>
  </si>
  <si>
    <t>PMF110112-M1W</t>
  </si>
  <si>
    <t>17974-28</t>
  </si>
  <si>
    <t>Truck 3705 Radio</t>
  </si>
  <si>
    <t>WHISLER COMMUNICATIONS</t>
  </si>
  <si>
    <t>Truck 3704 Radio</t>
  </si>
  <si>
    <t>2183-21-0003-1</t>
  </si>
  <si>
    <t>Truck 3705 License</t>
  </si>
  <si>
    <t>2183-21-0004</t>
  </si>
  <si>
    <t>New Pacific Office building</t>
  </si>
  <si>
    <t>New Pacific Office Building</t>
  </si>
  <si>
    <t>New Office Permitting</t>
  </si>
  <si>
    <t>1 Yard REL Containers</t>
  </si>
  <si>
    <t>1 YD FEL/REL/SL Metal</t>
  </si>
  <si>
    <t>Island</t>
  </si>
  <si>
    <t>1.5YD FEL</t>
  </si>
  <si>
    <t>CAPITAL INDUSTRIES, INC.</t>
  </si>
  <si>
    <t>1.5 YD FEL/REL/SL Metal</t>
  </si>
  <si>
    <t>06-2144-007</t>
  </si>
  <si>
    <t>2 yard rear load containers</t>
  </si>
  <si>
    <t>2 YD FEL/REL/SL Metal</t>
  </si>
  <si>
    <t>07-2144-005</t>
  </si>
  <si>
    <t>4YD Containers</t>
  </si>
  <si>
    <t>4 YD FEL/REL/SL Metal</t>
  </si>
  <si>
    <t>LeMay Enterprises</t>
  </si>
  <si>
    <t>1.5 Yard Commercial Containers</t>
  </si>
  <si>
    <t>3 Yard Commercial Containers</t>
  </si>
  <si>
    <t>3 YD FEL/REL/SL Metal</t>
  </si>
  <si>
    <t>1YD Containers</t>
  </si>
  <si>
    <t>30 YD RO Box</t>
  </si>
  <si>
    <t>1 Yard Commercial Containers</t>
  </si>
  <si>
    <t>1.5 Yd RL Gavl. Containers</t>
  </si>
  <si>
    <t>Capital Industries, Inc.</t>
  </si>
  <si>
    <t>95 Gallon Plastic Refuse Totes</t>
  </si>
  <si>
    <t>2022 Peterbilt ASL Truck</t>
  </si>
  <si>
    <t>3BPDLK0X8NF111051</t>
  </si>
  <si>
    <t>Automated Sideload</t>
  </si>
  <si>
    <t>2183-21-0006</t>
  </si>
  <si>
    <t>2YD Metal REL Container</t>
  </si>
  <si>
    <t>CAPITAL INDUSTRIES INC</t>
  </si>
  <si>
    <t>2 YD REL Container</t>
  </si>
  <si>
    <t>2183-21-0013-1</t>
  </si>
  <si>
    <t>1 Yd Metal REL Containers</t>
  </si>
  <si>
    <t>1 YD REL Container</t>
  </si>
  <si>
    <t>1.5 Yd Metal REL Containers</t>
  </si>
  <si>
    <t>1.5 YD REL Container</t>
  </si>
  <si>
    <t>Decals &amp; License</t>
  </si>
  <si>
    <t>2183-21-0003</t>
  </si>
  <si>
    <t>5 YD Container</t>
  </si>
  <si>
    <t>4 YD Container</t>
  </si>
  <si>
    <t>3 YD Container</t>
  </si>
  <si>
    <t>22 YD Storage Containers</t>
  </si>
  <si>
    <t>2 YD Container</t>
  </si>
  <si>
    <t>1.5 YD RO Container</t>
  </si>
  <si>
    <t>1.5 YD Container</t>
  </si>
  <si>
    <t>1 YD Container</t>
  </si>
  <si>
    <t>94-3283464</t>
  </si>
  <si>
    <t>2183-21-0012-1</t>
  </si>
  <si>
    <t>Resi Truck 3705 Decals</t>
  </si>
  <si>
    <t>65 Gallon Refuse Totes</t>
  </si>
  <si>
    <t>2021 Peterbilt ASL Truck- Body</t>
  </si>
  <si>
    <t>3BPDLK0XXMF110112</t>
  </si>
  <si>
    <t>2021 Peterbilt ASL Truck- Chassis</t>
  </si>
  <si>
    <t>2183-20-0023</t>
  </si>
  <si>
    <t>95 Gallon Refuse Totes</t>
  </si>
  <si>
    <t>3BPDLK0XXMF110109</t>
  </si>
  <si>
    <t>2183-20-0024</t>
  </si>
  <si>
    <t>REL Truck 1088 Decals</t>
  </si>
  <si>
    <t>Larsen SIgn Co.</t>
  </si>
  <si>
    <t>2183-20-0028-1</t>
  </si>
  <si>
    <t>Glass Truck 5051 Decals</t>
  </si>
  <si>
    <t>2183-20-0026-1</t>
  </si>
  <si>
    <t>Tommie Vaugh Rebate</t>
  </si>
  <si>
    <t>2183-19-0017</t>
  </si>
  <si>
    <t>Truck 5051 Radio</t>
  </si>
  <si>
    <t>Lytx</t>
  </si>
  <si>
    <t>2183-20-0036-1</t>
  </si>
  <si>
    <t>35 YD RO Box</t>
  </si>
  <si>
    <t>Lewis Clark</t>
  </si>
  <si>
    <t>3BPDLK0X4MF110199</t>
  </si>
  <si>
    <t>Peterbilt</t>
  </si>
  <si>
    <t>Leach</t>
  </si>
  <si>
    <t>REL Truck</t>
  </si>
  <si>
    <t>2183-20-0028</t>
  </si>
  <si>
    <t>2183-20-0035-1</t>
  </si>
  <si>
    <t>20INV000003744</t>
  </si>
  <si>
    <t>5 YD FEL Metal Commercial Containers</t>
  </si>
  <si>
    <t>5 YD FEL/REL/SL Metal</t>
  </si>
  <si>
    <t>20INV000003324</t>
  </si>
  <si>
    <t>5 Yd FEL Metal Commercial Container</t>
  </si>
  <si>
    <t>20INV000003326</t>
  </si>
  <si>
    <t>6 YD FEL/REL/SL Metal</t>
  </si>
  <si>
    <t>20INV000003322</t>
  </si>
  <si>
    <t>20INV000003320</t>
  </si>
  <si>
    <t>3BPDHJ7X5MF110195</t>
  </si>
  <si>
    <t>Kann</t>
  </si>
  <si>
    <t>Recycle Truck</t>
  </si>
  <si>
    <t>2183-20-0026</t>
  </si>
  <si>
    <t>2183-20-0025-1</t>
  </si>
  <si>
    <t>20 YD RO Box</t>
  </si>
  <si>
    <t>Container Audit Input</t>
  </si>
  <si>
    <t>NO</t>
  </si>
  <si>
    <t>2183-20-0037-1</t>
  </si>
  <si>
    <t>3BPDLK0X7LF108414</t>
  </si>
  <si>
    <t>Labrie</t>
  </si>
  <si>
    <t>2183-20-0025</t>
  </si>
  <si>
    <t>WA DOL</t>
  </si>
  <si>
    <t>2183-20-0027-1</t>
  </si>
  <si>
    <t>C77889U</t>
  </si>
  <si>
    <t>Larsen Sign Co</t>
  </si>
  <si>
    <t>2183-20-0021-1</t>
  </si>
  <si>
    <t>License</t>
  </si>
  <si>
    <t>License on RO Truck</t>
  </si>
  <si>
    <t>2183-20-0033-1</t>
  </si>
  <si>
    <t>1NPCX4EX1LD730317</t>
  </si>
  <si>
    <t>AA Welding</t>
  </si>
  <si>
    <t>R/O Truck</t>
  </si>
  <si>
    <t>2183-20-0021</t>
  </si>
  <si>
    <t>2Yd FEL Metal Containers</t>
  </si>
  <si>
    <t>2183-20-0034-1</t>
  </si>
  <si>
    <t>2Yd REL Metal Containers</t>
  </si>
  <si>
    <t>1.5yd REL Metal Containers</t>
  </si>
  <si>
    <t>5Yd FEL Metal Containers</t>
  </si>
  <si>
    <t>1Yd REL Metal Containers</t>
  </si>
  <si>
    <t>95 Gallon Yardwaste Containers</t>
  </si>
  <si>
    <t>TOTER LLC</t>
  </si>
  <si>
    <t>3BPPHM7X2MF593773</t>
  </si>
  <si>
    <t>Stellar</t>
  </si>
  <si>
    <t>Hook Lift Truck</t>
  </si>
  <si>
    <t>2183-20-0027</t>
  </si>
  <si>
    <t>6 Yd FEL Metal Containers</t>
  </si>
  <si>
    <t>96gal MSW Totes</t>
  </si>
  <si>
    <t>2183-20-0029-1</t>
  </si>
  <si>
    <t>2183-20-0008-1</t>
  </si>
  <si>
    <t>C84711T</t>
  </si>
  <si>
    <t>95gal Yardwaste Totes</t>
  </si>
  <si>
    <t>1FTMF1CB5LKE11678</t>
  </si>
  <si>
    <t>Ford</t>
  </si>
  <si>
    <t>Pick Up Truck</t>
  </si>
  <si>
    <t>2183-20-0008</t>
  </si>
  <si>
    <t>DIRKS TRUCK REPAIR INC</t>
  </si>
  <si>
    <t>2183-20-0031-1</t>
  </si>
  <si>
    <t>W 32986</t>
  </si>
  <si>
    <t>20 Gallon Refuse Container</t>
  </si>
  <si>
    <t>HP Sb ProDesk 600 Serial-MXL9511WR2</t>
  </si>
  <si>
    <t>CDW</t>
  </si>
  <si>
    <t>2183-20-0030-1</t>
  </si>
  <si>
    <t>96 Gallon Yardwaste Containers</t>
  </si>
  <si>
    <t>30yd RO Boxes</t>
  </si>
  <si>
    <t>ENVIRONMENTAL METAL WORKS</t>
  </si>
  <si>
    <t>2183-19-0025-1</t>
  </si>
  <si>
    <t>IN008264</t>
  </si>
  <si>
    <t>LARSEN SIGN</t>
  </si>
  <si>
    <t>2183-19-0011-1</t>
  </si>
  <si>
    <t>2183-19-0010-1</t>
  </si>
  <si>
    <t>3BPDLK0X0LF107430</t>
  </si>
  <si>
    <t>2183-19-0012</t>
  </si>
  <si>
    <t>2183-19-0033-1</t>
  </si>
  <si>
    <t>License for Truck 3691</t>
  </si>
  <si>
    <t>WA DOL LIC &amp; REG 57165</t>
  </si>
  <si>
    <t>2183-19-0019-1</t>
  </si>
  <si>
    <t>License for Truck 4085</t>
  </si>
  <si>
    <t>2183-19-0015-1</t>
  </si>
  <si>
    <t>License for Truck 3692</t>
  </si>
  <si>
    <t>2183-19-0013-1</t>
  </si>
  <si>
    <t>decals</t>
  </si>
  <si>
    <t>LARSEN SIGN CO</t>
  </si>
  <si>
    <t>2183-19-0020-1</t>
  </si>
  <si>
    <t>2183-19-0014-1</t>
  </si>
  <si>
    <t>3BPDLK0X7LF107960</t>
  </si>
  <si>
    <t>FEL Truck</t>
  </si>
  <si>
    <t>2183-19-0020</t>
  </si>
  <si>
    <t>3BPDLK0X2LF107428</t>
  </si>
  <si>
    <t>2183-19-0011</t>
  </si>
  <si>
    <t>2183-19-0018-1</t>
  </si>
  <si>
    <t>2 Yard Commercial Containers</t>
  </si>
  <si>
    <t>2020 Peterbilt ROL Truck-Body</t>
  </si>
  <si>
    <t>SOLID WASTE SYSTEMS</t>
  </si>
  <si>
    <t>2020 Peterbilt ASL Truck- Body</t>
  </si>
  <si>
    <t>: New Supervisor Pickup- TT&amp;L</t>
  </si>
  <si>
    <t>2183-19-0017-1</t>
  </si>
  <si>
    <t>C37943R</t>
  </si>
  <si>
    <t>2020 Peterbilt RO Truck- Body</t>
  </si>
  <si>
    <t>1NPCX4EX0LD633996</t>
  </si>
  <si>
    <t>C37944R</t>
  </si>
  <si>
    <t>Truck #9183 Unit Rebuild</t>
  </si>
  <si>
    <t>Polar Service Centers</t>
  </si>
  <si>
    <t>Non Rolling Stock</t>
  </si>
  <si>
    <t>2180-15-0016-1</t>
  </si>
  <si>
    <t>WA4361197</t>
  </si>
  <si>
    <t>2002 Type H Dump</t>
  </si>
  <si>
    <t>1NKDXB0X42R890358</t>
  </si>
  <si>
    <t xml:space="preserve"> Kenworth</t>
  </si>
  <si>
    <t>Other</t>
  </si>
  <si>
    <t>Dump Truck</t>
  </si>
  <si>
    <t>Trailer #8496 Unit Rebuild</t>
  </si>
  <si>
    <t>2180-15-0041-1</t>
  </si>
  <si>
    <t>WA4361201</t>
  </si>
  <si>
    <t>2002 Type H Pup Trailer</t>
  </si>
  <si>
    <t>1BN1P17452X001002</t>
  </si>
  <si>
    <t xml:space="preserve"> Pioneer</t>
  </si>
  <si>
    <t>Trailer</t>
  </si>
  <si>
    <t>3BPDLK0X8LF107322</t>
  </si>
  <si>
    <t>3BPDLK0X2LF107431</t>
  </si>
  <si>
    <t>2183-19-0019</t>
  </si>
  <si>
    <t>2183-19-0029-1</t>
  </si>
  <si>
    <t>96 Gallon Recycle Container</t>
  </si>
  <si>
    <t>1YD REL containers</t>
  </si>
  <si>
    <t>2188-13-0004-4</t>
  </si>
  <si>
    <t>6 Yard Commercial Containers</t>
  </si>
  <si>
    <t>1 YD REL Containers</t>
  </si>
  <si>
    <t>2188-14-0024-2</t>
  </si>
  <si>
    <t>4 Yard Commercial Containers</t>
  </si>
  <si>
    <t>Capital Repair: Truck 1038 Engine Overhaul</t>
  </si>
  <si>
    <t>Dirks Truck Repair, Inc</t>
  </si>
  <si>
    <t>2183-19-0032-1</t>
  </si>
  <si>
    <t>W 31760</t>
  </si>
  <si>
    <t>Drive Cam Unit</t>
  </si>
  <si>
    <t>LYTX</t>
  </si>
  <si>
    <t>2183-19-0009-1</t>
  </si>
  <si>
    <t>2020 Peterbilt RO Truck-Chassis</t>
  </si>
  <si>
    <t>1NPCX4EX0LD636445</t>
  </si>
  <si>
    <t>2183-19-0015</t>
  </si>
  <si>
    <t>2183-19-0014</t>
  </si>
  <si>
    <t>2183-19-0013</t>
  </si>
  <si>
    <t>2020 Peterbilt ASL Truck- Chassis</t>
  </si>
  <si>
    <t>3BPDLK0X6LF107321</t>
  </si>
  <si>
    <t>2183-19-0010</t>
  </si>
  <si>
    <t>2183-19-0028-1</t>
  </si>
  <si>
    <t>2019 Ford Pickup</t>
  </si>
  <si>
    <t>1FTMF1CB8KKE24892</t>
  </si>
  <si>
    <t>3BPDL70X8KF106277</t>
  </si>
  <si>
    <t>3BPDL70XXKF106281</t>
  </si>
  <si>
    <t>NOREGON</t>
  </si>
  <si>
    <t>2183-19-0022-1</t>
  </si>
  <si>
    <t>INV00004161</t>
  </si>
  <si>
    <t>40yd RO Boxes</t>
  </si>
  <si>
    <t>40 YD RO Box</t>
  </si>
  <si>
    <t>IN007820</t>
  </si>
  <si>
    <t>IN007820-A</t>
  </si>
  <si>
    <t>Software</t>
  </si>
  <si>
    <t>Rush Truck Centers</t>
  </si>
  <si>
    <t>IN007726</t>
  </si>
  <si>
    <t>2183-19-0026-1</t>
  </si>
  <si>
    <t>2019 Peterbilt Body/AA welding Body RO Truck</t>
  </si>
  <si>
    <t>1NPCX4EX6KD627974</t>
  </si>
  <si>
    <t>2183-19-0016-1</t>
  </si>
  <si>
    <t>2183-19-0024-1</t>
  </si>
  <si>
    <t>QTN1847</t>
  </si>
  <si>
    <t>Dirk's Truck Repair</t>
  </si>
  <si>
    <t>2183-19-0023-1</t>
  </si>
  <si>
    <t>W30698</t>
  </si>
  <si>
    <t>2183-19-0021-1</t>
  </si>
  <si>
    <t>QTZ1967</t>
  </si>
  <si>
    <t>4 yd Metal Containers</t>
  </si>
  <si>
    <t>2183-18-0028-1</t>
  </si>
  <si>
    <t>IN007308A</t>
  </si>
  <si>
    <t>3 yd Metal Containers</t>
  </si>
  <si>
    <t>1 yd Metal Containers</t>
  </si>
  <si>
    <t>1NPCX4EX3KD276215</t>
  </si>
  <si>
    <t>2183-18-0006-1</t>
  </si>
  <si>
    <t>6 yd Metal Containers</t>
  </si>
  <si>
    <t>IN007308</t>
  </si>
  <si>
    <t>2 yd Metal Containers</t>
  </si>
  <si>
    <t>30Yd Containers</t>
  </si>
  <si>
    <t>2183-18-0025-1</t>
  </si>
  <si>
    <t>IN007006</t>
  </si>
  <si>
    <t>2183-18-0027-1</t>
  </si>
  <si>
    <t>Whisler Communications</t>
  </si>
  <si>
    <t>2183-18-0017-1</t>
  </si>
  <si>
    <t>License for Truck 3687</t>
  </si>
  <si>
    <t>2183-18-0004-1</t>
  </si>
  <si>
    <t>C74787N</t>
  </si>
  <si>
    <t>2183-18-0022-1</t>
  </si>
  <si>
    <t>2183-18-0021-1</t>
  </si>
  <si>
    <t>2183-18-0007-1</t>
  </si>
  <si>
    <t>2183-18-0005-1</t>
  </si>
  <si>
    <t>3BPDL70XXKF103963</t>
  </si>
  <si>
    <t>Drivecam</t>
  </si>
  <si>
    <t>2183-18-0002-1</t>
  </si>
  <si>
    <t>2183-18-0008-1</t>
  </si>
  <si>
    <t>Use Tax</t>
  </si>
  <si>
    <t>2183-18-0015-1</t>
  </si>
  <si>
    <t>C73771N</t>
  </si>
  <si>
    <t>License for truck 2051</t>
  </si>
  <si>
    <t>C74747N</t>
  </si>
  <si>
    <t>License for Truck #3686</t>
  </si>
  <si>
    <t>C73493N-1</t>
  </si>
  <si>
    <t>C73493N</t>
  </si>
  <si>
    <t>License for Truck 2050</t>
  </si>
  <si>
    <t>C73772N</t>
  </si>
  <si>
    <t>C73731N</t>
  </si>
  <si>
    <t>IN007006B</t>
  </si>
  <si>
    <t>2183-18-0026-1</t>
  </si>
  <si>
    <t>96 Gallon Recyle Containers</t>
  </si>
  <si>
    <t>3BPDL70XXKF104143</t>
  </si>
  <si>
    <t>TT&amp;L</t>
  </si>
  <si>
    <t>McNeilus</t>
  </si>
  <si>
    <t>2077-2</t>
  </si>
  <si>
    <t>2018 Ford F150</t>
  </si>
  <si>
    <t>1FTEX1EB9JKF44424</t>
  </si>
  <si>
    <t>WA DOT</t>
  </si>
  <si>
    <t>3BPDL70X7KF103306</t>
  </si>
  <si>
    <t>3BPDL70X2KF103956</t>
  </si>
  <si>
    <t>3BPDL70X1KF103964</t>
  </si>
  <si>
    <t>2183-18-0024-1</t>
  </si>
  <si>
    <t>3BPDL70X8KF103265</t>
  </si>
  <si>
    <t>2019 Recycle Truck</t>
  </si>
  <si>
    <t>3BPDHJ7X6KF104239</t>
  </si>
  <si>
    <t>3BPDL70X0KF103258</t>
  </si>
  <si>
    <t>License for Truck 3673</t>
  </si>
  <si>
    <t>2183-18-0003-1</t>
  </si>
  <si>
    <t>C44531L</t>
  </si>
  <si>
    <t>20YD Containers</t>
  </si>
  <si>
    <t>19.5 YD Containers</t>
  </si>
  <si>
    <t>19.5 YD RO Box</t>
  </si>
  <si>
    <t>20 Yd Containers</t>
  </si>
  <si>
    <t>10 YD Containers</t>
  </si>
  <si>
    <t>10 YD RO Box</t>
  </si>
  <si>
    <t>TOTER</t>
  </si>
  <si>
    <t>96 Gal YardWaste Totes</t>
  </si>
  <si>
    <t>2183-18-0023-1</t>
  </si>
  <si>
    <t>SIGN CONNECTIONS</t>
  </si>
  <si>
    <t>2018 ASL Truck</t>
  </si>
  <si>
    <t>3BPDL70X0JF161174</t>
  </si>
  <si>
    <t>12 YD Storage Container</t>
  </si>
  <si>
    <t>American Portable Storage</t>
  </si>
  <si>
    <t>22 YD Storage Container</t>
  </si>
  <si>
    <t>Overweight  Permit for Truck 3671</t>
  </si>
  <si>
    <t>2183-18-0001-1</t>
  </si>
  <si>
    <t>SIGN CONNECTINS</t>
  </si>
  <si>
    <t>License for Truck 3671</t>
  </si>
  <si>
    <t>LYTX, INC</t>
  </si>
  <si>
    <t>NA</t>
  </si>
  <si>
    <t>2183-18-0020-1</t>
  </si>
  <si>
    <t>96 gal Yardwaste Totes</t>
  </si>
  <si>
    <t>WASTEQUIP TOTER</t>
  </si>
  <si>
    <t>3BPDL70X4JF161081</t>
  </si>
  <si>
    <t>0102816IN</t>
  </si>
  <si>
    <t>Body for REL Truck</t>
  </si>
  <si>
    <t>Solid Waste Systems</t>
  </si>
  <si>
    <t>2018 REL Truck</t>
  </si>
  <si>
    <t>3BPPHM7X4JF591714</t>
  </si>
  <si>
    <t>Neway</t>
  </si>
  <si>
    <t>2183-17-0021-1</t>
  </si>
  <si>
    <t>P591714</t>
  </si>
  <si>
    <t>1HTSCABN8XH646982</t>
  </si>
  <si>
    <t>International</t>
  </si>
  <si>
    <t>Container Delivery Truck</t>
  </si>
  <si>
    <t>2183-18-0019-1</t>
  </si>
  <si>
    <t>LJG4797</t>
  </si>
  <si>
    <t>Decals for New Truck</t>
  </si>
  <si>
    <t>2183-17-0032-1</t>
  </si>
  <si>
    <t>3BPDL70X7JF161172</t>
  </si>
  <si>
    <t>P161172</t>
  </si>
  <si>
    <t>2183-17-0027-1</t>
  </si>
  <si>
    <t>2018 Hooklift Truck</t>
  </si>
  <si>
    <t>3BPPHM7X3JF591817</t>
  </si>
  <si>
    <t>2183-17-0020-1</t>
  </si>
  <si>
    <t>Toter</t>
  </si>
  <si>
    <t>2183-17-0037-1</t>
  </si>
  <si>
    <t>2183-17-0034-1</t>
  </si>
  <si>
    <t>2183-17-0035-1</t>
  </si>
  <si>
    <t>3BPDL70X3JF187137</t>
  </si>
  <si>
    <t>2183-17-0019-1</t>
  </si>
  <si>
    <t>P187137</t>
  </si>
  <si>
    <t>3BPDL70X1JF187136</t>
  </si>
  <si>
    <t>2183-17-0017-1</t>
  </si>
  <si>
    <t>P187136</t>
  </si>
  <si>
    <t>3BPDL70XXJF187135</t>
  </si>
  <si>
    <t>2183-17-0016-1</t>
  </si>
  <si>
    <t>P187135</t>
  </si>
  <si>
    <t>2183-17-0031-1</t>
  </si>
  <si>
    <t>30 Yd Lidded RO Boxes</t>
  </si>
  <si>
    <t>2183-17-0026-1</t>
  </si>
  <si>
    <t>2183-17-0025-1</t>
  </si>
  <si>
    <t>4102462-Revised</t>
  </si>
  <si>
    <t>2183-17-0033-1</t>
  </si>
  <si>
    <t>MB7000006772071</t>
  </si>
  <si>
    <t>RULE STEEL TANK INC</t>
  </si>
  <si>
    <t>2183-17-0029-1</t>
  </si>
  <si>
    <t>028589-In</t>
  </si>
  <si>
    <t>2183-17-0030-1</t>
  </si>
  <si>
    <t>40yd Lidded RO Boxes</t>
  </si>
  <si>
    <t>2183-17-0028-1</t>
  </si>
  <si>
    <t>2183-17-0024-1</t>
  </si>
  <si>
    <t>6 Yd Container</t>
  </si>
  <si>
    <t>RULE STEEL TANKS INC</t>
  </si>
  <si>
    <t>2183-17-0023-1</t>
  </si>
  <si>
    <t>0026120in-2</t>
  </si>
  <si>
    <t>1.5Yd Container</t>
  </si>
  <si>
    <t>1 Yd Container</t>
  </si>
  <si>
    <t>20gal Garbage Carts</t>
  </si>
  <si>
    <t>2183-17-0022-1</t>
  </si>
  <si>
    <t>LA210102</t>
  </si>
  <si>
    <t>2183-16-0036-1</t>
  </si>
  <si>
    <t>0026120IN</t>
  </si>
  <si>
    <t>30yd RO Boxes / R.O Metal Cont, 30yd</t>
  </si>
  <si>
    <t>2183-16-0039-1</t>
  </si>
  <si>
    <t>3BPZL70X8HF173427</t>
  </si>
  <si>
    <t>2183-16-0022-1</t>
  </si>
  <si>
    <t>P173427</t>
  </si>
  <si>
    <t>TOTER INCORPORATED</t>
  </si>
  <si>
    <t>2183-16-0035-1</t>
  </si>
  <si>
    <t>64 Gallon Refuse Carts and Lids</t>
  </si>
  <si>
    <t>35 Gallon Refuse Carts and Lids</t>
  </si>
  <si>
    <t>License for Truck #5047</t>
  </si>
  <si>
    <t>2183-16-0011-1</t>
  </si>
  <si>
    <t>License for Truck # 5049</t>
  </si>
  <si>
    <t>2183-16-0013-1</t>
  </si>
  <si>
    <t xml:space="preserve">GRAY AUTOMOTIVE PRODUCTS </t>
  </si>
  <si>
    <t>2183-16-0038-1</t>
  </si>
  <si>
    <t>3BPZHJ7X5HF173342</t>
  </si>
  <si>
    <t>P173342</t>
  </si>
  <si>
    <t>3BPZHJ7X3HF173341</t>
  </si>
  <si>
    <t>2183-16-0012-1</t>
  </si>
  <si>
    <t>P173341</t>
  </si>
  <si>
    <t>3BPZHJ7X1HF173340</t>
  </si>
  <si>
    <t>P173340</t>
  </si>
  <si>
    <t>Upgrade shop lighting</t>
  </si>
  <si>
    <t>SARE Electric</t>
  </si>
  <si>
    <t>2183-16-0034-1</t>
  </si>
  <si>
    <t>8104-01</t>
  </si>
  <si>
    <t>Vehicle Registration</t>
  </si>
  <si>
    <t>2183-16-0033-1</t>
  </si>
  <si>
    <t>2017 R/O Truck</t>
  </si>
  <si>
    <t>1NPCX4EX3HD420029</t>
  </si>
  <si>
    <t>2183-16-0017-1</t>
  </si>
  <si>
    <t>P414303</t>
  </si>
  <si>
    <t>5 Yard Commercial Containers</t>
  </si>
  <si>
    <t>2 Yd Dumpsters</t>
  </si>
  <si>
    <t>2183-16-0031-1</t>
  </si>
  <si>
    <t>2016 Ford F150</t>
  </si>
  <si>
    <t>1FTEX1E80GFC47659</t>
  </si>
  <si>
    <t>2183-16-0032-1</t>
  </si>
  <si>
    <t>3 40yd Roll Off Boxes</t>
  </si>
  <si>
    <t>35 Gallon Carts and Lids</t>
  </si>
  <si>
    <t>96 Gallon Yardwaste Carts and Lids</t>
  </si>
  <si>
    <t>96 Gallon Refuse Carts and Lids</t>
  </si>
  <si>
    <t>(75) Setup fees for Route Tablets at 2183</t>
  </si>
  <si>
    <t>Liquid Networx</t>
  </si>
  <si>
    <t>2183-16-0024-1</t>
  </si>
  <si>
    <t>(75) Tablet Mounting Hardware</t>
  </si>
  <si>
    <t>ProClip</t>
  </si>
  <si>
    <t>SI-1138716</t>
  </si>
  <si>
    <t>2183-16-0026-1</t>
  </si>
  <si>
    <t>1BMBH8Y</t>
  </si>
  <si>
    <t>40 Yd Containers with Lids</t>
  </si>
  <si>
    <t>2183-16-0029-1</t>
  </si>
  <si>
    <t>1.5 Yd REL Container</t>
  </si>
  <si>
    <t>2183-16-0028-1</t>
  </si>
  <si>
    <t>2183-16-0028-2</t>
  </si>
  <si>
    <t>3 Yd FEL Containers</t>
  </si>
  <si>
    <t>30 Yd Containers</t>
  </si>
  <si>
    <t>6 Yd Front Load Containers</t>
  </si>
  <si>
    <t>(75) Samsung Tab E  Tablets</t>
  </si>
  <si>
    <t>Verizon Wireless</t>
  </si>
  <si>
    <t>MB7000004798660</t>
  </si>
  <si>
    <t>96 Gallon Forest Green w/ Green</t>
  </si>
  <si>
    <t>2183-16-0027-1</t>
  </si>
  <si>
    <t>96 Gallon Forest Green w/ Blue Lid</t>
  </si>
  <si>
    <t>35 gal Garbage cart</t>
  </si>
  <si>
    <t>35 Gallon Green Refuse Carts a Black Lids</t>
  </si>
  <si>
    <t>2183-15-0033-1</t>
  </si>
  <si>
    <t>2183-15-0037-1</t>
  </si>
  <si>
    <t>BKD3963</t>
  </si>
  <si>
    <t>2016 ASL Truck</t>
  </si>
  <si>
    <t>3BPZL70X2GF100844</t>
  </si>
  <si>
    <t>Wayne</t>
  </si>
  <si>
    <t>2183-15-0009-1</t>
  </si>
  <si>
    <t>P100844</t>
  </si>
  <si>
    <t>2016 REL Truck</t>
  </si>
  <si>
    <t>3BPZL70X3GF100626</t>
  </si>
  <si>
    <t>2183-15-0008-1</t>
  </si>
  <si>
    <t>P100626</t>
  </si>
  <si>
    <t>JLG 1932RS Scissor Lift</t>
  </si>
  <si>
    <t>JLG</t>
  </si>
  <si>
    <t>N/A</t>
  </si>
  <si>
    <t>Forklift</t>
  </si>
  <si>
    <t>2183-15-0036-1</t>
  </si>
  <si>
    <t>J04628</t>
  </si>
  <si>
    <t>96  Gallon Green Refuse Carts and Black Lids</t>
  </si>
  <si>
    <t>2183-15-0032-1</t>
  </si>
  <si>
    <t>64 Gallon Forest Green Refuse Carts w/Black Lids</t>
  </si>
  <si>
    <t>5 Yd FEL Containers</t>
  </si>
  <si>
    <t>2183-15-0031-2</t>
  </si>
  <si>
    <t>2Yd Rear Load Containers</t>
  </si>
  <si>
    <t>2183-15-0031-1</t>
  </si>
  <si>
    <t>35 Gallon Green Refuse Containers with Black Lids</t>
  </si>
  <si>
    <t>64 Gallon Green Refuse Containers and Black Lids</t>
  </si>
  <si>
    <t>96 Gallon Green Refuse Containers with Black Lids</t>
  </si>
  <si>
    <t>3Yd FEL Containers</t>
  </si>
  <si>
    <t>2183-15-0029-1</t>
  </si>
  <si>
    <t>T305188</t>
  </si>
  <si>
    <t>Part and Installation Landa Pressure Washer</t>
  </si>
  <si>
    <t>AMB TOOLS</t>
  </si>
  <si>
    <t>T305273</t>
  </si>
  <si>
    <t>JIMINI CONSTRUCTION</t>
  </si>
  <si>
    <t>2183-15-0028-1</t>
  </si>
  <si>
    <t>2 Yd RL Containers</t>
  </si>
  <si>
    <t>RULE STEEL TANK</t>
  </si>
  <si>
    <t>2183-15-0025-1</t>
  </si>
  <si>
    <t>0020573IN</t>
  </si>
  <si>
    <t>1.5 Yd RL Containers</t>
  </si>
  <si>
    <t>1 Yd RL Containers</t>
  </si>
  <si>
    <t>6 Yd FL Containers</t>
  </si>
  <si>
    <t>3 Yd FL Containers</t>
  </si>
  <si>
    <t>Body, Floor, Packer Repair</t>
  </si>
  <si>
    <t>SOLID WASTE SYSTEMS INC</t>
  </si>
  <si>
    <t>2183-15-0027-1</t>
  </si>
  <si>
    <t>40 Yd Lidded  RO Boxes</t>
  </si>
  <si>
    <t>2183-15-0015-1</t>
  </si>
  <si>
    <t>96 Gallon Green Yardwaste Carts and Green Lids</t>
  </si>
  <si>
    <t>2183-15-0026-1</t>
  </si>
  <si>
    <t>64 Gallon Green Refuse Carts and Black Lids</t>
  </si>
  <si>
    <t>96 Gallon Green Recycle Carts and Blue Lids</t>
  </si>
  <si>
    <t>96 Gallon Green Refuse Carts and Black Lids</t>
  </si>
  <si>
    <t>35 Gallon Green Refuse Carts and Black Lids</t>
  </si>
  <si>
    <t>2183-15-0023-1</t>
  </si>
  <si>
    <t>96 Gallon Recycle Carts and Lids</t>
  </si>
  <si>
    <t>96 Gallon Reycle Carts and Lids</t>
  </si>
  <si>
    <t>Cap Repair - Transmission</t>
  </si>
  <si>
    <t>TEC-North American Transa</t>
  </si>
  <si>
    <t>2183-15-0020-1</t>
  </si>
  <si>
    <t>2183-15-0022-1</t>
  </si>
  <si>
    <t>TJ84708</t>
  </si>
  <si>
    <t>2183-15-0021-1</t>
  </si>
  <si>
    <t>TJ4909</t>
  </si>
  <si>
    <t>2183-15-0018-1</t>
  </si>
  <si>
    <t>TB50254</t>
  </si>
  <si>
    <t>2183-15-0019-1</t>
  </si>
  <si>
    <t>TB41289</t>
  </si>
  <si>
    <t>2183-15-0017-1</t>
  </si>
  <si>
    <t>SK36687</t>
  </si>
  <si>
    <t>2183-15-0016-1</t>
  </si>
  <si>
    <t>96 Gallon Recycle Carts with Blue Lids</t>
  </si>
  <si>
    <t>2183-15-0016-4</t>
  </si>
  <si>
    <t>96 Gallon Refuse Carts with Black Lids</t>
  </si>
  <si>
    <t>2183-15-0016-3</t>
  </si>
  <si>
    <t>65 Gallon Refuse Carts with Black Lids</t>
  </si>
  <si>
    <t>2183-15-0016-2</t>
  </si>
  <si>
    <t>MIller Dimension 652 Carbon Arc Welder</t>
  </si>
  <si>
    <t>PACIFIC WELDING</t>
  </si>
  <si>
    <t>2183-14-0029-1</t>
  </si>
  <si>
    <t>Capitalized Labor for (72) RO Winch Replacements</t>
  </si>
  <si>
    <t>2183-14-0025-1</t>
  </si>
  <si>
    <t>Electrical Upgrades for Miller Carbon Arc Welder</t>
  </si>
  <si>
    <t>SARE ELECTRIC INC</t>
  </si>
  <si>
    <t>2183-14-0029-2</t>
  </si>
  <si>
    <t>8007-1</t>
  </si>
  <si>
    <t>R/O Winch Upgrades</t>
  </si>
  <si>
    <t>2015 ASL Truck</t>
  </si>
  <si>
    <t>3BPZL70X7FF273659</t>
  </si>
  <si>
    <t xml:space="preserve"> Peterbilt </t>
  </si>
  <si>
    <t xml:space="preserve"> Wayne </t>
  </si>
  <si>
    <t>2183-14-0013-1</t>
  </si>
  <si>
    <t>3BPZL70X9FF265742</t>
  </si>
  <si>
    <t>2183-14-0014-1</t>
  </si>
  <si>
    <t>3 Yd FEL Container</t>
  </si>
  <si>
    <t>2183-14-0026-1</t>
  </si>
  <si>
    <t>6Yd FEL Containers</t>
  </si>
  <si>
    <t>2183-14-0026-2</t>
  </si>
  <si>
    <t>4Yd FEL Containers</t>
  </si>
  <si>
    <t>2Yd FEL Container</t>
  </si>
  <si>
    <t>Improvement - Auto Tarper</t>
  </si>
  <si>
    <t>2183-14-0028-2</t>
  </si>
  <si>
    <t>0073417in</t>
  </si>
  <si>
    <t>2183-14-0027-1</t>
  </si>
  <si>
    <t>KB 65353882</t>
  </si>
  <si>
    <t>1 Yd REL Containers</t>
  </si>
  <si>
    <t>2 Yd REL Containers</t>
  </si>
  <si>
    <t>1.5 Yd REL Containers</t>
  </si>
  <si>
    <t>2183-14-0024-1</t>
  </si>
  <si>
    <t>MW59296</t>
  </si>
  <si>
    <t>Trucks Diagnostic Reader and Service Manual DVD</t>
  </si>
  <si>
    <t>Tec Equipment</t>
  </si>
  <si>
    <t>2183-14-0024-2</t>
  </si>
  <si>
    <t>136131s</t>
  </si>
  <si>
    <t>2183-14-0022-1</t>
  </si>
  <si>
    <t>KB 65347624</t>
  </si>
  <si>
    <t>KB 65347727</t>
  </si>
  <si>
    <t>KB 65347728</t>
  </si>
  <si>
    <t>(12)  Digital radios and antennas</t>
  </si>
  <si>
    <t>2184-13-0005-1</t>
  </si>
  <si>
    <t>Rear Load Camera Truck #3</t>
  </si>
  <si>
    <t>2149-8-0026-8</t>
  </si>
  <si>
    <t>(2) Radios</t>
  </si>
  <si>
    <t>U-03-2149-011</t>
  </si>
  <si>
    <t>1HTWCAAN33J072538</t>
  </si>
  <si>
    <t>Heil</t>
  </si>
  <si>
    <t>03-2149-001</t>
  </si>
  <si>
    <t>Sony Internet TV (SN = 3S18264700B1CC0904071)</t>
  </si>
  <si>
    <t>cdw</t>
  </si>
  <si>
    <t>1010-12-0018-1</t>
  </si>
  <si>
    <t>D506795</t>
  </si>
  <si>
    <t>(19) Mounted Radios &amp; (1) Handheld</t>
  </si>
  <si>
    <t>2183-11-0019-1</t>
  </si>
  <si>
    <t>10-4013929</t>
  </si>
  <si>
    <t>1997 Type H Rear REL</t>
  </si>
  <si>
    <t>4V52AEFD6VR476396</t>
  </si>
  <si>
    <t>Volvo</t>
  </si>
  <si>
    <t>95 Gallon Carts - Forest Green</t>
  </si>
  <si>
    <t>REHRIG PACIFIC COMPANY</t>
  </si>
  <si>
    <t>2184-11-0009-1</t>
  </si>
  <si>
    <t>LA164849</t>
  </si>
  <si>
    <t>95 Gallon Carts - Dark Blue</t>
  </si>
  <si>
    <t>LA164670</t>
  </si>
  <si>
    <t>65 Gallon Carts - Forest Green</t>
  </si>
  <si>
    <t>LA164668</t>
  </si>
  <si>
    <t>HP Pro 3130 PC (SN = SMXL1151MC5)</t>
  </si>
  <si>
    <t>2184-11-0010-1</t>
  </si>
  <si>
    <t>XTJ8709</t>
  </si>
  <si>
    <t>HP Pro 3130 PC (SN = SMXL1151MBL)</t>
  </si>
  <si>
    <t>2184-11-0008-1</t>
  </si>
  <si>
    <t>XTJ8708</t>
  </si>
  <si>
    <t>95 Gallon Carts - Blue</t>
  </si>
  <si>
    <t>LA164232</t>
  </si>
  <si>
    <t>10 Yard R/O Containers</t>
  </si>
  <si>
    <t>40 Yard R/O Containers</t>
  </si>
  <si>
    <t>2006 FORD F-150</t>
  </si>
  <si>
    <t>1FTPW14566FA06268</t>
  </si>
  <si>
    <t>2184-11-0007-1</t>
  </si>
  <si>
    <t>Distribute Drive Cams Invoices (Onsite Technicians)</t>
  </si>
  <si>
    <t>2184-9-0011-1</t>
  </si>
  <si>
    <t>4073806-IN</t>
  </si>
  <si>
    <t>For Install Drive Cam on Frontline (132 - DriveCams)</t>
  </si>
  <si>
    <t>4072338-IN</t>
  </si>
  <si>
    <t>Install AA Welding Auto Tarper</t>
  </si>
  <si>
    <t>2184-13-0001-2</t>
  </si>
  <si>
    <t>2008 Type H Drop R/O</t>
  </si>
  <si>
    <t>4V5M99EH08N487371</t>
  </si>
  <si>
    <t>Helm</t>
  </si>
  <si>
    <t>AA Welding Tarping System &amp; Installation</t>
  </si>
  <si>
    <t>2184-13-0001-1</t>
  </si>
  <si>
    <t>2006 Type H Drop R/O</t>
  </si>
  <si>
    <t>4V5M99GH56N425474</t>
  </si>
  <si>
    <t>2002 Type H Rear REL</t>
  </si>
  <si>
    <t>1HTSDAAN02H523149</t>
  </si>
  <si>
    <t>FLUP - Truck 1029</t>
  </si>
  <si>
    <t>2183-9-0019-1</t>
  </si>
  <si>
    <t>2000 Type H Rear REL</t>
  </si>
  <si>
    <t>1HTSDAAN6YH264787</t>
  </si>
  <si>
    <t>FLUP - 995Compactor</t>
  </si>
  <si>
    <t>2184-9-0001-1</t>
  </si>
  <si>
    <t>R-924415</t>
  </si>
  <si>
    <t>6 YD Container</t>
  </si>
  <si>
    <t>Comm Customer List</t>
  </si>
  <si>
    <t>4V5M99GH18N487358</t>
  </si>
  <si>
    <t>2004 Type M Hook HL</t>
  </si>
  <si>
    <t>1HTMMAAL84H664898</t>
  </si>
  <si>
    <t>1HTSDAAN72H523150</t>
  </si>
  <si>
    <t>1996 Type H Rear REL</t>
  </si>
  <si>
    <t>4V52AEHD7TR474909</t>
  </si>
  <si>
    <t>95 Gal Yardwaste Plastic Carts &amp; Lids</t>
  </si>
  <si>
    <t>LA186999</t>
  </si>
  <si>
    <t>LA187182</t>
  </si>
  <si>
    <t>2000-14-0006-1</t>
  </si>
  <si>
    <t>Multiple beginning with K</t>
  </si>
  <si>
    <t>20 Gal Carts</t>
  </si>
  <si>
    <t>2183-14-0021-1</t>
  </si>
  <si>
    <t>LA140356PA000R</t>
  </si>
  <si>
    <t>35 Gal Carts</t>
  </si>
  <si>
    <t>65 Gal Carts</t>
  </si>
  <si>
    <t>95 Gal Carts</t>
  </si>
  <si>
    <t>Side Loader Door Decals</t>
  </si>
  <si>
    <t>Sign Connections</t>
  </si>
  <si>
    <t>2186-13-0004-1</t>
  </si>
  <si>
    <t>2014 ASL Truck</t>
  </si>
  <si>
    <t>3BPZL70X5EF234891</t>
  </si>
  <si>
    <t>2014 Isuzu Truck</t>
  </si>
  <si>
    <t>JALE5W166E7301706</t>
  </si>
  <si>
    <t>Isuzu</t>
  </si>
  <si>
    <t>Heiser/ SWS</t>
  </si>
  <si>
    <t>Service Truck</t>
  </si>
  <si>
    <t>2183-13-0015-1</t>
  </si>
  <si>
    <t>Engine Replacement Unit 3603</t>
  </si>
  <si>
    <t>WESTERN PETERBILT, INC.</t>
  </si>
  <si>
    <t>2183-13-0018-1</t>
  </si>
  <si>
    <t>TA20460</t>
  </si>
  <si>
    <t>Radio Frequency</t>
  </si>
  <si>
    <t>2183-13-0017-1</t>
  </si>
  <si>
    <t>3BPZL70XXEF223336</t>
  </si>
  <si>
    <t>2183-13-0004-3</t>
  </si>
  <si>
    <t>2013 ASL Truck</t>
  </si>
  <si>
    <t>3BPZL70X9DF176282</t>
  </si>
  <si>
    <t>2183-13-0004-2</t>
  </si>
  <si>
    <t>3BPZL70X6DF184419</t>
  </si>
  <si>
    <t>2183-13-0004-1</t>
  </si>
  <si>
    <t>2183-13-0016-1</t>
  </si>
  <si>
    <t>la182681</t>
  </si>
  <si>
    <t>95 Gallon Recycle Cart</t>
  </si>
  <si>
    <t>2183-13-0016-2</t>
  </si>
  <si>
    <t>la182814</t>
  </si>
  <si>
    <t>95 Gallon Recycle Carts</t>
  </si>
  <si>
    <t>la182649</t>
  </si>
  <si>
    <t>95 Gallon Refuse Cart</t>
  </si>
  <si>
    <t>2183-13-0016-3</t>
  </si>
  <si>
    <t>la182650</t>
  </si>
  <si>
    <t>la182813</t>
  </si>
  <si>
    <t>2183-13-0008-1</t>
  </si>
  <si>
    <t>2183-13-0008-3</t>
  </si>
  <si>
    <t>2183-13-0008-5</t>
  </si>
  <si>
    <t>2183-13-0008-2</t>
  </si>
  <si>
    <t>HP Compaq 6300 pro (SN = MXL3291GFX)</t>
  </si>
  <si>
    <t>2183-13-0013-1</t>
  </si>
  <si>
    <t>GC62927</t>
  </si>
  <si>
    <t>Remove Engine and re-install Remanufactured Engine</t>
  </si>
  <si>
    <t>N C MACHINERY</t>
  </si>
  <si>
    <t>2183-13-0014-1</t>
  </si>
  <si>
    <t>FI20993</t>
  </si>
  <si>
    <t>65 Gal Resi Carts w/lids</t>
  </si>
  <si>
    <t>2183-13-0002-5</t>
  </si>
  <si>
    <t>LA180043</t>
  </si>
  <si>
    <t>95 Gal Resi Carts</t>
  </si>
  <si>
    <t>LA180041</t>
  </si>
  <si>
    <t>2183-13-0002-4</t>
  </si>
  <si>
    <t>LA180045</t>
  </si>
  <si>
    <t>95 GAL Recycle Carts</t>
  </si>
  <si>
    <t>2183-13-0002-6</t>
  </si>
  <si>
    <t>LA180044</t>
  </si>
  <si>
    <t>6yd FEL Containers</t>
  </si>
  <si>
    <t>2183-13-0003-2</t>
  </si>
  <si>
    <t>4YD FEL Containers</t>
  </si>
  <si>
    <t>2183-13-0003-1</t>
  </si>
  <si>
    <t>1yd FEL Containers</t>
  </si>
  <si>
    <t>20 Gallon Residential Carts</t>
  </si>
  <si>
    <t>LA180606</t>
  </si>
  <si>
    <t>95 Gallon Carts</t>
  </si>
  <si>
    <t>LA180450</t>
  </si>
  <si>
    <t>2 YD CONTAINER</t>
  </si>
  <si>
    <t>35 Gal Resi Carts</t>
  </si>
  <si>
    <t>Input Form</t>
  </si>
  <si>
    <t>LA179958</t>
  </si>
  <si>
    <t>2183-13-0012-1</t>
  </si>
  <si>
    <t>Capital Repairs to 4021-Transmission</t>
  </si>
  <si>
    <t>OLYMPIC TRUCK SERVICE</t>
  </si>
  <si>
    <t>2183-13-0001-1</t>
  </si>
  <si>
    <t>95 Gallon  Resi Carts</t>
  </si>
  <si>
    <t>2183-13-0002-2</t>
  </si>
  <si>
    <t>LA178213</t>
  </si>
  <si>
    <t>95 Gallon Resi Carts</t>
  </si>
  <si>
    <t>2183-13-0002-3</t>
  </si>
  <si>
    <t>LA178214</t>
  </si>
  <si>
    <t>35 Gallon Resi Carts</t>
  </si>
  <si>
    <t>LA178052</t>
  </si>
  <si>
    <t>65 Gallon Resi Carts</t>
  </si>
  <si>
    <t>LA178051</t>
  </si>
  <si>
    <t>Capital Repair Engine-1042</t>
  </si>
  <si>
    <t>CASCADIA</t>
  </si>
  <si>
    <t>2183-13-0010-1</t>
  </si>
  <si>
    <t>Freight for (513) 35 Gallon Comm Recycle- Forest Green</t>
  </si>
  <si>
    <t>LA176696</t>
  </si>
  <si>
    <t>2183-13-0002-1</t>
  </si>
  <si>
    <t>35 Gallon Comm Recycle-Forest Green</t>
  </si>
  <si>
    <t>LA176700R</t>
  </si>
  <si>
    <t>Wash Rack System Replacement Remaining Work not completed in 2012</t>
  </si>
  <si>
    <t>NORTHWEST ENVIRONMENTAL &amp;</t>
  </si>
  <si>
    <t>2183-13-0009-1</t>
  </si>
  <si>
    <t>Conference Room Furniture for Pacific Office (Lacey, WA)</t>
  </si>
  <si>
    <t>2183-12-0021-1</t>
  </si>
  <si>
    <t>12-21678</t>
  </si>
  <si>
    <t>2013 Peterbilt 320</t>
  </si>
  <si>
    <t>3BPZL70X4DF193460</t>
  </si>
  <si>
    <t>Peterbilt 320</t>
  </si>
  <si>
    <t>Wittke</t>
  </si>
  <si>
    <t>2183-12-0007-1</t>
  </si>
  <si>
    <t>3 RM Licenses for LeMay Pacific</t>
  </si>
  <si>
    <t>WESTERN MICROSYSTEMS</t>
  </si>
  <si>
    <t>2183-12-0015-1</t>
  </si>
  <si>
    <t>14077-2183</t>
  </si>
  <si>
    <t>80 Liter Carts w/ Lids - Forest Green</t>
  </si>
  <si>
    <t>2183-12-0018-1</t>
  </si>
  <si>
    <t>LA173493</t>
  </si>
  <si>
    <t>HP Probook 6460b (SN = CNU241B5LH)</t>
  </si>
  <si>
    <t>2183-12-0022-1</t>
  </si>
  <si>
    <t>S247269</t>
  </si>
  <si>
    <t>HP Docking Station (SN = CNU229ZQ98)</t>
  </si>
  <si>
    <t>S050030</t>
  </si>
  <si>
    <t>95 Gallon Resi Recycle - Forest Green</t>
  </si>
  <si>
    <t>2183-12-0014-6</t>
  </si>
  <si>
    <t>LA170705</t>
  </si>
  <si>
    <t>2183-12-0014-5</t>
  </si>
  <si>
    <t>Additional work done for Waste Expo Truck</t>
  </si>
  <si>
    <t>3BPZL70X6CF168039</t>
  </si>
  <si>
    <t>2183-12-0005-1</t>
  </si>
  <si>
    <t>P168039A</t>
  </si>
  <si>
    <t>2183-12-0017-1</t>
  </si>
  <si>
    <t>95 Gallon Refuse - Forest Green</t>
  </si>
  <si>
    <t>2183-12-0018-4</t>
  </si>
  <si>
    <t>LA172933</t>
  </si>
  <si>
    <t>65 Gallon Refuse - Forest Green</t>
  </si>
  <si>
    <t>2183-12-0018-3</t>
  </si>
  <si>
    <t>LA172932</t>
  </si>
  <si>
    <t>2183-12-0018-5</t>
  </si>
  <si>
    <t>LA172935R</t>
  </si>
  <si>
    <t>LA172934R</t>
  </si>
  <si>
    <t>35 Gallon Refuse - Forest Green</t>
  </si>
  <si>
    <t>2183-12-0018-2</t>
  </si>
  <si>
    <t>LA172626</t>
  </si>
  <si>
    <t>2183-12-0014-4</t>
  </si>
  <si>
    <t>LA171028</t>
  </si>
  <si>
    <t>2183-12-0014-3</t>
  </si>
  <si>
    <t>LA171027</t>
  </si>
  <si>
    <t>2183-12-0014-2</t>
  </si>
  <si>
    <t>KE73948</t>
  </si>
  <si>
    <t>20 Gallon Refuse - Forest Green</t>
  </si>
  <si>
    <t>2183-12-0014-1</t>
  </si>
  <si>
    <t>KE73949</t>
  </si>
  <si>
    <t>Rcore Hardware Computer</t>
  </si>
  <si>
    <t>2180ROUTEWAR</t>
  </si>
  <si>
    <t>New 2012 Peterbil 320 w/ Wayne Body</t>
  </si>
  <si>
    <t>Replace R/O Body for Unit# 4030</t>
  </si>
  <si>
    <t>2183-12-0019-1</t>
  </si>
  <si>
    <t>0057701-IN</t>
  </si>
  <si>
    <t>95 Gallon Carts - Dark Aqua Blue</t>
  </si>
  <si>
    <t>#069743 t0 070228</t>
  </si>
  <si>
    <t>2183-12-0016-1</t>
  </si>
  <si>
    <t>LA171284</t>
  </si>
  <si>
    <t>HP Probook 6460b (SN = CNU21636V6) and Docking Station (SN = CNU151ZGCL)</t>
  </si>
  <si>
    <t>2183-12-0012-1</t>
  </si>
  <si>
    <t>K197623</t>
  </si>
  <si>
    <t>HP Probook 6460B (SN = CNU2070JQR)  and Docking Station (CNU201Z3S5)</t>
  </si>
  <si>
    <t>2183-12-0011-1</t>
  </si>
  <si>
    <t>H099441</t>
  </si>
  <si>
    <t>Labor to install New Engine in Unit# 4511</t>
  </si>
  <si>
    <t>OLYMPIC TRUCK</t>
  </si>
  <si>
    <t>2183-12-0010-1</t>
  </si>
  <si>
    <t>Core Credit for Truck# 4511</t>
  </si>
  <si>
    <t>HUSKY TRUCK</t>
  </si>
  <si>
    <t>CM668357</t>
  </si>
  <si>
    <t>95 Gallon Comm Recycle - Forest Green</t>
  </si>
  <si>
    <t>2183-12-0009-1</t>
  </si>
  <si>
    <t>LA169107</t>
  </si>
  <si>
    <t>Rebuild Engine on Truck 4511</t>
  </si>
  <si>
    <t>HUSKY INTERNATIONAL TRUCK</t>
  </si>
  <si>
    <t>Sony Internet TV (SN = 3S18264700B1CD1112368)</t>
  </si>
  <si>
    <t>D506713</t>
  </si>
  <si>
    <t>New 2011 Packer FEL Truck</t>
  </si>
  <si>
    <t>3BPZL00X5BF115175</t>
  </si>
  <si>
    <t>2188-11-0014-1</t>
  </si>
  <si>
    <t>Repeater</t>
  </si>
  <si>
    <t>(79) Mounted Radios &amp; (12) Handheld</t>
  </si>
  <si>
    <t>3 RouteManager User Licenses</t>
  </si>
  <si>
    <t>2183-11-0022-1</t>
  </si>
  <si>
    <t>65 Gallon Carts &amp; Lids - Forest Green</t>
  </si>
  <si>
    <t>2183-11-0023-1</t>
  </si>
  <si>
    <t>LA167670</t>
  </si>
  <si>
    <t>35 Gallon Carts - Forest Green</t>
  </si>
  <si>
    <t>2183-11-0020-1</t>
  </si>
  <si>
    <t>KE72407</t>
  </si>
  <si>
    <t># 988023 T0 988508</t>
  </si>
  <si>
    <t>LA166642</t>
  </si>
  <si>
    <t>New 2012 Peterbilt w/ Wayne Body</t>
  </si>
  <si>
    <t>3BPZL70X0CF154833</t>
  </si>
  <si>
    <t>2183-11-0009-1</t>
  </si>
  <si>
    <t>2183-11-0001-1</t>
  </si>
  <si>
    <t>LA165936</t>
  </si>
  <si>
    <t>RouteManager Licenses 2 Users for LeMay Pacific</t>
  </si>
  <si>
    <t>DESERT MICRO</t>
  </si>
  <si>
    <t>2183-11-0017-1</t>
  </si>
  <si>
    <t>2183-11-0016-1</t>
  </si>
  <si>
    <t>LA164231</t>
  </si>
  <si>
    <t>LA164667</t>
  </si>
  <si>
    <t>LA164669</t>
  </si>
  <si>
    <t>LA164233</t>
  </si>
  <si>
    <t>35 Gallon Carts - Green</t>
  </si>
  <si>
    <t>#35040531-35041610</t>
  </si>
  <si>
    <t>2183-11-0015-1</t>
  </si>
  <si>
    <t>LA162568</t>
  </si>
  <si>
    <t>95 Gallon Green Carts &amp; Lids</t>
  </si>
  <si>
    <t>#986079-986321</t>
  </si>
  <si>
    <t>LA162635</t>
  </si>
  <si>
    <t>95 Gallon Forest Green Carts</t>
  </si>
  <si>
    <t>#985593-985692</t>
  </si>
  <si>
    <t>LA162482</t>
  </si>
  <si>
    <t>#985693 - 986078</t>
  </si>
  <si>
    <t>LA162481</t>
  </si>
  <si>
    <t>3 RouteManager Licenses for Pacific</t>
  </si>
  <si>
    <t>2184-11-0006-1</t>
  </si>
  <si>
    <t>26 Mappoint 2010 Licenses</t>
  </si>
  <si>
    <t>SOFTWARE ONE</t>
  </si>
  <si>
    <t>2183-10-0024-1</t>
  </si>
  <si>
    <t>US-PSI-145754</t>
  </si>
  <si>
    <t>ADD TAX AT .085 for Route Ware Licenses</t>
  </si>
  <si>
    <t>Tax on Invoice# 16591</t>
  </si>
  <si>
    <t>GAYNOR TELESYSTEMS</t>
  </si>
  <si>
    <t>2183-10-0022-1</t>
  </si>
  <si>
    <t>Tax on Invoice# 16560</t>
  </si>
  <si>
    <t>Tax on Invoice 16588 (Phone System)</t>
  </si>
  <si>
    <t>Tax on Invoice 15899 (Phone System)</t>
  </si>
  <si>
    <t>Tax On Invoice# 16457 (Phone System)</t>
  </si>
  <si>
    <t>Phone System port upgrade at Pacific</t>
  </si>
  <si>
    <t>Gaynor Telesystems</t>
  </si>
  <si>
    <t>INV000016852</t>
  </si>
  <si>
    <t>INV000016851</t>
  </si>
  <si>
    <t>INV000016850</t>
  </si>
  <si>
    <t>NEC SV8300 and BBX</t>
  </si>
  <si>
    <t>INV000016588</t>
  </si>
  <si>
    <t>INV000016560</t>
  </si>
  <si>
    <t>Phone System for Pacfic Disposal</t>
  </si>
  <si>
    <t>INV000016457</t>
  </si>
  <si>
    <t>Trailblazer 302 Kohler (Gas Welder), Suitecase Extreme</t>
  </si>
  <si>
    <t>MA410450H &amp; MA370324A</t>
  </si>
  <si>
    <t>AIRGAS NOR-PAC</t>
  </si>
  <si>
    <t>2183-10-0030-1</t>
  </si>
  <si>
    <t>95 Gallon Carts w/ Lids - Forest Green</t>
  </si>
  <si>
    <t># 988233 T0 988592</t>
  </si>
  <si>
    <t>REHRIG PACIFIC COMPANY-LA</t>
  </si>
  <si>
    <t>2183-10-0028-1</t>
  </si>
  <si>
    <t>LA160498</t>
  </si>
  <si>
    <t>35 Gallon Carts w/ Lids - Forest Green</t>
  </si>
  <si>
    <t># G35000261 T0 G35000530</t>
  </si>
  <si>
    <t>LA160499</t>
  </si>
  <si>
    <t>65 Gallon Forest Green Carts &amp; Lids</t>
  </si>
  <si>
    <t>#T53977 T0 T54624</t>
  </si>
  <si>
    <t>LA160306</t>
  </si>
  <si>
    <t>4 Yard FEL (Plastic) &amp; (40) Drain Plugs</t>
  </si>
  <si>
    <t>4 YD FEL/REL/SL Plastic</t>
  </si>
  <si>
    <t>2183-10-0025-1</t>
  </si>
  <si>
    <t>AT128508</t>
  </si>
  <si>
    <t>Installation (Routeware 5000)</t>
  </si>
  <si>
    <t>ROUTEWARE INC</t>
  </si>
  <si>
    <t>2183-10-0005-1</t>
  </si>
  <si>
    <t>92733-1</t>
  </si>
  <si>
    <t>Freight (Routeware 5000)</t>
  </si>
  <si>
    <t>92580-1</t>
  </si>
  <si>
    <t>Reimbursable Travel Expenses (Routeware)</t>
  </si>
  <si>
    <t>92737-1</t>
  </si>
  <si>
    <t>Professional Services for Stormwater Improvements</t>
  </si>
  <si>
    <t>PACLAND</t>
  </si>
  <si>
    <t>2183-10-0019-1</t>
  </si>
  <si>
    <t>New 2010 Autocar ACX FEL Truck</t>
  </si>
  <si>
    <t xml:space="preserve"> 5VCACLJF1AH210404</t>
  </si>
  <si>
    <t>Autocar ACX</t>
  </si>
  <si>
    <t>1010-10-0028-1</t>
  </si>
  <si>
    <t>RouteManager Site Licenses and 21 Users for LeMay Pacific</t>
  </si>
  <si>
    <t>2183-10-0017-1</t>
  </si>
  <si>
    <t>OLYMPIA ELECTRIC</t>
  </si>
  <si>
    <t>2183-10-0015-1</t>
  </si>
  <si>
    <t>OLYMPIA ELECTRIC COMPANY</t>
  </si>
  <si>
    <t>95Gallon Carts - Forest Green SERIAL #984161 TO #984260</t>
  </si>
  <si>
    <t>2183-10-0023-1</t>
  </si>
  <si>
    <t>LA158654</t>
  </si>
  <si>
    <t>95 Gallon Carts - Dark Blue #65712 TO 66097</t>
  </si>
  <si>
    <t>LA158655</t>
  </si>
  <si>
    <t>95 Gallon Carts - Forest Green, SERIAL # 984261 TO #984746</t>
  </si>
  <si>
    <t>LA158656</t>
  </si>
  <si>
    <t>Professional  Services</t>
  </si>
  <si>
    <t>35 Gallon MB Carts w/ Lids - Green</t>
  </si>
  <si>
    <t>2183-10-0021-1</t>
  </si>
  <si>
    <t>LA158044</t>
  </si>
  <si>
    <t>CREATIVE OFFICE</t>
  </si>
  <si>
    <t>10-43403</t>
  </si>
  <si>
    <t>Materials and Labor for Stormwater Seperator</t>
  </si>
  <si>
    <t>SABIN ENTERPRISES INC</t>
  </si>
  <si>
    <t>EX-043</t>
  </si>
  <si>
    <t>Pacland</t>
  </si>
  <si>
    <t>Creative Office</t>
  </si>
  <si>
    <t>2183-10-0018-1</t>
  </si>
  <si>
    <t>TFS5683</t>
  </si>
  <si>
    <t>Used 2005 FORD F150 Pickup</t>
  </si>
  <si>
    <t>1FTRF14W75NB98208</t>
  </si>
  <si>
    <t>Ford F150</t>
  </si>
  <si>
    <t>Pickup</t>
  </si>
  <si>
    <t>2183-10-0016-1</t>
  </si>
  <si>
    <t>2180FUGATE</t>
  </si>
  <si>
    <t>Route Ware 5000</t>
  </si>
  <si>
    <t>2183-10-0011-1</t>
  </si>
  <si>
    <t>LA155242</t>
  </si>
  <si>
    <t>2183-10-0010-1</t>
  </si>
  <si>
    <t>LA155189</t>
  </si>
  <si>
    <t>95 Gallon Carts - Green</t>
  </si>
  <si>
    <t>2183-9-0029-1</t>
  </si>
  <si>
    <t>LA152874</t>
  </si>
  <si>
    <t>35 Gallon Forest Green Refuse Carts</t>
  </si>
  <si>
    <t>LA152554</t>
  </si>
  <si>
    <t>2183-9-0027-1</t>
  </si>
  <si>
    <t>4074173-CM</t>
  </si>
  <si>
    <t>65 Gallon Carts - Navy Blue</t>
  </si>
  <si>
    <t>2183-9-0022-1</t>
  </si>
  <si>
    <t>LA149506</t>
  </si>
  <si>
    <t>LA149507</t>
  </si>
  <si>
    <t>95 Gallon Carts - Navy Blue</t>
  </si>
  <si>
    <t>LA149561</t>
  </si>
  <si>
    <t>FLUP - Truck 4511</t>
  </si>
  <si>
    <t>2184-9-0005-1</t>
  </si>
  <si>
    <t>1996 Type M Hook HL</t>
  </si>
  <si>
    <t>1HTSCABK7TH272641</t>
  </si>
  <si>
    <t>10 Ton Floor Jack</t>
  </si>
  <si>
    <t>NAPA Auto Parts</t>
  </si>
  <si>
    <t>2183-9-0018-1</t>
  </si>
  <si>
    <t>LA149562</t>
  </si>
  <si>
    <t>Pair of 220 Emerson Floor Jacks ($1,740/each)</t>
  </si>
  <si>
    <t>Emerson</t>
  </si>
  <si>
    <t>95 Gallon Aqua Blue Carts</t>
  </si>
  <si>
    <t>LA149505</t>
  </si>
  <si>
    <t>65 Gallon Green Carts</t>
  </si>
  <si>
    <t>LA149504</t>
  </si>
  <si>
    <t>LA149220</t>
  </si>
  <si>
    <t>LA149219</t>
  </si>
  <si>
    <t>FLUP - Truck 5600</t>
  </si>
  <si>
    <t>2183-9-0024-1</t>
  </si>
  <si>
    <t>FLUP - Truck 4030</t>
  </si>
  <si>
    <t>2183-9-0020-1</t>
  </si>
  <si>
    <t>35 Yard R/O Containers</t>
  </si>
  <si>
    <t>95 Gallon Green Carts</t>
  </si>
  <si>
    <t>2183-9-0007-1</t>
  </si>
  <si>
    <t>LA147726</t>
  </si>
  <si>
    <t>95 Gallon Aqua Carts</t>
  </si>
  <si>
    <t>LA147725</t>
  </si>
  <si>
    <t>LA147429</t>
  </si>
  <si>
    <t>35 Gallon Carts - Grey</t>
  </si>
  <si>
    <t>2183-9-0001-1</t>
  </si>
  <si>
    <t>LA146521</t>
  </si>
  <si>
    <t>LA146520</t>
  </si>
  <si>
    <t>LA146519</t>
  </si>
  <si>
    <t>HP 6730b Notebook SN SCNU8423YYD and Docking Station</t>
  </si>
  <si>
    <t>2183-9-0002-1</t>
  </si>
  <si>
    <t>MXL8375</t>
  </si>
  <si>
    <t>Panasonic Toughbook 52 SN 8KTYA34668</t>
  </si>
  <si>
    <t>MXQ5820</t>
  </si>
  <si>
    <t>Shop Jacks</t>
  </si>
  <si>
    <t>ARI HETRA</t>
  </si>
  <si>
    <t>2183-8-0004-1</t>
  </si>
  <si>
    <t>0030881-IN</t>
  </si>
  <si>
    <t>Autogreaser for Truck 3621</t>
  </si>
  <si>
    <t>2183-8-0002-1</t>
  </si>
  <si>
    <t>024/40006466</t>
  </si>
  <si>
    <t>Goodwill Entries</t>
  </si>
  <si>
    <t>LeMay</t>
  </si>
  <si>
    <t>Butlers Cove G Certificate</t>
  </si>
  <si>
    <t>Rural G Certificate</t>
  </si>
  <si>
    <t>Pacific G Certificate</t>
  </si>
  <si>
    <t>Lacey Building</t>
  </si>
  <si>
    <t>40YD.</t>
  </si>
  <si>
    <t>(108,900) Residential Customers ($10 each)</t>
  </si>
  <si>
    <t>Lacey Building Improvements</t>
  </si>
  <si>
    <t>Goodwil - LeMay Enterprises</t>
  </si>
  <si>
    <t>2009 Type H TSide ASL</t>
  </si>
  <si>
    <t>3BPZL50X49F719193</t>
  </si>
  <si>
    <t>3BPZL50X29F719192</t>
  </si>
  <si>
    <t>4V5M99GHX8N487360</t>
  </si>
  <si>
    <t>2007 Type H TSide ASL</t>
  </si>
  <si>
    <t>3BPZLD9X87F717683</t>
  </si>
  <si>
    <t>3BPZLD9X97F717577</t>
  </si>
  <si>
    <t>3BPZLD9X77F717576</t>
  </si>
  <si>
    <t>3BPZLD9X57F717575</t>
  </si>
  <si>
    <t>3BPZLD9X17F717573</t>
  </si>
  <si>
    <t>3BPZLD9XX7F717572</t>
  </si>
  <si>
    <t>2007 Type H Drop R/O</t>
  </si>
  <si>
    <t>4V5M99GHX7N481928</t>
  </si>
  <si>
    <t>2007 Type H Rear REL</t>
  </si>
  <si>
    <t>1HTWCAAN17J411769</t>
  </si>
  <si>
    <t>1HTWCAAN77J471894</t>
  </si>
  <si>
    <t>1HTWCAAN67J411766</t>
  </si>
  <si>
    <t>1HTWCAAN67J408429</t>
  </si>
  <si>
    <t>4V5M99GH86N425470</t>
  </si>
  <si>
    <t>4V5M99GH16N425469</t>
  </si>
  <si>
    <t>2006 Type H Rear REL</t>
  </si>
  <si>
    <t>1HTWCAAN76J265117</t>
  </si>
  <si>
    <t>1HTWCAANS6J265116</t>
  </si>
  <si>
    <t>1HTWCAANX6J265113</t>
  </si>
  <si>
    <t>2006 Type M Pick Up Car</t>
  </si>
  <si>
    <t>1D7HW28K56S715300</t>
  </si>
  <si>
    <t>Dodge</t>
  </si>
  <si>
    <t>2004 Type H Rear REL</t>
  </si>
  <si>
    <t>1HTWCAAN74J025837</t>
  </si>
  <si>
    <t>1991 Type M Service</t>
  </si>
  <si>
    <t>1GBGK24K6ME160753</t>
  </si>
  <si>
    <t>Chevrolet</t>
  </si>
  <si>
    <t>1986 Type H Service</t>
  </si>
  <si>
    <t>1FDYD80U0GVA01604</t>
  </si>
  <si>
    <t>Boom Truck</t>
  </si>
  <si>
    <t>Lacey Land</t>
  </si>
  <si>
    <t>Commercial MSW Truck</t>
  </si>
  <si>
    <t>Fully Depreciated - did not add</t>
  </si>
  <si>
    <t>Residential Recycling Truck</t>
  </si>
  <si>
    <t>Containers (Mixed)</t>
  </si>
  <si>
    <t>Column Definitions</t>
  </si>
  <si>
    <t>TruckRequest#</t>
  </si>
  <si>
    <t>PONum_Modified</t>
  </si>
  <si>
    <t>CurrentProjectNumber_FPS</t>
  </si>
  <si>
    <t>ProjectNumber_FPS</t>
  </si>
  <si>
    <t>DeleteFlag</t>
  </si>
  <si>
    <t>PoNumber</t>
  </si>
  <si>
    <t>PoItemNumber</t>
  </si>
  <si>
    <t>ProjectName_FPS</t>
  </si>
  <si>
    <t>ItemDescription</t>
  </si>
  <si>
    <t>Explanation</t>
  </si>
  <si>
    <t>AssetType</t>
  </si>
  <si>
    <t>AssetSubType</t>
  </si>
  <si>
    <t>Life</t>
  </si>
  <si>
    <t>AddReplace</t>
  </si>
  <si>
    <t>Condition</t>
  </si>
  <si>
    <t>TruckCenterNum ValueList:RequestedTruckList</t>
  </si>
  <si>
    <t>Jan</t>
  </si>
  <si>
    <t>Feb</t>
  </si>
  <si>
    <t>Mar</t>
  </si>
  <si>
    <t>Apr</t>
  </si>
  <si>
    <t>May</t>
  </si>
  <si>
    <t>Jun</t>
  </si>
  <si>
    <t>Jul</t>
  </si>
  <si>
    <t>Aug</t>
  </si>
  <si>
    <t>Sep</t>
  </si>
  <si>
    <t>Oct</t>
  </si>
  <si>
    <t>Nov</t>
  </si>
  <si>
    <t>Dec</t>
  </si>
  <si>
    <t>FASNum</t>
  </si>
  <si>
    <t>ReplacementNotes</t>
  </si>
  <si>
    <t>EquipmentNum</t>
  </si>
  <si>
    <t>EquipmentModelYear</t>
  </si>
  <si>
    <t>FileLink hlink:FileLink</t>
  </si>
  <si>
    <t>MessageToUser</t>
  </si>
  <si>
    <t>Formatting Range</t>
  </si>
  <si>
    <t>Report Formulas</t>
  </si>
  <si>
    <t>Pull</t>
  </si>
  <si>
    <t>Clear Hash:</t>
  </si>
  <si>
    <t>CC Query Drill:</t>
  </si>
  <si>
    <t>Pull AssetTypeList:</t>
  </si>
  <si>
    <t>Pull - BudCap:</t>
  </si>
  <si>
    <t>FASDescription</t>
  </si>
  <si>
    <t>Pull - FAS:</t>
  </si>
  <si>
    <t>Save</t>
  </si>
  <si>
    <t>Save:</t>
  </si>
  <si>
    <t>Hidden Parameters &amp; Notes</t>
  </si>
  <si>
    <t>Repull?:</t>
  </si>
  <si>
    <t>FilterHash:</t>
  </si>
  <si>
    <t>FDB83FEEA696677A7D3F46BC05699C</t>
  </si>
  <si>
    <t>CC Query Summary Level:</t>
  </si>
  <si>
    <t>By Change</t>
  </si>
  <si>
    <t>Exclude Items:</t>
  </si>
  <si>
    <t>Pull Blank Rows:</t>
  </si>
  <si>
    <t>Yes</t>
  </si>
  <si>
    <t>For Drill</t>
  </si>
  <si>
    <t>Report Area Below</t>
  </si>
  <si>
    <t>Individual District:</t>
  </si>
  <si>
    <t>(Only one district a time for this input page)</t>
  </si>
  <si>
    <t>Budget Year:</t>
  </si>
  <si>
    <t>IMPORTANT:  Pull for a single district BEFORE inputting.  This will auto create new lines for you and prepare the page for input.</t>
  </si>
  <si>
    <t>Recon Check Against Truck Center</t>
  </si>
  <si>
    <t>CAPITAL DETAIL</t>
  </si>
  <si>
    <t>Replacement Info</t>
  </si>
  <si>
    <t>Suggested</t>
  </si>
  <si>
    <t>New / Used</t>
  </si>
  <si>
    <t>Truck Type</t>
  </si>
  <si>
    <t>Truck Cost</t>
  </si>
  <si>
    <t>Delete on Save</t>
  </si>
  <si>
    <t>PO #</t>
  </si>
  <si>
    <t>Item</t>
  </si>
  <si>
    <t>PO Description (Required)</t>
  </si>
  <si>
    <t>PO Item Description</t>
  </si>
  <si>
    <t>PO Explanation</t>
  </si>
  <si>
    <t>Asset Type</t>
  </si>
  <si>
    <t>SubType</t>
  </si>
  <si>
    <t>A / R</t>
  </si>
  <si>
    <t>N / U</t>
  </si>
  <si>
    <t>Truck Ctr. #</t>
  </si>
  <si>
    <t>FAS Description</t>
  </si>
  <si>
    <t>Replacement Notes</t>
  </si>
  <si>
    <t>Site Eq #</t>
  </si>
  <si>
    <t>LOB/Material Type</t>
  </si>
  <si>
    <t>Folder/File Link</t>
  </si>
  <si>
    <t>Save Message</t>
  </si>
  <si>
    <t>PO Description</t>
  </si>
  <si>
    <t>Note</t>
  </si>
  <si>
    <t>Truck Center</t>
  </si>
  <si>
    <r>
      <t>Note</t>
    </r>
    <r>
      <rPr>
        <sz val="11"/>
        <color theme="9"/>
        <rFont val="Calibri"/>
        <family val="2"/>
        <scheme val="minor"/>
      </rPr>
      <t>*</t>
    </r>
  </si>
  <si>
    <t>PO Center</t>
  </si>
  <si>
    <t>Variance</t>
  </si>
  <si>
    <t>0001-1</t>
  </si>
  <si>
    <t>Shop Expansion</t>
  </si>
  <si>
    <t>Requesting funds to expand 3 bays of the current shop bays to be pull through, essentially adding 3 bays of capacity.  Right now, we have 17 shop staff servicing 147 pieces of equipment.  Funds in 2022 are for design, engineering, and site prep; construction will occur in 2023.</t>
  </si>
  <si>
    <t>Buildings</t>
  </si>
  <si>
    <t>Building Improvements</t>
  </si>
  <si>
    <t>Requesting funds to expand 3 bays of the current shop bays to be pull through, essentially adding 3 bays of capacity.  Right now, we have 17 shop staff servicing 147 pieces of equipment.  Funds in 2022 are for design, engineering, and site prep; construction will occur in 2023, estimated $1.85M.</t>
  </si>
  <si>
    <t>0003-1</t>
  </si>
  <si>
    <t>New ASL Pete 520 RHD/Labrie Automizer 31YD (UTC)</t>
  </si>
  <si>
    <t>Requesting a new ASL to replace Truck 3600 (FAR #61117), a 2007 Peterbilt 320/Curbtender.  As of July 2021, this truck has run 206k miles and 25k hours.   Both the body and the chassis are in poor condition; it will need a partial floor re-line and packer rebuild in the next 6 months.  It has cost $20k to maintain this truck over the past 12 months.
We currently run 33 frontline ASL trucks (with an average age of 4 years) and have 6 spare trucks (with an average age of 14 years).</t>
  </si>
  <si>
    <t>New Trucks</t>
  </si>
  <si>
    <t>Automated</t>
  </si>
  <si>
    <t>R</t>
  </si>
  <si>
    <t>Requesting a new ASL to replace Truck 3600 (FAR #61117), a 2007 Peterbilt 320/Curbtender.  As of July 2021, this truck has run 206k miles and 25k hours.   Both the body and the chassis are in poor condition; it will need a partial floor re-line and packer rebuild in the next 6 months.  It has cost $20k to maintain this truck over the past 12 months.
We currently run 33 frontline ASL trucks (with an average age of 4 years) and have 6 spare trucks (with an average age of 14 years).  Truck 3600 wil</t>
  </si>
  <si>
    <t>Resi MSW Truck</t>
  </si>
  <si>
    <t>0004-1</t>
  </si>
  <si>
    <t>Requesting a new ASL to replace Truck 3601 (FAR #61118), a 2007 Peterbilt 320/Wayne Curbtender.  As of July 2021, this truck has run 208k miles and 25k hours.  The body and chassis are both in poor condition; it will need a partial floor re-line and arm repair in the next 12 months.  It has cost $12k to maintain this truck the past 12 months.
We currently run 33 frontline ASL trucks (with an average age of 4 years) and have 6 spare trucks (with an average age of 14 years).</t>
  </si>
  <si>
    <t>Requesting a new ASL to replace Truck 3601 (FAR #61118), a 2007 Peterbilt 320/Wayne Curbtender.  As of July 2021, this truck has run 208k miles and 25k hours.  The body and chassis are both in poor condition; it will need a partial floor re-line and arm repair in the next 12 months.  It has cost $12k to maintain this truck the past 12 months.
We currently run 33 frontline ASL trucks (with an average age of 4 years) and have 6 spare trucks (with an average age of 14 years).  Truck 3601 will be sc</t>
  </si>
  <si>
    <t>0005-1</t>
  </si>
  <si>
    <t>Requesting a new ASL to replace Truck 3603 (FAR #61120), a 2007 Peterbilt 320/Wayne Curbtender.  As of July 2021, this truck has run 254k miles and 27k hours.  The body and chassis are both in poor condition; it will need a partial re-line within the next 12 months.  It has cost $25k to maintain this truck over the past 12 months.
We currently run 33 frontline ASL trucks (with an average age of 4 years) and have 6 spare trucks (with an average age of 14 years).</t>
  </si>
  <si>
    <t xml:space="preserve">Requesting a new ASL to replace Truck 3603 (FAR #61120), a 2007 Peterbilt 320/Wayne Curbtender.  As of July 2021, this truck has run 254k miles and 27k hours.  The body and chassis are both in poor condition; it will need a partial re-line within the next 12 months.  It has cost $25k to maintain this truck over the past 12 months.
We currently run 33 frontline ASL trucks (with an average age of 4 years) and have 6 spare trucks (with an average age of 14 years).  Truck 3603 will be scrapped when </t>
  </si>
  <si>
    <t>0006-1</t>
  </si>
  <si>
    <t>We are requesting to add an ASL due to continued growth in Thurston County.  Average growth over the past 4 years (2017-2020) has been 3.5%, and growth in 2021 is projected to be 4.6%.  With a customer base of 62,300 Resi customers, this equates to adding approx. 5,000 stops each year (each Resi customer has both garbage and recycle).
We currently run 33 frontline ASL trucks (with an average age of 4 years) and have 6 spare trucks (with an average age of 14 years).</t>
  </si>
  <si>
    <t>0007-1</t>
  </si>
  <si>
    <t>0008-1</t>
  </si>
  <si>
    <t>New REL Peterbilt 520, 20yd Labrie (UTC)</t>
  </si>
  <si>
    <t>Requesting a new REL to replace truck 1029 (FAR #114278), a 2000 International/McNeilus 20yd.  As of July 2021, it has run 248k miles and 40k hours.  The body is in poor condition, and it has cost $12k to maintain over the past 12 months.
We currently run 12 frontline REL trucks (with an average age of 12.5 years) and have 4 spare trucks (with an average age of 19 years).</t>
  </si>
  <si>
    <t>Rear Load</t>
  </si>
  <si>
    <t>Requesting a new REL to replace truck 1029 (FAR #114278), a 2000 International/McNeilus 20yd.  As of July 2021, it has run 248k miles and 40k hours.  The body is in poor condition, and it has cost $12k to maintain over the past 12 months.
We currently run 12 frontline REL trucks (with an average age of 12.5 years) and have 4 spare trucks (with an average age of 19 years).  Truck 1029 will be scrapped when we receive the new truck.</t>
  </si>
  <si>
    <t>0009-1</t>
  </si>
  <si>
    <t>Requesting a new REL to replace truck 1035 (FAR #114280), a 2002 International/McNeilus 20yd.  As of July 2021, the truck has run 307k miles and 42k hours.  The truck has been down this summer as the A/C does not function.  It has cost $14k over the past 12 months to maintain this truck.
We currently run 12 frontline REL trucks (with an average age of 12.5 years) and have 4 spare trucks (with an average age of 19 years).</t>
  </si>
  <si>
    <t>Requesting a new REL to replace truck 1035 (FAR #114280), a 2002 International/McNeilus 20yd.  As of July 2021, the truck has run 307k miles and 42k hours.  The truck has been down this summer as the A/C does not function.  It has cost $14k over the past 12 months to maintain this truck.
We currently run 12 frontline REL trucks (with an average age of 12.5 years) and have 4 spare trucks (with an average age of 19 years).  Truck 1035 will be scrapped when we receive the new truck.</t>
  </si>
  <si>
    <t>0010-1</t>
  </si>
  <si>
    <t>Various Containers</t>
  </si>
  <si>
    <t>Requesting $740,000 to purchase containers for 2022 to keep up with expanding customer growth and replace old inventory.  Container spending the past three years has been $768k in 2019, $710k in 2020, and $641k through August 2021.</t>
  </si>
  <si>
    <t>Containers</t>
  </si>
  <si>
    <t>Toter – Plastic</t>
  </si>
  <si>
    <t>Carts Various</t>
  </si>
  <si>
    <t>0011-1</t>
  </si>
  <si>
    <t>Parking Lot Expansion</t>
  </si>
  <si>
    <t>Adding additional asphalt for more employee parking at the new office building</t>
  </si>
  <si>
    <t>Land Improvements</t>
  </si>
  <si>
    <t>End of List (save and re-pull for at least 5 more rows)</t>
  </si>
  <si>
    <t>TOTAL CAPITAL</t>
  </si>
  <si>
    <t>EOY A/D</t>
  </si>
  <si>
    <t>Avg Investment</t>
  </si>
  <si>
    <t>Carts (Mixed)</t>
  </si>
  <si>
    <t>379F1ADCC60DABD1AD38AC8E6CB5BC</t>
  </si>
  <si>
    <t>2184</t>
  </si>
  <si>
    <t>CAT 906M Loader (MRF)</t>
  </si>
  <si>
    <t>Requesting a new CAT 906M Loader to replace unit 7371 (FAR #66946), a 2003 Komatsu wheeled loader at the MRF.  As of July 2021, this loader has run 17k hours.  This unit is in poor condition and is underpowered for the increased tonnage processed in the MRF.  In 2020, the MRF processed 39k tons of recycling, and we are on trend to process 40.6k tons of recycling in 2021.  The machine is also no longer well supported; we must wait weeks to receive parts ordered from overseas.</t>
  </si>
  <si>
    <t>Heavy Equipment Non-E&amp;P</t>
  </si>
  <si>
    <t>Bucket Loader</t>
  </si>
  <si>
    <t>2003 Type M Wheel Other</t>
  </si>
  <si>
    <t>0002-1</t>
  </si>
  <si>
    <t>New Harris Gorilla Baler (UTC Commingle)</t>
  </si>
  <si>
    <t>We are requesting a new baler to replace our Selco Baler (FAR #95809), a 1991 Selco 2R-1050.  As of July 2021, the baler has run 38k hours.  The new baler will be used mainly for regulated single stream recycling, so will be able to pull most of the cost into our next regulated WUTC rate increase.  We need our baler speed to increase as we do not have space in the MRF to carry over tons.  We need to bale material almost as soon as the trucks dump.  We also have to deal with big spikes in activit</t>
  </si>
  <si>
    <t>Baler</t>
  </si>
  <si>
    <t>We are requesting a new baler to replace our Selco Baler (FAR #95809), a 1991 Selco 2R-1050.  As of July 2021, the baler has run 38k hours.  We need a baler with increased capacity to handle increasing inbound tonnage.  We do not have space to carry over tons, and must processes up to 250 tons per day.</t>
  </si>
  <si>
    <t>HRBS1</t>
  </si>
  <si>
    <t>MRF Equipment</t>
  </si>
  <si>
    <t>MRF - Loader</t>
  </si>
  <si>
    <t>MRF - Baler</t>
  </si>
  <si>
    <t>Res/Comm MSW Truck</t>
  </si>
  <si>
    <t>8110F7C45520A30230D2238441D9C6</t>
  </si>
  <si>
    <t>New Office Building as we outgrew our current building several years ago.  All former conference rooms and spare offices in the current building have been converted to spaces for multiple CSRs each, and we've been renting an office trailer to fit 4 additional desks for work space. Construction is currently underway.</t>
  </si>
  <si>
    <t>New ASL Pete 320 RHD/Labrie Automizer 31YD - Body</t>
  </si>
  <si>
    <t>Cost of body for 2020 truck pushed into 2021 due to Covid.  Originally budgeted under CER 2183-20-0023</t>
  </si>
  <si>
    <t>Cost of body for 2020 truck pushed into 2021 due to Covid.  Originally budgeted under CER 2183-20-0023.  Replacing a 2007 Peterbilt/Wayne ASL</t>
  </si>
  <si>
    <t>Cost of body for 2020 truck pushed into 2021 due to Covid.  Originally budgeted under CER 2183-20-0024</t>
  </si>
  <si>
    <t>Cost of body for 2020 truck pushed into 2021 due to Covid.  Originally budgeted under CER 2183-20-0023.  Added truck due to continued increase in residential volume.  We have seen an average 3.5% annual residential growth for the past three years (~2,000 customers added each year)</t>
  </si>
  <si>
    <t>New ASL Pete 520 RHD/Labrie Automizer 28YD (UTC)</t>
  </si>
  <si>
    <t>Added truck due to continued increase in residential volume.  We have seen an average 3.5% annual residential growth for the past three years (~2,000 customers added each year)</t>
  </si>
  <si>
    <t>New REL Peterbilt 520, 25yd Labrie</t>
  </si>
  <si>
    <t>Replacing Truck 1003, a 1996 Volvo REL.  Truck 1003 currently has 11741 hours and 308,370 miles.  The chassis and body are both in poor condition, and we have problems finding replacement parts.  Current average fleet aget is 13.5 years.</t>
  </si>
  <si>
    <t>New REL Peterbilt 520, 20yd Labrie</t>
  </si>
  <si>
    <t>Replacing Truck 1029, a 2000 International REL.  The truck currently has 6409 hours and 240,793 miles.  The chassis is in fair condition, but the body is in poor condition.  The shop has kept the truck as a spare due to necessity, but it does not run reliably.  Current average fleet aget is 13.5 years.</t>
  </si>
  <si>
    <t>Replacing Truck 1029, a 2000 International REL.  The truck currently has 6409 hours and 240,793 miles.  The chassis is in fair condition, but the body is in poor condition.  The shop has kept the truck as a spare due to necessity, but it does not run reliably. Current average fleet aget is 13.5 years.</t>
  </si>
  <si>
    <t>Containers Various</t>
  </si>
  <si>
    <t xml:space="preserve">Containers Various.  Average spend of 2017-2019 was $804k annually.  In 2020 we are projecting to spend $583k, pulling back on spending due to Covid.
</t>
  </si>
  <si>
    <t>Containers Various.  Average spend of 2017-2019 was $804k annually.  In 2020 we are projecting to spend $583k, pulling back on spending due to Covid.</t>
  </si>
  <si>
    <t>Commercial MSW Truck 2021</t>
  </si>
  <si>
    <t>Carts/Containers Various</t>
  </si>
  <si>
    <t>Will not be placed in service in 2022</t>
  </si>
  <si>
    <t>Will not be completed in 2022</t>
  </si>
  <si>
    <t>2022 Disposal/Transfers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</si>
</sst>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_(* \(#,##0\);_(* &quot;-&quot;_);_(@_)"/>
    <numFmt numFmtId="44" formatCode="_(&quot;$&quot;* #,##0.00_);_(&quot;$&quot;* \(#,##0.00\);_(&quot;$&quot;* &quot;-&quot;??_);_(@_)"/>
    <numFmt numFmtId="43" formatCode="_(* #,##0.00_);_(* \(#,##0.00\);_(* &quot;-&quot;??_);_(@_)"/>
    <numFmt numFmtId="164" formatCode="&quot;$&quot;#,##0\ ;\(&quot;$&quot;#,##0\)"/>
    <numFmt numFmtId="165" formatCode="_-* #,##0.00_-;\-* #,##0.00_-;_-* &quot;-&quot;??_-;_-@_-"/>
    <numFmt numFmtId="166" formatCode="_([$€-2]* #,##0.00_);_([$€-2]* \(#,##0.00\);_([$€-2]* &quot;-&quot;??_)"/>
    <numFmt numFmtId="167" formatCode="0.0"/>
    <numFmt numFmtId="168" formatCode="_(* #,##0_);_(* \(#,##0\);_(* &quot;-&quot;??_);_(@_)"/>
    <numFmt numFmtId="169" formatCode="_(&quot;$&quot;* #,##0_);_(&quot;$&quot;* \(#,##0\);_(&quot;$&quot;* &quot;-&quot;??_);_(@_)"/>
    <numFmt numFmtId="170" formatCode="&quot;$&quot;#,##0"/>
    <numFmt numFmtId="171" formatCode="m/d/yy;@"/>
    <numFmt numFmtId="172" formatCode="000#"/>
    <numFmt numFmtId="173" formatCode="0_);\(0\)"/>
    <numFmt numFmtId="174" formatCode="mmm"/>
    <numFmt numFmtId="175" formatCode="0000\-00\-0000\-0"/>
    <numFmt numFmtId="176" formatCode="_(* #,##0,_);_(* \(#,##0,\);_(* &quot;-&quot;_);_(@_)"/>
  </numFmts>
  <fonts count="12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Helv"/>
    </font>
    <font>
      <sz val="10"/>
      <name val="Times New Roman"/>
      <family val="1"/>
    </font>
    <font>
      <sz val="10"/>
      <color indexed="8"/>
      <name val="Arial"/>
      <family val="2"/>
    </font>
    <font>
      <u/>
      <sz val="7.5"/>
      <color indexed="12"/>
      <name val="Arial"/>
      <family val="2"/>
    </font>
    <font>
      <sz val="8"/>
      <color indexed="81"/>
      <name val="Tahoma"/>
      <family val="2"/>
    </font>
    <font>
      <b/>
      <sz val="8"/>
      <color indexed="81"/>
      <name val="Tahoma"/>
      <family val="2"/>
    </font>
    <font>
      <sz val="8"/>
      <name val="Arial"/>
      <family val="2"/>
    </font>
    <font>
      <sz val="11"/>
      <color indexed="8"/>
      <name val="Calibri"/>
      <family val="2"/>
    </font>
    <font>
      <sz val="9"/>
      <color indexed="81"/>
      <name val="Tahoma"/>
      <family val="2"/>
    </font>
    <font>
      <b/>
      <sz val="9"/>
      <color indexed="81"/>
      <name val="Tahoma"/>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10"/>
      <name val="Calibri"/>
      <family val="2"/>
    </font>
    <font>
      <sz val="11"/>
      <color indexed="8"/>
      <name val="Arial"/>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51"/>
      <name val="Calibri"/>
      <family val="2"/>
    </font>
    <font>
      <sz val="12"/>
      <name val="CG Omega"/>
    </font>
    <font>
      <sz val="10"/>
      <name val="MS Sans Serif"/>
      <family val="2"/>
    </font>
    <font>
      <sz val="12"/>
      <name val="Courier"/>
      <family val="3"/>
    </font>
    <font>
      <sz val="9"/>
      <color indexed="8"/>
      <name val="Arial"/>
      <family val="2"/>
    </font>
    <font>
      <b/>
      <sz val="10"/>
      <color indexed="12"/>
      <name val="Arial"/>
      <family val="2"/>
    </font>
    <font>
      <b/>
      <sz val="15"/>
      <color indexed="61"/>
      <name val="Calibri"/>
      <family val="2"/>
    </font>
    <font>
      <b/>
      <sz val="13"/>
      <color indexed="61"/>
      <name val="Calibri"/>
      <family val="2"/>
    </font>
    <font>
      <b/>
      <sz val="11"/>
      <color indexed="61"/>
      <name val="Calibri"/>
      <family val="2"/>
    </font>
    <font>
      <u/>
      <sz val="10"/>
      <color indexed="12"/>
      <name val="Arial"/>
      <family val="2"/>
    </font>
    <font>
      <u/>
      <sz val="11"/>
      <color indexed="12"/>
      <name val="Calibri"/>
      <family val="2"/>
    </font>
    <font>
      <sz val="11"/>
      <color indexed="61"/>
      <name val="Calibri"/>
      <family val="2"/>
    </font>
    <font>
      <sz val="10"/>
      <color indexed="12"/>
      <name val="Arial"/>
      <family val="2"/>
    </font>
    <font>
      <sz val="11"/>
      <color indexed="51"/>
      <name val="Calibri"/>
      <family val="2"/>
    </font>
    <font>
      <sz val="11"/>
      <color indexed="59"/>
      <name val="Calibri"/>
      <family val="2"/>
    </font>
    <font>
      <sz val="12"/>
      <name val="Arial"/>
      <family val="2"/>
    </font>
    <font>
      <sz val="11"/>
      <color indexed="8"/>
      <name val="Calibri"/>
      <family val="2"/>
    </font>
    <font>
      <sz val="12"/>
      <color indexed="8"/>
      <name val="Calibri"/>
      <family val="2"/>
    </font>
    <font>
      <b/>
      <sz val="12"/>
      <color indexed="12"/>
      <name val="Times New Roman"/>
      <family val="1"/>
    </font>
    <font>
      <b/>
      <sz val="10"/>
      <color indexed="10"/>
      <name val="Arial"/>
      <family val="2"/>
    </font>
    <font>
      <b/>
      <sz val="11"/>
      <color indexed="18"/>
      <name val="Britannic Bold"/>
      <family val="2"/>
    </font>
    <font>
      <sz val="11"/>
      <name val="Bookman Old Style"/>
      <family val="1"/>
    </font>
    <font>
      <u/>
      <sz val="10"/>
      <name val="Arial"/>
      <family val="2"/>
    </font>
    <font>
      <u/>
      <sz val="11"/>
      <color indexed="12"/>
      <name val="Arial"/>
      <family val="2"/>
    </font>
    <font>
      <b/>
      <sz val="14"/>
      <name val="Helv"/>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8.8000000000000007"/>
      <color theme="10"/>
      <name val="Calibri"/>
      <family val="2"/>
    </font>
    <font>
      <u/>
      <sz val="9.35"/>
      <color theme="10"/>
      <name val="Calibri"/>
      <family val="2"/>
    </font>
    <font>
      <u/>
      <sz val="11"/>
      <color theme="10"/>
      <name val="Calibri"/>
      <family val="2"/>
    </font>
    <font>
      <u/>
      <sz val="11"/>
      <color theme="10"/>
      <name val="Calibri"/>
      <family val="2"/>
      <scheme val="minor"/>
    </font>
    <font>
      <u/>
      <sz val="11"/>
      <color theme="10"/>
      <name val="Century Gothic"/>
      <family val="2"/>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Calibri"/>
      <family val="2"/>
      <scheme val="minor"/>
    </font>
    <font>
      <sz val="11"/>
      <color theme="1"/>
      <name val="Arial"/>
      <family val="2"/>
    </font>
    <font>
      <sz val="10"/>
      <name val="Arial"/>
      <family val="2"/>
    </font>
    <font>
      <sz val="10"/>
      <color rgb="FFFF0000"/>
      <name val="Arial"/>
      <family val="2"/>
    </font>
    <font>
      <b/>
      <sz val="10"/>
      <name val="Calibri"/>
      <family val="2"/>
      <scheme val="minor"/>
    </font>
    <font>
      <sz val="10"/>
      <name val="Arial"/>
      <family val="2"/>
    </font>
    <font>
      <sz val="11"/>
      <name val="Calibri"/>
      <family val="2"/>
      <scheme val="minor"/>
    </font>
    <font>
      <sz val="10"/>
      <color indexed="8"/>
      <name val="Arial"/>
      <family val="2"/>
    </font>
    <font>
      <b/>
      <u/>
      <sz val="10"/>
      <name val="Arial"/>
      <family val="2"/>
    </font>
    <font>
      <sz val="11"/>
      <color rgb="FFFF0000"/>
      <name val="Calibri"/>
      <family val="2"/>
      <scheme val="minor"/>
    </font>
    <font>
      <b/>
      <sz val="11"/>
      <name val="Calibri"/>
      <family val="2"/>
      <scheme val="minor"/>
    </font>
    <font>
      <b/>
      <sz val="10"/>
      <color rgb="FFFF0000"/>
      <name val="Arial"/>
      <family val="2"/>
    </font>
    <font>
      <b/>
      <sz val="11"/>
      <color theme="1"/>
      <name val="Calibri"/>
      <family val="2"/>
      <scheme val="minor"/>
    </font>
    <font>
      <sz val="10"/>
      <color theme="1"/>
      <name val="Arial"/>
      <family val="2"/>
    </font>
    <font>
      <b/>
      <sz val="20"/>
      <name val="Arial"/>
      <family val="2"/>
    </font>
    <font>
      <b/>
      <sz val="14"/>
      <color theme="0"/>
      <name val="Calibri"/>
      <family val="2"/>
      <scheme val="minor"/>
    </font>
    <font>
      <sz val="10"/>
      <color theme="0"/>
      <name val="Calibri"/>
      <family val="2"/>
      <scheme val="minor"/>
    </font>
    <font>
      <b/>
      <sz val="28"/>
      <color theme="1"/>
      <name val="Calibri"/>
      <family val="2"/>
      <scheme val="minor"/>
    </font>
    <font>
      <sz val="9"/>
      <color theme="0"/>
      <name val="Calibri"/>
      <family val="2"/>
      <scheme val="minor"/>
    </font>
    <font>
      <b/>
      <sz val="10"/>
      <color theme="1"/>
      <name val="Arial"/>
      <family val="2"/>
    </font>
    <font>
      <sz val="9"/>
      <color rgb="FFC00000"/>
      <name val="Arial"/>
      <family val="2"/>
    </font>
    <font>
      <b/>
      <sz val="10"/>
      <color theme="4" tint="-0.499984740745262"/>
      <name val="Arial"/>
      <family val="2"/>
    </font>
    <font>
      <sz val="10"/>
      <color rgb="FF00B050"/>
      <name val="Calibri"/>
      <family val="2"/>
      <scheme val="minor"/>
    </font>
    <font>
      <b/>
      <u/>
      <sz val="11"/>
      <color theme="1"/>
      <name val="Calibri"/>
      <family val="2"/>
      <scheme val="minor"/>
    </font>
    <font>
      <b/>
      <sz val="12"/>
      <name val="Arial"/>
      <family val="2"/>
    </font>
    <font>
      <sz val="9"/>
      <color theme="1" tint="0.499984740745262"/>
      <name val="Arial"/>
      <family val="2"/>
    </font>
    <font>
      <b/>
      <sz val="9"/>
      <color rgb="FFFF0000"/>
      <name val="Arial"/>
      <family val="2"/>
    </font>
    <font>
      <sz val="12"/>
      <name val="Calibri"/>
      <family val="2"/>
      <scheme val="minor"/>
    </font>
    <font>
      <i/>
      <sz val="11"/>
      <color theme="1"/>
      <name val="Calibri"/>
      <family val="2"/>
      <scheme val="minor"/>
    </font>
    <font>
      <b/>
      <sz val="12"/>
      <color indexed="62"/>
      <name val="Arial"/>
      <family val="2"/>
    </font>
    <font>
      <sz val="10"/>
      <color theme="4" tint="-0.499984740745262"/>
      <name val="Arial"/>
      <family val="2"/>
    </font>
    <font>
      <i/>
      <sz val="10"/>
      <color theme="4" tint="-0.499984740745262"/>
      <name val="Arial"/>
      <family val="2"/>
    </font>
    <font>
      <b/>
      <sz val="9"/>
      <color theme="4" tint="-0.499984740745262"/>
      <name val="Arial"/>
      <family val="2"/>
    </font>
    <font>
      <sz val="11"/>
      <color theme="4" tint="-0.499984740745262"/>
      <name val="Calibri"/>
      <family val="2"/>
      <scheme val="minor"/>
    </font>
    <font>
      <b/>
      <sz val="10"/>
      <color indexed="62"/>
      <name val="Arial"/>
      <family val="2"/>
    </font>
    <font>
      <sz val="11"/>
      <color theme="9"/>
      <name val="Calibri"/>
      <family val="2"/>
      <scheme val="minor"/>
    </font>
    <font>
      <i/>
      <sz val="10"/>
      <name val="Arial"/>
      <family val="2"/>
    </font>
  </fonts>
  <fills count="88">
    <fill>
      <patternFill patternType="none"/>
    </fill>
    <fill>
      <patternFill patternType="gray125"/>
    </fill>
    <fill>
      <patternFill patternType="solid">
        <fgColor indexed="31"/>
      </patternFill>
    </fill>
    <fill>
      <patternFill patternType="solid">
        <fgColor indexed="44"/>
      </patternFill>
    </fill>
    <fill>
      <patternFill patternType="solid">
        <fgColor indexed="22"/>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48"/>
      </patternFill>
    </fill>
    <fill>
      <patternFill patternType="solid">
        <fgColor indexed="53"/>
      </patternFill>
    </fill>
    <fill>
      <patternFill patternType="solid">
        <fgColor indexed="36"/>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55"/>
      </patternFill>
    </fill>
    <fill>
      <patternFill patternType="solid">
        <fgColor indexed="63"/>
      </patternFill>
    </fill>
    <fill>
      <patternFill patternType="solid">
        <fgColor indexed="42"/>
        <bgColor indexed="29"/>
      </patternFill>
    </fill>
    <fill>
      <patternFill patternType="solid">
        <fgColor indexed="45"/>
        <bgColor indexed="64"/>
      </patternFill>
    </fill>
    <fill>
      <patternFill patternType="solid">
        <fgColor indexed="9"/>
        <bgColor indexed="64"/>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1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9FBBD9"/>
        <bgColor indexed="64"/>
      </patternFill>
    </fill>
    <fill>
      <patternFill patternType="solid">
        <fgColor rgb="FFDCE6F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D9D9D9"/>
        <bgColor indexed="64"/>
      </patternFill>
    </fill>
    <fill>
      <patternFill patternType="solid">
        <fgColor theme="0" tint="-0.249977111117893"/>
        <bgColor indexed="64"/>
      </patternFill>
    </fill>
    <fill>
      <patternFill patternType="solid">
        <fgColor indexed="43"/>
        <bgColor indexed="64"/>
      </patternFill>
    </fill>
    <fill>
      <patternFill patternType="solid">
        <fgColor theme="0" tint="-0.34998626667073579"/>
        <bgColor indexed="64"/>
      </patternFill>
    </fill>
  </fills>
  <borders count="64">
    <border>
      <left/>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medium">
        <color indexed="48"/>
      </bottom>
      <diagonal/>
    </border>
    <border>
      <left/>
      <right/>
      <top/>
      <bottom style="double">
        <color indexed="52"/>
      </bottom>
      <diagonal/>
    </border>
    <border>
      <left/>
      <right/>
      <top/>
      <bottom style="double">
        <color indexed="10"/>
      </bottom>
      <diagonal/>
    </border>
    <border>
      <left/>
      <right/>
      <top/>
      <bottom style="double">
        <color indexed="5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auto="1"/>
      </right>
      <top style="thin">
        <color auto="1"/>
      </top>
      <bottom style="thin">
        <color auto="1"/>
      </bottom>
      <diagonal/>
    </border>
  </borders>
  <cellStyleXfs count="23027">
    <xf numFmtId="0" fontId="0" fillId="0" borderId="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67" fillId="36" borderId="0" applyNumberFormat="0" applyBorder="0" applyAlignment="0" applyProtection="0"/>
    <xf numFmtId="0" fontId="19" fillId="3"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67" fillId="37" borderId="0" applyNumberFormat="0" applyBorder="0" applyAlignment="0" applyProtection="0"/>
    <xf numFmtId="0" fontId="67" fillId="5" borderId="0" applyNumberFormat="0" applyBorder="0" applyAlignment="0" applyProtection="0"/>
    <xf numFmtId="0" fontId="67" fillId="37"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67"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67" fillId="38" borderId="0" applyNumberFormat="0" applyBorder="0" applyAlignment="0" applyProtection="0"/>
    <xf numFmtId="0" fontId="67" fillId="9" borderId="0" applyNumberFormat="0" applyBorder="0" applyAlignment="0" applyProtection="0"/>
    <xf numFmtId="0" fontId="67" fillId="38"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67" fillId="39" borderId="0" applyNumberFormat="0" applyBorder="0" applyAlignment="0" applyProtection="0"/>
    <xf numFmtId="0" fontId="19" fillId="5"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19" fillId="10" borderId="0" applyNumberFormat="0" applyBorder="0" applyAlignment="0" applyProtection="0"/>
    <xf numFmtId="0" fontId="67" fillId="40" borderId="0" applyNumberFormat="0" applyBorder="0" applyAlignment="0" applyProtection="0"/>
    <xf numFmtId="0" fontId="19" fillId="11" borderId="0" applyNumberFormat="0" applyBorder="0" applyAlignment="0" applyProtection="0"/>
    <xf numFmtId="0" fontId="67" fillId="40" borderId="0" applyNumberFormat="0" applyBorder="0" applyAlignment="0" applyProtection="0"/>
    <xf numFmtId="0" fontId="19" fillId="11" borderId="0" applyNumberFormat="0" applyBorder="0" applyAlignment="0" applyProtection="0"/>
    <xf numFmtId="0" fontId="67" fillId="40" borderId="0" applyNumberFormat="0" applyBorder="0" applyAlignment="0" applyProtection="0"/>
    <xf numFmtId="0" fontId="19" fillId="11"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1"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2" borderId="0" applyNumberFormat="0" applyBorder="0" applyAlignment="0" applyProtection="0"/>
    <xf numFmtId="0" fontId="19" fillId="11" borderId="0" applyNumberFormat="0" applyBorder="0" applyAlignment="0" applyProtection="0"/>
    <xf numFmtId="0" fontId="19" fillId="4"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19" fillId="3" borderId="0" applyNumberFormat="0" applyBorder="0" applyAlignment="0" applyProtection="0"/>
    <xf numFmtId="0" fontId="67" fillId="43" borderId="0" applyNumberFormat="0" applyBorder="0" applyAlignment="0" applyProtection="0"/>
    <xf numFmtId="0" fontId="19" fillId="7" borderId="0" applyNumberFormat="0" applyBorder="0" applyAlignment="0" applyProtection="0"/>
    <xf numFmtId="0" fontId="67" fillId="43" borderId="0" applyNumberFormat="0" applyBorder="0" applyAlignment="0" applyProtection="0"/>
    <xf numFmtId="0" fontId="19" fillId="7" borderId="0" applyNumberFormat="0" applyBorder="0" applyAlignment="0" applyProtection="0"/>
    <xf numFmtId="0" fontId="67" fillId="43" borderId="0" applyNumberFormat="0" applyBorder="0" applyAlignment="0" applyProtection="0"/>
    <xf numFmtId="0" fontId="19" fillId="7"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19" fillId="13"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67" fillId="44" borderId="0" applyNumberFormat="0" applyBorder="0" applyAlignment="0" applyProtection="0"/>
    <xf numFmtId="0" fontId="67" fillId="9" borderId="0" applyNumberFormat="0" applyBorder="0" applyAlignment="0" applyProtection="0"/>
    <xf numFmtId="0" fontId="67" fillId="44" borderId="0" applyNumberFormat="0" applyBorder="0" applyAlignment="0" applyProtection="0"/>
    <xf numFmtId="0" fontId="19" fillId="12" borderId="0" applyNumberFormat="0" applyBorder="0" applyAlignment="0" applyProtection="0"/>
    <xf numFmtId="0" fontId="67" fillId="4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19" fillId="10" borderId="0" applyNumberFormat="0" applyBorder="0" applyAlignment="0" applyProtection="0"/>
    <xf numFmtId="0" fontId="67" fillId="46" borderId="0" applyNumberFormat="0" applyBorder="0" applyAlignment="0" applyProtection="0"/>
    <xf numFmtId="0" fontId="19" fillId="11"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19" fillId="14" borderId="0" applyNumberFormat="0" applyBorder="0" applyAlignment="0" applyProtection="0"/>
    <xf numFmtId="0" fontId="68" fillId="48"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1"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22" fillId="18" borderId="0" applyNumberFormat="0" applyBorder="0" applyAlignment="0" applyProtection="0"/>
    <xf numFmtId="0" fontId="22" fillId="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7" borderId="0" applyNumberFormat="0" applyBorder="0" applyAlignment="0" applyProtection="0"/>
    <xf numFmtId="0" fontId="68" fillId="49"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68" fillId="50" borderId="0" applyNumberFormat="0" applyBorder="0" applyAlignment="0" applyProtection="0"/>
    <xf numFmtId="0" fontId="22" fillId="14" borderId="0" applyNumberFormat="0" applyBorder="0" applyAlignment="0" applyProtection="0"/>
    <xf numFmtId="0" fontId="68" fillId="50"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9" borderId="0" applyNumberFormat="0" applyBorder="0" applyAlignment="0" applyProtection="0"/>
    <xf numFmtId="0" fontId="22" fillId="6" borderId="0" applyNumberFormat="0" applyBorder="0" applyAlignment="0" applyProtection="0"/>
    <xf numFmtId="0" fontId="22" fillId="19" borderId="0" applyNumberFormat="0" applyBorder="0" applyAlignment="0" applyProtection="0"/>
    <xf numFmtId="0" fontId="22" fillId="6" borderId="0" applyNumberFormat="0" applyBorder="0" applyAlignment="0" applyProtection="0"/>
    <xf numFmtId="0" fontId="68" fillId="51" borderId="0" applyNumberFormat="0" applyBorder="0" applyAlignment="0" applyProtection="0"/>
    <xf numFmtId="0" fontId="22" fillId="6"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68" fillId="52"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0"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22" fillId="2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68" fillId="54" borderId="0" applyNumberFormat="0" applyBorder="0" applyAlignment="0" applyProtection="0"/>
    <xf numFmtId="0" fontId="68" fillId="55"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68" fillId="55" borderId="0" applyNumberFormat="0" applyBorder="0" applyAlignment="0" applyProtection="0"/>
    <xf numFmtId="0" fontId="68" fillId="56" borderId="0" applyNumberFormat="0" applyBorder="0" applyAlignment="0" applyProtection="0"/>
    <xf numFmtId="0" fontId="22" fillId="14" borderId="0" applyNumberFormat="0" applyBorder="0" applyAlignment="0" applyProtection="0"/>
    <xf numFmtId="0" fontId="22" fillId="24" borderId="0" applyNumberFormat="0" applyBorder="0" applyAlignment="0" applyProtection="0"/>
    <xf numFmtId="0" fontId="22" fillId="22" borderId="0" applyNumberFormat="0" applyBorder="0" applyAlignment="0" applyProtection="0"/>
    <xf numFmtId="0" fontId="22" fillId="2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4" borderId="0" applyNumberFormat="0" applyBorder="0" applyAlignment="0" applyProtection="0"/>
    <xf numFmtId="0" fontId="68" fillId="56" borderId="0" applyNumberFormat="0" applyBorder="0" applyAlignment="0" applyProtection="0"/>
    <xf numFmtId="0" fontId="68" fillId="5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9" borderId="0" applyNumberFormat="0" applyBorder="0" applyAlignment="0" applyProtection="0"/>
    <xf numFmtId="0" fontId="68" fillId="57" borderId="0" applyNumberFormat="0" applyBorder="0" applyAlignment="0" applyProtection="0"/>
    <xf numFmtId="0" fontId="68" fillId="5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8" fillId="58"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6" borderId="0" applyNumberFormat="0" applyBorder="0" applyAlignment="0" applyProtection="0"/>
    <xf numFmtId="0" fontId="68" fillId="58" borderId="0" applyNumberFormat="0" applyBorder="0" applyAlignment="0" applyProtection="0"/>
    <xf numFmtId="0" fontId="68" fillId="59"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0"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68" fillId="59" borderId="0" applyNumberFormat="0" applyBorder="0" applyAlignment="0" applyProtection="0"/>
    <xf numFmtId="41" fontId="11" fillId="0" borderId="0"/>
    <xf numFmtId="41" fontId="11" fillId="0" borderId="0"/>
    <xf numFmtId="41" fontId="11" fillId="0" borderId="0"/>
    <xf numFmtId="41" fontId="11" fillId="0" borderId="0"/>
    <xf numFmtId="41" fontId="11" fillId="0" borderId="0"/>
    <xf numFmtId="41" fontId="11" fillId="0" borderId="0"/>
    <xf numFmtId="41" fontId="11" fillId="0" borderId="0"/>
    <xf numFmtId="49" fontId="60" fillId="0" borderId="0" applyFill="0" applyBorder="0" applyAlignment="0" applyProtection="0"/>
    <xf numFmtId="0" fontId="59" fillId="0" borderId="1" applyBorder="0">
      <alignment horizontal="center" vertical="center" wrapText="1"/>
    </xf>
    <xf numFmtId="0" fontId="59" fillId="0" borderId="1" applyBorder="0">
      <alignment horizontal="center" vertical="center" wrapText="1"/>
    </xf>
    <xf numFmtId="0" fontId="59" fillId="0" borderId="1" applyBorder="0">
      <alignment horizontal="center" vertical="center" wrapText="1"/>
    </xf>
    <xf numFmtId="0" fontId="59" fillId="0" borderId="1" applyBorder="0">
      <alignment horizontal="center" vertical="center" wrapText="1"/>
    </xf>
    <xf numFmtId="0" fontId="59" fillId="0" borderId="1" applyBorder="0">
      <alignment horizontal="center" vertical="center" wrapText="1"/>
    </xf>
    <xf numFmtId="0" fontId="69" fillId="60"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69" fillId="60" borderId="0" applyNumberFormat="0" applyBorder="0" applyAlignment="0" applyProtection="0"/>
    <xf numFmtId="3" fontId="11" fillId="0" borderId="0"/>
    <xf numFmtId="3" fontId="11" fillId="0" borderId="0"/>
    <xf numFmtId="3" fontId="11" fillId="0" borderId="0"/>
    <xf numFmtId="3" fontId="11" fillId="0" borderId="0"/>
    <xf numFmtId="0" fontId="70" fillId="61" borderId="20" applyNumberFormat="0" applyAlignment="0" applyProtection="0"/>
    <xf numFmtId="0" fontId="29"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41" fillId="26" borderId="2" applyNumberFormat="0" applyAlignment="0" applyProtection="0"/>
    <xf numFmtId="0" fontId="41" fillId="26" borderId="2" applyNumberFormat="0" applyAlignment="0" applyProtection="0"/>
    <xf numFmtId="0" fontId="41" fillId="26" borderId="2" applyNumberFormat="0" applyAlignment="0" applyProtection="0"/>
    <xf numFmtId="0" fontId="41" fillId="26" borderId="2" applyNumberFormat="0" applyAlignment="0" applyProtection="0"/>
    <xf numFmtId="0" fontId="41" fillId="26" borderId="2" applyNumberFormat="0" applyAlignment="0" applyProtection="0"/>
    <xf numFmtId="0" fontId="41" fillId="26" borderId="2" applyNumberFormat="0" applyAlignment="0" applyProtection="0"/>
    <xf numFmtId="0" fontId="41" fillId="26" borderId="2" applyNumberFormat="0" applyAlignment="0" applyProtection="0"/>
    <xf numFmtId="0" fontId="35"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35" fillId="26" borderId="2" applyNumberFormat="0" applyAlignment="0" applyProtection="0"/>
    <xf numFmtId="0" fontId="29" fillId="26"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35" fillId="4" borderId="2" applyNumberFormat="0" applyAlignment="0" applyProtection="0"/>
    <xf numFmtId="0" fontId="29" fillId="26" borderId="2" applyNumberFormat="0" applyAlignment="0" applyProtection="0"/>
    <xf numFmtId="0" fontId="70" fillId="61" borderId="20"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29" fillId="26" borderId="2" applyNumberFormat="0" applyAlignment="0" applyProtection="0"/>
    <xf numFmtId="0" fontId="71" fillId="62" borderId="21" applyNumberFormat="0" applyAlignment="0" applyProtection="0"/>
    <xf numFmtId="0" fontId="24" fillId="27" borderId="3" applyNumberFormat="0" applyAlignment="0" applyProtection="0"/>
    <xf numFmtId="0" fontId="24" fillId="28" borderId="4" applyNumberFormat="0" applyAlignment="0" applyProtection="0"/>
    <xf numFmtId="0" fontId="24" fillId="28" borderId="4" applyNumberFormat="0" applyAlignment="0" applyProtection="0"/>
    <xf numFmtId="0" fontId="24" fillId="27" borderId="3" applyNumberFormat="0" applyAlignment="0" applyProtection="0"/>
    <xf numFmtId="0" fontId="24" fillId="28" borderId="4" applyNumberFormat="0" applyAlignment="0" applyProtection="0"/>
    <xf numFmtId="0" fontId="24" fillId="27" borderId="3" applyNumberFormat="0" applyAlignment="0" applyProtection="0"/>
    <xf numFmtId="0" fontId="71" fillId="62" borderId="21" applyNumberFormat="0" applyAlignment="0" applyProtection="0"/>
    <xf numFmtId="0" fontId="61" fillId="29" borderId="0" applyNumberFormat="0" applyBorder="0" applyAlignment="0" applyProtection="0">
      <alignment horizontal="center"/>
      <protection hidden="1"/>
    </xf>
    <xf numFmtId="0" fontId="11" fillId="30" borderId="0">
      <alignment horizont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3" fillId="31" borderId="0">
      <alignment horizontal="left"/>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165"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8"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 fontId="14" fillId="0" borderId="0"/>
    <xf numFmtId="3" fontId="43" fillId="0" borderId="0" applyFont="0" applyFill="0" applyBorder="0" applyAlignment="0" applyProtection="0"/>
    <xf numFmtId="0" fontId="44" fillId="0" borderId="0"/>
    <xf numFmtId="0" fontId="44" fillId="0" borderId="0"/>
    <xf numFmtId="0" fontId="45" fillId="32" borderId="5" applyAlignment="0">
      <alignment horizontal="right"/>
      <protection locked="0"/>
    </xf>
    <xf numFmtId="44" fontId="5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1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4" fillId="0" borderId="0" applyFont="0" applyFill="0" applyBorder="0" applyAlignment="0" applyProtection="0">
      <alignment vertical="top"/>
    </xf>
    <xf numFmtId="44" fontId="19"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7" fillId="0" borderId="0" applyFont="0" applyFill="0" applyBorder="0" applyAlignment="0" applyProtection="0"/>
    <xf numFmtId="44" fontId="6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57"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alignment wrapText="1"/>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4" fontId="43" fillId="0" borderId="0" applyFont="0" applyFill="0" applyBorder="0" applyAlignment="0" applyProtection="0"/>
    <xf numFmtId="0" fontId="12" fillId="0" borderId="0"/>
    <xf numFmtId="0" fontId="12" fillId="0" borderId="0"/>
    <xf numFmtId="0" fontId="12" fillId="0" borderId="6"/>
    <xf numFmtId="0" fontId="12" fillId="0" borderId="6"/>
    <xf numFmtId="0" fontId="12" fillId="0" borderId="6"/>
    <xf numFmtId="0" fontId="12" fillId="0" borderId="6"/>
    <xf numFmtId="0" fontId="12" fillId="0" borderId="6"/>
    <xf numFmtId="0" fontId="46" fillId="33" borderId="0">
      <alignment horizontal="right"/>
      <protection locked="0"/>
    </xf>
    <xf numFmtId="14" fontId="11" fillId="0" borderId="0"/>
    <xf numFmtId="166" fontId="11" fillId="0" borderId="0" applyFont="0" applyFill="0" applyBorder="0" applyAlignment="0" applyProtection="0"/>
    <xf numFmtId="166" fontId="11" fillId="0" borderId="0" applyFont="0" applyFill="0" applyBorder="0" applyAlignment="0" applyProtection="0"/>
    <xf numFmtId="0" fontId="7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2" fillId="0" borderId="0" applyNumberFormat="0" applyFill="0" applyBorder="0" applyAlignment="0" applyProtection="0"/>
    <xf numFmtId="0" fontId="11" fillId="0" borderId="0"/>
    <xf numFmtId="2" fontId="46" fillId="33" borderId="0">
      <alignment horizontal="right"/>
      <protection locked="0"/>
    </xf>
    <xf numFmtId="1" fontId="11" fillId="0" borderId="0">
      <alignment horizontal="center"/>
    </xf>
    <xf numFmtId="0" fontId="73" fillId="63"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73" fillId="63"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73" fillId="63" borderId="0" applyNumberFormat="0" applyBorder="0" applyAlignment="0" applyProtection="0"/>
    <xf numFmtId="0" fontId="73" fillId="63" borderId="0" applyNumberFormat="0" applyBorder="0" applyAlignment="0" applyProtection="0"/>
    <xf numFmtId="0" fontId="73" fillId="63" borderId="0" applyNumberFormat="0" applyBorder="0" applyAlignment="0" applyProtection="0"/>
    <xf numFmtId="0" fontId="74" fillId="0" borderId="22" applyNumberFormat="0" applyFill="0" applyAlignment="0" applyProtection="0"/>
    <xf numFmtId="0" fontId="31"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47" fillId="0" borderId="10" applyNumberFormat="0" applyFill="0" applyAlignment="0" applyProtection="0"/>
    <xf numFmtId="0" fontId="31" fillId="0" borderId="9"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6" fillId="0" borderId="7" applyNumberFormat="0" applyFill="0" applyAlignment="0" applyProtection="0"/>
    <xf numFmtId="0" fontId="31" fillId="0" borderId="8" applyNumberFormat="0" applyFill="0" applyAlignment="0" applyProtection="0"/>
    <xf numFmtId="0" fontId="36" fillId="0" borderId="7" applyNumberFormat="0" applyFill="0" applyAlignment="0" applyProtection="0"/>
    <xf numFmtId="0" fontId="31" fillId="0" borderId="8" applyNumberFormat="0" applyFill="0" applyAlignment="0" applyProtection="0"/>
    <xf numFmtId="0" fontId="74" fillId="0" borderId="22" applyNumberFormat="0" applyFill="0" applyAlignment="0" applyProtection="0"/>
    <xf numFmtId="0" fontId="75" fillId="0" borderId="23" applyNumberFormat="0" applyFill="0" applyAlignment="0" applyProtection="0"/>
    <xf numFmtId="0" fontId="32" fillId="0" borderId="12" applyNumberFormat="0" applyFill="0" applyAlignment="0" applyProtection="0"/>
    <xf numFmtId="0" fontId="32" fillId="0" borderId="11" applyNumberFormat="0" applyFill="0" applyAlignment="0" applyProtection="0"/>
    <xf numFmtId="0" fontId="48" fillId="0" borderId="11" applyNumberFormat="0" applyFill="0" applyAlignment="0" applyProtection="0"/>
    <xf numFmtId="0" fontId="32" fillId="0" borderId="11"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7" fillId="0" borderId="11" applyNumberFormat="0" applyFill="0" applyAlignment="0" applyProtection="0"/>
    <xf numFmtId="0" fontId="32" fillId="0" borderId="12" applyNumberFormat="0" applyFill="0" applyAlignment="0" applyProtection="0"/>
    <xf numFmtId="0" fontId="37" fillId="0" borderId="11" applyNumberFormat="0" applyFill="0" applyAlignment="0" applyProtection="0"/>
    <xf numFmtId="0" fontId="32" fillId="0" borderId="12" applyNumberFormat="0" applyFill="0" applyAlignment="0" applyProtection="0"/>
    <xf numFmtId="0" fontId="75" fillId="0" borderId="23" applyNumberFormat="0" applyFill="0" applyAlignment="0" applyProtection="0"/>
    <xf numFmtId="0" fontId="76" fillId="0" borderId="24" applyNumberFormat="0" applyFill="0" applyAlignment="0" applyProtection="0"/>
    <xf numFmtId="0" fontId="33"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49" fillId="0" borderId="16" applyNumberFormat="0" applyFill="0" applyAlignment="0" applyProtection="0"/>
    <xf numFmtId="0" fontId="33" fillId="0" borderId="15"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8" fillId="0" borderId="13" applyNumberFormat="0" applyFill="0" applyAlignment="0" applyProtection="0"/>
    <xf numFmtId="0" fontId="33" fillId="0" borderId="14" applyNumberFormat="0" applyFill="0" applyAlignment="0" applyProtection="0"/>
    <xf numFmtId="0" fontId="38" fillId="0" borderId="13" applyNumberFormat="0" applyFill="0" applyAlignment="0" applyProtection="0"/>
    <xf numFmtId="0" fontId="33" fillId="0" borderId="14" applyNumberFormat="0" applyFill="0" applyAlignment="0" applyProtection="0"/>
    <xf numFmtId="0" fontId="76" fillId="0" borderId="24" applyNumberFormat="0" applyFill="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8"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80" fillId="0" borderId="0" applyNumberFormat="0" applyFill="0" applyBorder="0" applyAlignment="0" applyProtection="0"/>
    <xf numFmtId="0" fontId="64"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64" borderId="20"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52" fillId="13" borderId="2" applyNumberFormat="0" applyAlignment="0" applyProtection="0"/>
    <xf numFmtId="0" fontId="52" fillId="13" borderId="2" applyNumberFormat="0" applyAlignment="0" applyProtection="0"/>
    <xf numFmtId="0" fontId="52" fillId="13" borderId="2" applyNumberFormat="0" applyAlignment="0" applyProtection="0"/>
    <xf numFmtId="0" fontId="52" fillId="13" borderId="2" applyNumberFormat="0" applyAlignment="0" applyProtection="0"/>
    <xf numFmtId="0" fontId="52" fillId="13" borderId="2" applyNumberFormat="0" applyAlignment="0" applyProtection="0"/>
    <xf numFmtId="0" fontId="52" fillId="13" borderId="2" applyNumberFormat="0" applyAlignment="0" applyProtection="0"/>
    <xf numFmtId="0" fontId="52" fillId="13" borderId="2" applyNumberFormat="0" applyAlignment="0" applyProtection="0"/>
    <xf numFmtId="0" fontId="52"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52" fillId="13" borderId="2" applyNumberFormat="0" applyAlignment="0" applyProtection="0"/>
    <xf numFmtId="0" fontId="52" fillId="13" borderId="2" applyNumberFormat="0" applyAlignment="0" applyProtection="0"/>
    <xf numFmtId="0" fontId="52" fillId="13" borderId="2" applyNumberFormat="0" applyAlignment="0" applyProtection="0"/>
    <xf numFmtId="0" fontId="52" fillId="13" borderId="2" applyNumberFormat="0" applyAlignment="0" applyProtection="0"/>
    <xf numFmtId="0" fontId="52" fillId="13" borderId="2" applyNumberFormat="0" applyAlignment="0" applyProtection="0"/>
    <xf numFmtId="0" fontId="52"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5" borderId="2" applyNumberFormat="0" applyAlignment="0" applyProtection="0"/>
    <xf numFmtId="0" fontId="27" fillId="5" borderId="2" applyNumberFormat="0" applyAlignment="0" applyProtection="0"/>
    <xf numFmtId="0" fontId="27" fillId="5" borderId="2" applyNumberFormat="0" applyAlignment="0" applyProtection="0"/>
    <xf numFmtId="0" fontId="27" fillId="5" borderId="2" applyNumberFormat="0" applyAlignment="0" applyProtection="0"/>
    <xf numFmtId="0" fontId="27" fillId="5" borderId="2" applyNumberFormat="0" applyAlignment="0" applyProtection="0"/>
    <xf numFmtId="0" fontId="27" fillId="5" borderId="2" applyNumberFormat="0" applyAlignment="0" applyProtection="0"/>
    <xf numFmtId="0" fontId="27" fillId="5" borderId="2" applyNumberFormat="0" applyAlignment="0" applyProtection="0"/>
    <xf numFmtId="0" fontId="27" fillId="5" borderId="2" applyNumberFormat="0" applyAlignment="0" applyProtection="0"/>
    <xf numFmtId="0" fontId="27" fillId="5" borderId="2" applyNumberFormat="0" applyAlignment="0" applyProtection="0"/>
    <xf numFmtId="0" fontId="27" fillId="5" borderId="2" applyNumberFormat="0" applyAlignment="0" applyProtection="0"/>
    <xf numFmtId="0" fontId="82" fillId="64" borderId="20" applyNumberFormat="0" applyAlignment="0" applyProtection="0"/>
    <xf numFmtId="3" fontId="53" fillId="34" borderId="0">
      <protection locked="0"/>
    </xf>
    <xf numFmtId="4" fontId="53" fillId="34" borderId="0">
      <protection locked="0"/>
    </xf>
    <xf numFmtId="0" fontId="59" fillId="0" borderId="1" applyBorder="0">
      <alignment horizontal="center" vertical="center" wrapText="1"/>
    </xf>
    <xf numFmtId="0" fontId="65" fillId="35" borderId="6"/>
    <xf numFmtId="0" fontId="65" fillId="35" borderId="6"/>
    <xf numFmtId="0" fontId="65" fillId="35" borderId="6"/>
    <xf numFmtId="0" fontId="65" fillId="35" borderId="6"/>
    <xf numFmtId="0" fontId="65" fillId="35" borderId="6"/>
    <xf numFmtId="0" fontId="59" fillId="0" borderId="1" applyBorder="0">
      <alignment horizontal="center" vertical="center" wrapText="1"/>
    </xf>
    <xf numFmtId="0" fontId="59" fillId="0" borderId="1" applyBorder="0">
      <alignment horizontal="center" vertical="center" wrapText="1"/>
    </xf>
    <xf numFmtId="0" fontId="59" fillId="0" borderId="1" applyBorder="0">
      <alignment horizontal="center" vertical="center" wrapText="1"/>
    </xf>
    <xf numFmtId="0" fontId="59" fillId="0" borderId="1" applyBorder="0">
      <alignment horizontal="center" vertical="center" wrapText="1"/>
    </xf>
    <xf numFmtId="0" fontId="59" fillId="0" borderId="1" applyBorder="0">
      <alignment horizontal="center" vertical="center" wrapText="1"/>
    </xf>
    <xf numFmtId="0" fontId="59" fillId="0" borderId="1" applyBorder="0">
      <alignment horizontal="center" vertical="center" wrapText="1"/>
    </xf>
    <xf numFmtId="0" fontId="59" fillId="0" borderId="1" applyBorder="0">
      <alignment horizontal="center" vertical="center" wrapText="1"/>
    </xf>
    <xf numFmtId="0" fontId="83" fillId="0" borderId="25" applyNumberFormat="0" applyFill="0" applyAlignment="0" applyProtection="0"/>
    <xf numFmtId="0" fontId="28" fillId="0" borderId="18" applyNumberFormat="0" applyFill="0" applyAlignment="0" applyProtection="0"/>
    <xf numFmtId="0" fontId="39" fillId="0" borderId="17" applyNumberFormat="0" applyFill="0" applyAlignment="0" applyProtection="0"/>
    <xf numFmtId="0" fontId="54" fillId="0" borderId="19" applyNumberFormat="0" applyFill="0" applyAlignment="0" applyProtection="0"/>
    <xf numFmtId="0" fontId="39"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39" fillId="0" borderId="17" applyNumberFormat="0" applyFill="0" applyAlignment="0" applyProtection="0"/>
    <xf numFmtId="0" fontId="83" fillId="0" borderId="25" applyNumberFormat="0" applyFill="0" applyAlignment="0" applyProtection="0"/>
    <xf numFmtId="0" fontId="84" fillId="65" borderId="0" applyNumberFormat="0" applyBorder="0" applyAlignment="0" applyProtection="0"/>
    <xf numFmtId="0" fontId="34"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55" fillId="13" borderId="0" applyNumberFormat="0" applyBorder="0" applyAlignment="0" applyProtection="0"/>
    <xf numFmtId="0" fontId="40"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40" fillId="13" borderId="0" applyNumberFormat="0" applyBorder="0" applyAlignment="0" applyProtection="0"/>
    <xf numFmtId="0" fontId="84" fillId="65" borderId="0" applyNumberFormat="0" applyBorder="0" applyAlignment="0" applyProtection="0"/>
    <xf numFmtId="43"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7" fillId="0" borderId="0"/>
    <xf numFmtId="0" fontId="1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9" fillId="0" borderId="0"/>
    <xf numFmtId="0" fontId="67" fillId="0" borderId="0"/>
    <xf numFmtId="0" fontId="67" fillId="0" borderId="0"/>
    <xf numFmtId="0" fontId="67" fillId="0" borderId="0"/>
    <xf numFmtId="0" fontId="67" fillId="0" borderId="0"/>
    <xf numFmtId="0" fontId="19" fillId="0" borderId="0"/>
    <xf numFmtId="0" fontId="1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0" borderId="0"/>
    <xf numFmtId="0" fontId="67" fillId="0" borderId="0"/>
    <xf numFmtId="0" fontId="67" fillId="0" borderId="0"/>
    <xf numFmtId="0" fontId="67" fillId="0" borderId="0"/>
    <xf numFmtId="0" fontId="67" fillId="0" borderId="0"/>
    <xf numFmtId="0" fontId="67" fillId="0" borderId="0"/>
    <xf numFmtId="0" fontId="11" fillId="0" borderId="0"/>
    <xf numFmtId="0" fontId="67" fillId="0" borderId="0"/>
    <xf numFmtId="0" fontId="67" fillId="0" borderId="0"/>
    <xf numFmtId="0" fontId="67" fillId="0" borderId="0"/>
    <xf numFmtId="0" fontId="67" fillId="0" borderId="0"/>
    <xf numFmtId="0" fontId="11" fillId="0" borderId="0"/>
    <xf numFmtId="0" fontId="11" fillId="0" borderId="0">
      <alignment wrapText="1"/>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0" borderId="0">
      <alignment wrapText="1"/>
    </xf>
    <xf numFmtId="0" fontId="67" fillId="0" borderId="0"/>
    <xf numFmtId="0" fontId="67" fillId="0" borderId="0"/>
    <xf numFmtId="0" fontId="11" fillId="0" borderId="0">
      <alignment wrapText="1"/>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0" borderId="0"/>
    <xf numFmtId="0" fontId="67" fillId="0" borderId="0"/>
    <xf numFmtId="0" fontId="14" fillId="0" borderId="0">
      <alignment vertical="top"/>
    </xf>
    <xf numFmtId="0" fontId="67" fillId="0" borderId="0"/>
    <xf numFmtId="0" fontId="11" fillId="0" borderId="0"/>
    <xf numFmtId="0" fontId="67" fillId="0" borderId="0"/>
    <xf numFmtId="0" fontId="11" fillId="0" borderId="0"/>
    <xf numFmtId="0" fontId="11" fillId="0" borderId="0"/>
    <xf numFmtId="0" fontId="67" fillId="0" borderId="0"/>
    <xf numFmtId="0" fontId="11" fillId="0" borderId="0"/>
    <xf numFmtId="0" fontId="67" fillId="0" borderId="0"/>
    <xf numFmtId="0" fontId="11" fillId="0" borderId="0"/>
    <xf numFmtId="0" fontId="67" fillId="0" borderId="0"/>
    <xf numFmtId="0" fontId="11" fillId="0" borderId="0"/>
    <xf numFmtId="0" fontId="67" fillId="0" borderId="0"/>
    <xf numFmtId="0" fontId="11" fillId="0" borderId="0"/>
    <xf numFmtId="0" fontId="67" fillId="0" borderId="0"/>
    <xf numFmtId="0" fontId="11" fillId="0" borderId="0"/>
    <xf numFmtId="0" fontId="11" fillId="0" borderId="0"/>
    <xf numFmtId="0" fontId="67" fillId="0" borderId="0"/>
    <xf numFmtId="0" fontId="11" fillId="0" borderId="0"/>
    <xf numFmtId="0" fontId="67" fillId="0" borderId="0"/>
    <xf numFmtId="0" fontId="11" fillId="0" borderId="0"/>
    <xf numFmtId="0" fontId="11" fillId="0" borderId="0"/>
    <xf numFmtId="0" fontId="85" fillId="0" borderId="0"/>
    <xf numFmtId="0" fontId="67" fillId="0" borderId="0"/>
    <xf numFmtId="0" fontId="85" fillId="0" borderId="0"/>
    <xf numFmtId="0" fontId="67" fillId="0" borderId="0"/>
    <xf numFmtId="0" fontId="67" fillId="0" borderId="0"/>
    <xf numFmtId="0" fontId="11" fillId="0" borderId="0"/>
    <xf numFmtId="0" fontId="11" fillId="0" borderId="0"/>
    <xf numFmtId="0" fontId="19" fillId="0" borderId="0"/>
    <xf numFmtId="0" fontId="1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0" borderId="0"/>
    <xf numFmtId="0" fontId="67" fillId="0" borderId="0"/>
    <xf numFmtId="0" fontId="67" fillId="0" borderId="0"/>
    <xf numFmtId="0" fontId="19" fillId="0" borderId="0"/>
    <xf numFmtId="0" fontId="1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0" borderId="0"/>
    <xf numFmtId="0" fontId="67" fillId="0" borderId="0"/>
    <xf numFmtId="0" fontId="19" fillId="0" borderId="0"/>
    <xf numFmtId="0" fontId="67" fillId="0" borderId="0"/>
    <xf numFmtId="0" fontId="19" fillId="0" borderId="0"/>
    <xf numFmtId="0" fontId="11" fillId="0" borderId="0"/>
    <xf numFmtId="0" fontId="19" fillId="0" borderId="0"/>
    <xf numFmtId="0" fontId="67" fillId="0" borderId="0"/>
    <xf numFmtId="0" fontId="19" fillId="0" borderId="0"/>
    <xf numFmtId="0" fontId="11" fillId="0" borderId="0"/>
    <xf numFmtId="0" fontId="67" fillId="0" borderId="0"/>
    <xf numFmtId="0" fontId="11" fillId="0" borderId="0"/>
    <xf numFmtId="0" fontId="67" fillId="0" borderId="0"/>
    <xf numFmtId="0" fontId="11" fillId="0" borderId="0"/>
    <xf numFmtId="0" fontId="11" fillId="0" borderId="0"/>
    <xf numFmtId="0" fontId="67" fillId="0" borderId="0"/>
    <xf numFmtId="0" fontId="67" fillId="0" borderId="0"/>
    <xf numFmtId="0" fontId="67" fillId="0" borderId="0"/>
    <xf numFmtId="0" fontId="67" fillId="0" borderId="0"/>
    <xf numFmtId="0" fontId="11" fillId="0" borderId="0"/>
    <xf numFmtId="0" fontId="67" fillId="0" borderId="0"/>
    <xf numFmtId="0" fontId="11" fillId="0" borderId="0"/>
    <xf numFmtId="0" fontId="11" fillId="0" borderId="0"/>
    <xf numFmtId="0" fontId="67" fillId="0" borderId="0"/>
    <xf numFmtId="0" fontId="11" fillId="0" borderId="0"/>
    <xf numFmtId="0" fontId="11" fillId="0" borderId="0"/>
    <xf numFmtId="0" fontId="67" fillId="0" borderId="0"/>
    <xf numFmtId="0" fontId="67" fillId="0" borderId="0"/>
    <xf numFmtId="0" fontId="67" fillId="0" borderId="0"/>
    <xf numFmtId="0" fontId="19" fillId="0" borderId="0"/>
    <xf numFmtId="0" fontId="67" fillId="0" borderId="0"/>
    <xf numFmtId="0" fontId="1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86" fillId="0" borderId="0"/>
    <xf numFmtId="0" fontId="67" fillId="0" borderId="0"/>
    <xf numFmtId="0" fontId="1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86" fillId="0" borderId="0"/>
    <xf numFmtId="0" fontId="19" fillId="0" borderId="0"/>
    <xf numFmtId="0" fontId="1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0" borderId="0"/>
    <xf numFmtId="0" fontId="67" fillId="0" borderId="0"/>
    <xf numFmtId="0" fontId="67" fillId="0" borderId="0"/>
    <xf numFmtId="0" fontId="67" fillId="0" borderId="0"/>
    <xf numFmtId="0" fontId="67" fillId="0" borderId="0"/>
    <xf numFmtId="0" fontId="67" fillId="0" borderId="0"/>
    <xf numFmtId="0" fontId="86" fillId="0" borderId="0"/>
    <xf numFmtId="0" fontId="67" fillId="0" borderId="0"/>
    <xf numFmtId="0" fontId="67" fillId="0" borderId="0"/>
    <xf numFmtId="0" fontId="67" fillId="0" borderId="0"/>
    <xf numFmtId="0" fontId="14"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0" borderId="0"/>
    <xf numFmtId="0" fontId="11" fillId="0" borderId="0"/>
    <xf numFmtId="0" fontId="67" fillId="0" borderId="0"/>
    <xf numFmtId="0" fontId="67" fillId="0" borderId="0"/>
    <xf numFmtId="0" fontId="67" fillId="0" borderId="0"/>
    <xf numFmtId="0" fontId="12" fillId="0" borderId="0"/>
    <xf numFmtId="0" fontId="12" fillId="0" borderId="0"/>
    <xf numFmtId="0" fontId="43"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2" fillId="0" borderId="0"/>
    <xf numFmtId="0" fontId="19" fillId="0" borderId="0"/>
    <xf numFmtId="0" fontId="1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2" fillId="0" borderId="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5" borderId="0" applyNumberFormat="0" applyBorder="0" applyAlignment="0" applyProtection="0"/>
    <xf numFmtId="0" fontId="10" fillId="37" borderId="0" applyNumberFormat="0" applyBorder="0" applyAlignment="0" applyProtection="0"/>
    <xf numFmtId="0" fontId="10" fillId="9" borderId="0" applyNumberFormat="0" applyBorder="0" applyAlignment="0" applyProtection="0"/>
    <xf numFmtId="0" fontId="10" fillId="38" borderId="0" applyNumberFormat="0" applyBorder="0" applyAlignment="0" applyProtection="0"/>
    <xf numFmtId="0" fontId="10" fillId="9"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9"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42" fillId="0" borderId="0"/>
    <xf numFmtId="0" fontId="10" fillId="0" borderId="0"/>
    <xf numFmtId="0" fontId="10" fillId="0" borderId="0"/>
    <xf numFmtId="0" fontId="10" fillId="0" borderId="0"/>
    <xf numFmtId="0" fontId="10" fillId="0" borderId="0"/>
    <xf numFmtId="0" fontId="19"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90" fillId="0" borderId="0" applyFont="0" applyFill="0" applyBorder="0" applyAlignment="0" applyProtection="0"/>
    <xf numFmtId="0" fontId="9" fillId="0" borderId="0"/>
    <xf numFmtId="43" fontId="9" fillId="0" borderId="0" applyFont="0" applyFill="0" applyBorder="0" applyAlignment="0" applyProtection="0"/>
    <xf numFmtId="0" fontId="14" fillId="0" borderId="0">
      <alignment vertical="top"/>
    </xf>
    <xf numFmtId="0" fontId="14" fillId="0" borderId="0">
      <alignment vertical="top"/>
    </xf>
    <xf numFmtId="0" fontId="92" fillId="0" borderId="0">
      <alignment vertical="top"/>
    </xf>
    <xf numFmtId="0" fontId="9" fillId="0" borderId="0"/>
    <xf numFmtId="0" fontId="14" fillId="0" borderId="0">
      <alignment vertical="top"/>
    </xf>
    <xf numFmtId="0" fontId="9" fillId="0" borderId="0"/>
    <xf numFmtId="0" fontId="9" fillId="0" borderId="0"/>
    <xf numFmtId="0" fontId="14" fillId="0" borderId="0">
      <alignment vertical="top"/>
    </xf>
    <xf numFmtId="0" fontId="14" fillId="0" borderId="0">
      <alignment vertical="top"/>
    </xf>
    <xf numFmtId="0" fontId="14" fillId="0" borderId="0">
      <alignment vertical="top"/>
    </xf>
    <xf numFmtId="0" fontId="9" fillId="0" borderId="0"/>
    <xf numFmtId="0" fontId="14" fillId="0" borderId="0">
      <alignment vertical="top"/>
    </xf>
    <xf numFmtId="0" fontId="9" fillId="0" borderId="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5" borderId="0" applyNumberFormat="0" applyBorder="0" applyAlignment="0" applyProtection="0"/>
    <xf numFmtId="0" fontId="8" fillId="37" borderId="0" applyNumberFormat="0" applyBorder="0" applyAlignment="0" applyProtection="0"/>
    <xf numFmtId="0" fontId="8" fillId="9" borderId="0" applyNumberFormat="0" applyBorder="0" applyAlignment="0" applyProtection="0"/>
    <xf numFmtId="0" fontId="8" fillId="38" borderId="0" applyNumberFormat="0" applyBorder="0" applyAlignment="0" applyProtection="0"/>
    <xf numFmtId="0" fontId="8" fillId="9"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9"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9"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41" fillId="26" borderId="41" applyNumberFormat="0" applyAlignment="0" applyProtection="0"/>
    <xf numFmtId="0" fontId="41" fillId="26" borderId="41" applyNumberFormat="0" applyAlignment="0" applyProtection="0"/>
    <xf numFmtId="0" fontId="41" fillId="26" borderId="41" applyNumberFormat="0" applyAlignment="0" applyProtection="0"/>
    <xf numFmtId="0" fontId="41" fillId="26" borderId="41" applyNumberFormat="0" applyAlignment="0" applyProtection="0"/>
    <xf numFmtId="0" fontId="41" fillId="26" borderId="41" applyNumberFormat="0" applyAlignment="0" applyProtection="0"/>
    <xf numFmtId="0" fontId="41" fillId="26" borderId="41" applyNumberFormat="0" applyAlignment="0" applyProtection="0"/>
    <xf numFmtId="0" fontId="41" fillId="26" borderId="41" applyNumberFormat="0" applyAlignment="0" applyProtection="0"/>
    <xf numFmtId="0" fontId="35"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35" fillId="26" borderId="41" applyNumberFormat="0" applyAlignment="0" applyProtection="0"/>
    <xf numFmtId="0" fontId="29" fillId="26"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35" fillId="4"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29" fillId="26" borderId="41" applyNumberFormat="0" applyAlignment="0" applyProtection="0"/>
    <xf numFmtId="0" fontId="12" fillId="0" borderId="42"/>
    <xf numFmtId="0" fontId="12" fillId="0" borderId="42"/>
    <xf numFmtId="0" fontId="12" fillId="0" borderId="42"/>
    <xf numFmtId="0" fontId="12" fillId="0" borderId="42"/>
    <xf numFmtId="0" fontId="12" fillId="0" borderId="42"/>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52"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13" borderId="41" applyNumberFormat="0" applyAlignment="0" applyProtection="0"/>
    <xf numFmtId="0" fontId="27" fillId="5" borderId="41" applyNumberFormat="0" applyAlignment="0" applyProtection="0"/>
    <xf numFmtId="0" fontId="27" fillId="5" borderId="41" applyNumberFormat="0" applyAlignment="0" applyProtection="0"/>
    <xf numFmtId="0" fontId="27" fillId="5" borderId="41" applyNumberFormat="0" applyAlignment="0" applyProtection="0"/>
    <xf numFmtId="0" fontId="27" fillId="5" borderId="41" applyNumberFormat="0" applyAlignment="0" applyProtection="0"/>
    <xf numFmtId="0" fontId="27" fillId="5" borderId="41" applyNumberFormat="0" applyAlignment="0" applyProtection="0"/>
    <xf numFmtId="0" fontId="27" fillId="5" borderId="41" applyNumberFormat="0" applyAlignment="0" applyProtection="0"/>
    <xf numFmtId="0" fontId="27" fillId="5" borderId="41" applyNumberFormat="0" applyAlignment="0" applyProtection="0"/>
    <xf numFmtId="0" fontId="27" fillId="5" borderId="41" applyNumberFormat="0" applyAlignment="0" applyProtection="0"/>
    <xf numFmtId="0" fontId="27" fillId="5" borderId="41" applyNumberFormat="0" applyAlignment="0" applyProtection="0"/>
    <xf numFmtId="0" fontId="27" fillId="5" borderId="41" applyNumberFormat="0" applyAlignment="0" applyProtection="0"/>
    <xf numFmtId="0" fontId="65" fillId="35" borderId="42"/>
    <xf numFmtId="0" fontId="65" fillId="35" borderId="42"/>
    <xf numFmtId="0" fontId="65" fillId="35" borderId="42"/>
    <xf numFmtId="0" fontId="65" fillId="35" borderId="42"/>
    <xf numFmtId="0" fontId="65" fillId="35" borderId="42"/>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5" borderId="0" applyNumberFormat="0" applyBorder="0" applyAlignment="0" applyProtection="0"/>
    <xf numFmtId="0" fontId="8" fillId="37" borderId="0" applyNumberFormat="0" applyBorder="0" applyAlignment="0" applyProtection="0"/>
    <xf numFmtId="0" fontId="8" fillId="9" borderId="0" applyNumberFormat="0" applyBorder="0" applyAlignment="0" applyProtection="0"/>
    <xf numFmtId="0" fontId="8" fillId="38" borderId="0" applyNumberFormat="0" applyBorder="0" applyAlignment="0" applyProtection="0"/>
    <xf numFmtId="0" fontId="8" fillId="9"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9"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5" borderId="43" applyNumberFormat="0" applyAlignment="0" applyProtection="0"/>
    <xf numFmtId="0" fontId="65" fillId="35" borderId="44"/>
    <xf numFmtId="0" fontId="65" fillId="35" borderId="44"/>
    <xf numFmtId="0" fontId="65" fillId="35" borderId="44"/>
    <xf numFmtId="0" fontId="65" fillId="35" borderId="44"/>
    <xf numFmtId="0" fontId="65" fillId="35" borderId="44"/>
    <xf numFmtId="0" fontId="27" fillId="5"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5" borderId="43" applyNumberFormat="0" applyAlignment="0" applyProtection="0"/>
    <xf numFmtId="0" fontId="27" fillId="5" borderId="43" applyNumberFormat="0" applyAlignment="0" applyProtection="0"/>
    <xf numFmtId="0" fontId="27" fillId="5" borderId="43" applyNumberFormat="0" applyAlignment="0" applyProtection="0"/>
    <xf numFmtId="0" fontId="27" fillId="5" borderId="43" applyNumberFormat="0" applyAlignment="0" applyProtection="0"/>
    <xf numFmtId="0" fontId="27" fillId="5" borderId="43" applyNumberFormat="0" applyAlignment="0" applyProtection="0"/>
    <xf numFmtId="0" fontId="27" fillId="5" borderId="43" applyNumberFormat="0" applyAlignment="0" applyProtection="0"/>
    <xf numFmtId="0" fontId="27" fillId="5" borderId="43" applyNumberFormat="0" applyAlignment="0" applyProtection="0"/>
    <xf numFmtId="0" fontId="27" fillId="5"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52"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52" fillId="13" borderId="43" applyNumberFormat="0" applyAlignment="0" applyProtection="0"/>
    <xf numFmtId="0" fontId="52" fillId="13" borderId="43" applyNumberFormat="0" applyAlignment="0" applyProtection="0"/>
    <xf numFmtId="0" fontId="52" fillId="13" borderId="43" applyNumberFormat="0" applyAlignment="0" applyProtection="0"/>
    <xf numFmtId="0" fontId="52" fillId="13" borderId="43" applyNumberFormat="0" applyAlignment="0" applyProtection="0"/>
    <xf numFmtId="0" fontId="52" fillId="13" borderId="43" applyNumberFormat="0" applyAlignment="0" applyProtection="0"/>
    <xf numFmtId="0" fontId="27" fillId="13" borderId="43" applyNumberFormat="0" applyAlignment="0" applyProtection="0"/>
    <xf numFmtId="0" fontId="52" fillId="13" borderId="43" applyNumberFormat="0" applyAlignment="0" applyProtection="0"/>
    <xf numFmtId="0" fontId="52"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52" fillId="13" borderId="43" applyNumberFormat="0" applyAlignment="0" applyProtection="0"/>
    <xf numFmtId="0" fontId="52" fillId="13" borderId="43" applyNumberFormat="0" applyAlignment="0" applyProtection="0"/>
    <xf numFmtId="0" fontId="52" fillId="13" borderId="43" applyNumberFormat="0" applyAlignment="0" applyProtection="0"/>
    <xf numFmtId="0" fontId="52" fillId="13" borderId="43" applyNumberFormat="0" applyAlignment="0" applyProtection="0"/>
    <xf numFmtId="0" fontId="52"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52"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27" fillId="13" borderId="43" applyNumberFormat="0" applyAlignment="0" applyProtection="0"/>
    <xf numFmtId="0" fontId="12" fillId="0" borderId="44"/>
    <xf numFmtId="0" fontId="12" fillId="0" borderId="44"/>
    <xf numFmtId="0" fontId="12" fillId="0" borderId="44"/>
    <xf numFmtId="0" fontId="12" fillId="0" borderId="44"/>
    <xf numFmtId="0" fontId="12" fillId="0" borderId="44"/>
    <xf numFmtId="0" fontId="35" fillId="4" borderId="43" applyNumberFormat="0" applyAlignment="0" applyProtection="0"/>
    <xf numFmtId="0" fontId="35" fillId="4" borderId="43" applyNumberFormat="0" applyAlignment="0" applyProtection="0"/>
    <xf numFmtId="0" fontId="29" fillId="26" borderId="43" applyNumberFormat="0" applyAlignment="0" applyProtection="0"/>
    <xf numFmtId="0" fontId="29" fillId="26" borderId="43" applyNumberFormat="0" applyAlignment="0" applyProtection="0"/>
    <xf numFmtId="0" fontId="29" fillId="26" borderId="43" applyNumberFormat="0" applyAlignment="0" applyProtection="0"/>
    <xf numFmtId="0" fontId="29" fillId="26" borderId="43" applyNumberFormat="0" applyAlignment="0" applyProtection="0"/>
    <xf numFmtId="0" fontId="29" fillId="26" borderId="43" applyNumberFormat="0" applyAlignment="0" applyProtection="0"/>
    <xf numFmtId="0" fontId="29" fillId="26" borderId="43" applyNumberFormat="0" applyAlignment="0" applyProtection="0"/>
    <xf numFmtId="0" fontId="29" fillId="26" borderId="43" applyNumberFormat="0" applyAlignment="0" applyProtection="0"/>
    <xf numFmtId="0" fontId="35" fillId="4" borderId="43" applyNumberFormat="0" applyAlignment="0" applyProtection="0"/>
    <xf numFmtId="0" fontId="29" fillId="26" borderId="43" applyNumberFormat="0" applyAlignment="0" applyProtection="0"/>
    <xf numFmtId="0" fontId="35" fillId="4" borderId="43" applyNumberFormat="0" applyAlignment="0" applyProtection="0"/>
    <xf numFmtId="0" fontId="35" fillId="4" borderId="43" applyNumberFormat="0" applyAlignment="0" applyProtection="0"/>
    <xf numFmtId="0" fontId="35" fillId="4" borderId="43" applyNumberFormat="0" applyAlignment="0" applyProtection="0"/>
    <xf numFmtId="0" fontId="35" fillId="4" borderId="43" applyNumberFormat="0" applyAlignment="0" applyProtection="0"/>
    <xf numFmtId="0" fontId="35" fillId="4" borderId="43" applyNumberFormat="0" applyAlignment="0" applyProtection="0"/>
    <xf numFmtId="0" fontId="35" fillId="4" borderId="43" applyNumberFormat="0" applyAlignment="0" applyProtection="0"/>
    <xf numFmtId="0" fontId="35" fillId="4" borderId="43" applyNumberFormat="0" applyAlignment="0" applyProtection="0"/>
    <xf numFmtId="0" fontId="35" fillId="4" borderId="43" applyNumberFormat="0" applyAlignment="0" applyProtection="0"/>
    <xf numFmtId="0" fontId="29" fillId="26" borderId="43" applyNumberFormat="0" applyAlignment="0" applyProtection="0"/>
    <xf numFmtId="0" fontId="29" fillId="26" borderId="43" applyNumberFormat="0" applyAlignment="0" applyProtection="0"/>
    <xf numFmtId="0" fontId="29" fillId="26" borderId="43" applyNumberFormat="0" applyAlignment="0" applyProtection="0"/>
    <xf numFmtId="0" fontId="35" fillId="4" borderId="43" applyNumberFormat="0" applyAlignment="0" applyProtection="0"/>
    <xf numFmtId="0" fontId="29" fillId="26" borderId="43" applyNumberFormat="0" applyAlignment="0" applyProtection="0"/>
    <xf numFmtId="0" fontId="29" fillId="26" borderId="43" applyNumberFormat="0" applyAlignment="0" applyProtection="0"/>
    <xf numFmtId="0" fontId="35" fillId="4" borderId="43" applyNumberFormat="0" applyAlignment="0" applyProtection="0"/>
    <xf numFmtId="0" fontId="29" fillId="26" borderId="43" applyNumberFormat="0" applyAlignment="0" applyProtection="0"/>
    <xf numFmtId="0" fontId="35" fillId="4" borderId="43" applyNumberFormat="0" applyAlignment="0" applyProtection="0"/>
    <xf numFmtId="0" fontId="35" fillId="4" borderId="43" applyNumberFormat="0" applyAlignment="0" applyProtection="0"/>
    <xf numFmtId="0" fontId="35" fillId="4" borderId="43" applyNumberFormat="0" applyAlignment="0" applyProtection="0"/>
    <xf numFmtId="0" fontId="35" fillId="4" borderId="43" applyNumberFormat="0" applyAlignment="0" applyProtection="0"/>
    <xf numFmtId="0" fontId="35" fillId="4" borderId="43" applyNumberFormat="0" applyAlignment="0" applyProtection="0"/>
    <xf numFmtId="0" fontId="35" fillId="4" borderId="43" applyNumberFormat="0" applyAlignment="0" applyProtection="0"/>
    <xf numFmtId="0" fontId="41" fillId="26" borderId="43" applyNumberFormat="0" applyAlignment="0" applyProtection="0"/>
    <xf numFmtId="0" fontId="29" fillId="26" borderId="43" applyNumberFormat="0" applyAlignment="0" applyProtection="0"/>
    <xf numFmtId="0" fontId="35" fillId="26" borderId="43" applyNumberFormat="0" applyAlignment="0" applyProtection="0"/>
    <xf numFmtId="0" fontId="35" fillId="4" borderId="43" applyNumberFormat="0" applyAlignment="0" applyProtection="0"/>
    <xf numFmtId="0" fontId="35" fillId="4" borderId="43" applyNumberFormat="0" applyAlignment="0" applyProtection="0"/>
    <xf numFmtId="0" fontId="35" fillId="26" borderId="43" applyNumberFormat="0" applyAlignment="0" applyProtection="0"/>
    <xf numFmtId="0" fontId="29"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29" fillId="26" borderId="43" applyNumberFormat="0" applyAlignment="0" applyProtection="0"/>
    <xf numFmtId="0" fontId="35" fillId="26" borderId="43" applyNumberFormat="0" applyAlignment="0" applyProtection="0"/>
    <xf numFmtId="0" fontId="29" fillId="26" borderId="43" applyNumberFormat="0" applyAlignment="0" applyProtection="0"/>
    <xf numFmtId="0" fontId="41" fillId="26" borderId="43" applyNumberFormat="0" applyAlignment="0" applyProtection="0"/>
    <xf numFmtId="0" fontId="29" fillId="26" borderId="43" applyNumberFormat="0" applyAlignment="0" applyProtection="0"/>
    <xf numFmtId="0" fontId="29" fillId="26" borderId="43" applyNumberFormat="0" applyAlignment="0" applyProtection="0"/>
    <xf numFmtId="0" fontId="29" fillId="26" borderId="43" applyNumberFormat="0" applyAlignment="0" applyProtection="0"/>
    <xf numFmtId="0" fontId="29" fillId="26" borderId="43" applyNumberFormat="0" applyAlignment="0" applyProtection="0"/>
    <xf numFmtId="0" fontId="35" fillId="26" borderId="43" applyNumberFormat="0" applyAlignment="0" applyProtection="0"/>
    <xf numFmtId="0" fontId="41" fillId="26" borderId="43" applyNumberFormat="0" applyAlignment="0" applyProtection="0"/>
    <xf numFmtId="0" fontId="41" fillId="26" borderId="43" applyNumberFormat="0" applyAlignment="0" applyProtection="0"/>
    <xf numFmtId="0" fontId="41" fillId="26" borderId="43" applyNumberFormat="0" applyAlignment="0" applyProtection="0"/>
    <xf numFmtId="0" fontId="41" fillId="26" borderId="43" applyNumberFormat="0" applyAlignment="0" applyProtection="0"/>
    <xf numFmtId="0" fontId="41" fillId="26" borderId="43" applyNumberFormat="0" applyAlignment="0" applyProtection="0"/>
    <xf numFmtId="0" fontId="29"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9" fontId="11" fillId="0" borderId="0" applyFont="0" applyFill="0" applyBorder="0" applyAlignment="0" applyProtection="0"/>
    <xf numFmtId="0" fontId="8" fillId="0" borderId="0"/>
    <xf numFmtId="43" fontId="8" fillId="0" borderId="0" applyFont="0" applyFill="0" applyBorder="0" applyAlignment="0" applyProtection="0"/>
    <xf numFmtId="0" fontId="14" fillId="0" borderId="0">
      <alignment vertical="top"/>
    </xf>
    <xf numFmtId="0" fontId="8" fillId="0" borderId="0"/>
    <xf numFmtId="0" fontId="8" fillId="0" borderId="0"/>
    <xf numFmtId="0" fontId="8" fillId="0" borderId="0"/>
    <xf numFmtId="0" fontId="8" fillId="0" borderId="0"/>
    <xf numFmtId="0" fontId="8" fillId="0" borderId="0"/>
    <xf numFmtId="0" fontId="65" fillId="35" borderId="46"/>
    <xf numFmtId="0" fontId="65" fillId="35" borderId="46"/>
    <xf numFmtId="0" fontId="65" fillId="35" borderId="46"/>
    <xf numFmtId="0" fontId="27" fillId="5" borderId="45" applyNumberFormat="0" applyAlignment="0" applyProtection="0"/>
    <xf numFmtId="0" fontId="27" fillId="5" borderId="45" applyNumberFormat="0" applyAlignment="0" applyProtection="0"/>
    <xf numFmtId="0" fontId="27" fillId="5" borderId="45" applyNumberFormat="0" applyAlignment="0" applyProtection="0"/>
    <xf numFmtId="0" fontId="27" fillId="5" borderId="45" applyNumberFormat="0" applyAlignment="0" applyProtection="0"/>
    <xf numFmtId="0" fontId="27" fillId="5" borderId="45" applyNumberFormat="0" applyAlignment="0" applyProtection="0"/>
    <xf numFmtId="0" fontId="27"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52" fillId="13" borderId="45" applyNumberFormat="0" applyAlignment="0" applyProtection="0"/>
    <xf numFmtId="0" fontId="52"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52" fillId="13" borderId="45" applyNumberFormat="0" applyAlignment="0" applyProtection="0"/>
    <xf numFmtId="0" fontId="52" fillId="13" borderId="45" applyNumberFormat="0" applyAlignment="0" applyProtection="0"/>
    <xf numFmtId="0" fontId="52" fillId="13" borderId="45" applyNumberFormat="0" applyAlignment="0" applyProtection="0"/>
    <xf numFmtId="0" fontId="52" fillId="13" borderId="45" applyNumberFormat="0" applyAlignment="0" applyProtection="0"/>
    <xf numFmtId="0" fontId="52"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12" fillId="0" borderId="46"/>
    <xf numFmtId="0" fontId="12" fillId="0" borderId="46"/>
    <xf numFmtId="0" fontId="12" fillId="0" borderId="46"/>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29"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35" fillId="26" borderId="45" applyNumberFormat="0" applyAlignment="0" applyProtection="0"/>
    <xf numFmtId="0" fontId="41" fillId="26" borderId="45" applyNumberFormat="0" applyAlignment="0" applyProtection="0"/>
    <xf numFmtId="0" fontId="41" fillId="26" borderId="45" applyNumberFormat="0" applyAlignment="0" applyProtection="0"/>
    <xf numFmtId="0" fontId="41" fillId="26" borderId="45" applyNumberFormat="0" applyAlignment="0" applyProtection="0"/>
    <xf numFmtId="0" fontId="41"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29" fillId="26" borderId="45" applyNumberFormat="0" applyAlignment="0" applyProtection="0"/>
    <xf numFmtId="0" fontId="52" fillId="13" borderId="45" applyNumberFormat="0" applyAlignment="0" applyProtection="0"/>
    <xf numFmtId="0" fontId="27" fillId="13" borderId="45" applyNumberFormat="0" applyAlignment="0" applyProtection="0"/>
    <xf numFmtId="0" fontId="27" fillId="5" borderId="45" applyNumberFormat="0" applyAlignment="0" applyProtection="0"/>
    <xf numFmtId="0" fontId="65" fillId="35" borderId="46"/>
    <xf numFmtId="0" fontId="65" fillId="35" borderId="46"/>
    <xf numFmtId="0" fontId="27" fillId="5" borderId="45" applyNumberFormat="0" applyAlignment="0" applyProtection="0"/>
    <xf numFmtId="0" fontId="27" fillId="5" borderId="45" applyNumberFormat="0" applyAlignment="0" applyProtection="0"/>
    <xf numFmtId="0" fontId="27" fillId="5" borderId="45" applyNumberFormat="0" applyAlignment="0" applyProtection="0"/>
    <xf numFmtId="0" fontId="27" fillId="5" borderId="45" applyNumberFormat="0" applyAlignment="0" applyProtection="0"/>
    <xf numFmtId="0" fontId="27" fillId="13" borderId="45" applyNumberFormat="0" applyAlignment="0" applyProtection="0"/>
    <xf numFmtId="0" fontId="52"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52" fillId="13" borderId="45" applyNumberFormat="0" applyAlignment="0" applyProtection="0"/>
    <xf numFmtId="0" fontId="52" fillId="13" borderId="45" applyNumberFormat="0" applyAlignment="0" applyProtection="0"/>
    <xf numFmtId="0" fontId="52"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52" fillId="13" borderId="45" applyNumberFormat="0" applyAlignment="0" applyProtection="0"/>
    <xf numFmtId="0" fontId="27" fillId="13" borderId="45" applyNumberFormat="0" applyAlignment="0" applyProtection="0"/>
    <xf numFmtId="0" fontId="52"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27" fillId="13" borderId="45" applyNumberFormat="0" applyAlignment="0" applyProtection="0"/>
    <xf numFmtId="0" fontId="12" fillId="0" borderId="46"/>
    <xf numFmtId="0" fontId="12" fillId="0" borderId="46"/>
    <xf numFmtId="0" fontId="29" fillId="26" borderId="45" applyNumberFormat="0" applyAlignment="0" applyProtection="0"/>
    <xf numFmtId="0" fontId="29" fillId="26"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29" fillId="26" borderId="45" applyNumberFormat="0" applyAlignment="0" applyProtection="0"/>
    <xf numFmtId="0" fontId="29" fillId="26"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35" fillId="4" borderId="45" applyNumberFormat="0" applyAlignment="0" applyProtection="0"/>
    <xf numFmtId="0" fontId="35"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41" fillId="26" borderId="45" applyNumberFormat="0" applyAlignment="0" applyProtection="0"/>
    <xf numFmtId="0" fontId="41" fillId="26" borderId="45" applyNumberFormat="0" applyAlignment="0" applyProtection="0"/>
    <xf numFmtId="0" fontId="41"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35" fillId="26" borderId="45" applyNumberFormat="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alignment vertical="top"/>
    </xf>
    <xf numFmtId="0" fontId="14" fillId="0" borderId="0">
      <alignment vertical="top"/>
    </xf>
    <xf numFmtId="0" fontId="6" fillId="0" borderId="0"/>
    <xf numFmtId="0" fontId="6" fillId="0" borderId="0"/>
    <xf numFmtId="0" fontId="14" fillId="0" borderId="0">
      <alignment vertical="top"/>
    </xf>
    <xf numFmtId="0" fontId="14" fillId="0" borderId="0">
      <alignment vertical="top"/>
    </xf>
    <xf numFmtId="0" fontId="6" fillId="0" borderId="0"/>
    <xf numFmtId="0" fontId="14" fillId="0" borderId="0">
      <alignment vertical="top"/>
    </xf>
    <xf numFmtId="0" fontId="6" fillId="0" borderId="0"/>
    <xf numFmtId="0" fontId="14" fillId="0" borderId="0">
      <alignment vertical="top"/>
    </xf>
    <xf numFmtId="0" fontId="6" fillId="0" borderId="0"/>
    <xf numFmtId="0" fontId="14" fillId="0" borderId="0">
      <alignment vertical="top"/>
    </xf>
    <xf numFmtId="0" fontId="6" fillId="0" borderId="0"/>
    <xf numFmtId="0" fontId="14" fillId="0" borderId="0">
      <alignment vertical="top"/>
    </xf>
    <xf numFmtId="0" fontId="6" fillId="0" borderId="0"/>
    <xf numFmtId="0" fontId="14" fillId="0" borderId="0">
      <alignment vertical="top"/>
    </xf>
    <xf numFmtId="0" fontId="6" fillId="0" borderId="0"/>
    <xf numFmtId="0" fontId="12" fillId="0" borderId="0"/>
    <xf numFmtId="0" fontId="5" fillId="0" borderId="0"/>
    <xf numFmtId="43" fontId="5" fillId="0" borderId="0" applyFont="0" applyFill="0" applyBorder="0" applyAlignment="0" applyProtection="0"/>
    <xf numFmtId="0" fontId="11" fillId="0" borderId="0"/>
    <xf numFmtId="0" fontId="4" fillId="0" borderId="0"/>
    <xf numFmtId="43" fontId="4" fillId="0" borderId="0" applyFont="0" applyFill="0" applyBorder="0" applyAlignment="0" applyProtection="0"/>
    <xf numFmtId="0" fontId="2" fillId="0" borderId="0"/>
    <xf numFmtId="43" fontId="2" fillId="0" borderId="0" applyFont="0" applyFill="0" applyBorder="0" applyAlignment="0" applyProtection="0"/>
  </cellStyleXfs>
  <cellXfs count="479">
    <xf numFmtId="0" fontId="0" fillId="0" borderId="0" xfId="0"/>
    <xf numFmtId="43" fontId="0" fillId="0" borderId="0" xfId="371" applyFont="1"/>
    <xf numFmtId="0" fontId="66" fillId="0" borderId="0" xfId="0" applyFont="1"/>
    <xf numFmtId="43" fontId="0" fillId="0" borderId="27" xfId="371" applyFont="1" applyBorder="1"/>
    <xf numFmtId="167" fontId="0" fillId="0" borderId="0" xfId="0" applyNumberFormat="1"/>
    <xf numFmtId="0" fontId="0" fillId="0" borderId="0" xfId="0" applyAlignment="1">
      <alignment horizontal="right"/>
    </xf>
    <xf numFmtId="43" fontId="0" fillId="0" borderId="28" xfId="371" applyFont="1" applyBorder="1"/>
    <xf numFmtId="9" fontId="0" fillId="0" borderId="0" xfId="15197" applyFont="1"/>
    <xf numFmtId="0" fontId="66" fillId="0" borderId="5" xfId="0" applyFont="1" applyBorder="1" applyAlignment="1">
      <alignment horizontal="center"/>
    </xf>
    <xf numFmtId="14" fontId="66" fillId="0" borderId="5" xfId="0" applyNumberFormat="1" applyFont="1" applyBorder="1" applyAlignment="1">
      <alignment horizontal="center"/>
    </xf>
    <xf numFmtId="0" fontId="0" fillId="0" borderId="29" xfId="0" applyBorder="1"/>
    <xf numFmtId="0" fontId="66" fillId="0" borderId="30" xfId="0" applyFont="1" applyBorder="1" applyAlignment="1">
      <alignment horizontal="center"/>
    </xf>
    <xf numFmtId="0" fontId="66" fillId="0" borderId="31" xfId="0" applyFont="1" applyBorder="1" applyAlignment="1">
      <alignment horizontal="center"/>
    </xf>
    <xf numFmtId="0" fontId="66" fillId="0" borderId="32" xfId="0" applyFont="1" applyBorder="1"/>
    <xf numFmtId="0" fontId="66" fillId="0" borderId="0" xfId="0" applyFont="1" applyBorder="1" applyAlignment="1">
      <alignment horizontal="center"/>
    </xf>
    <xf numFmtId="0" fontId="66" fillId="0" borderId="33" xfId="0" applyFont="1" applyBorder="1" applyAlignment="1">
      <alignment horizontal="center"/>
    </xf>
    <xf numFmtId="0" fontId="0" fillId="0" borderId="34" xfId="0" applyBorder="1"/>
    <xf numFmtId="14" fontId="66" fillId="0" borderId="35" xfId="0" applyNumberFormat="1" applyFont="1" applyBorder="1" applyAlignment="1">
      <alignment horizontal="center"/>
    </xf>
    <xf numFmtId="0" fontId="0" fillId="0" borderId="32" xfId="0" applyBorder="1"/>
    <xf numFmtId="0" fontId="0" fillId="0" borderId="0" xfId="0" applyBorder="1"/>
    <xf numFmtId="0" fontId="0" fillId="0" borderId="33" xfId="0" applyBorder="1"/>
    <xf numFmtId="43" fontId="0" fillId="0" borderId="0" xfId="371" applyFont="1" applyBorder="1"/>
    <xf numFmtId="0" fontId="0" fillId="0" borderId="38" xfId="0" applyBorder="1"/>
    <xf numFmtId="43" fontId="0" fillId="0" borderId="39" xfId="371" applyFont="1" applyBorder="1"/>
    <xf numFmtId="43" fontId="0" fillId="0" borderId="40" xfId="371" applyFont="1" applyBorder="1"/>
    <xf numFmtId="0" fontId="0" fillId="0" borderId="0" xfId="0" applyFill="1"/>
    <xf numFmtId="167" fontId="0" fillId="0" borderId="0" xfId="371" applyNumberFormat="1" applyFont="1" applyFill="1"/>
    <xf numFmtId="43" fontId="0" fillId="0" borderId="0" xfId="371" applyFont="1" applyFill="1"/>
    <xf numFmtId="0" fontId="0" fillId="0" borderId="0" xfId="0" applyFill="1" applyAlignment="1">
      <alignment horizontal="right"/>
    </xf>
    <xf numFmtId="0" fontId="66" fillId="0" borderId="0" xfId="0" applyFont="1" applyFill="1" applyAlignment="1">
      <alignment horizontal="center"/>
    </xf>
    <xf numFmtId="9" fontId="0" fillId="0" borderId="0" xfId="15197" applyFont="1" applyFill="1"/>
    <xf numFmtId="168" fontId="0" fillId="0" borderId="0" xfId="371" applyNumberFormat="1" applyFont="1"/>
    <xf numFmtId="168" fontId="0" fillId="0" borderId="27" xfId="371" applyNumberFormat="1" applyFont="1" applyBorder="1"/>
    <xf numFmtId="0" fontId="0" fillId="0" borderId="0" xfId="0" applyFont="1" applyFill="1"/>
    <xf numFmtId="167" fontId="0" fillId="0" borderId="0" xfId="0" applyNumberFormat="1" applyFill="1"/>
    <xf numFmtId="168" fontId="0" fillId="0" borderId="0" xfId="371" applyNumberFormat="1" applyFont="1" applyFill="1"/>
    <xf numFmtId="0" fontId="91" fillId="0" borderId="0" xfId="15206" applyFont="1" applyFill="1"/>
    <xf numFmtId="0" fontId="91" fillId="0" borderId="0" xfId="15210" applyFont="1" applyFill="1" applyAlignment="1">
      <alignment horizontal="center" vertical="center"/>
    </xf>
    <xf numFmtId="9" fontId="11" fillId="0" borderId="0" xfId="15197" applyFont="1" applyFill="1"/>
    <xf numFmtId="167" fontId="11" fillId="0" borderId="0" xfId="0" applyNumberFormat="1" applyFont="1" applyFill="1"/>
    <xf numFmtId="43" fontId="91" fillId="0" borderId="0" xfId="15199" applyFont="1" applyFill="1"/>
    <xf numFmtId="43" fontId="11" fillId="0" borderId="0" xfId="371" applyFont="1" applyFill="1"/>
    <xf numFmtId="0" fontId="91" fillId="0" borderId="0" xfId="15198" applyFont="1" applyFill="1"/>
    <xf numFmtId="0" fontId="91" fillId="0" borderId="0" xfId="15203" applyFont="1" applyFill="1" applyAlignment="1">
      <alignment horizontal="left"/>
    </xf>
    <xf numFmtId="0" fontId="0" fillId="0" borderId="0" xfId="0"/>
    <xf numFmtId="0" fontId="11" fillId="0" borderId="32" xfId="0" applyFont="1" applyBorder="1"/>
    <xf numFmtId="168" fontId="0" fillId="0" borderId="0" xfId="371" applyNumberFormat="1" applyFont="1" applyBorder="1"/>
    <xf numFmtId="168" fontId="0" fillId="0" borderId="33" xfId="371" applyNumberFormat="1" applyFont="1" applyBorder="1"/>
    <xf numFmtId="168" fontId="0" fillId="0" borderId="28" xfId="371" applyNumberFormat="1" applyFont="1" applyBorder="1"/>
    <xf numFmtId="168" fontId="0" fillId="0" borderId="36" xfId="371" applyNumberFormat="1" applyFont="1" applyBorder="1"/>
    <xf numFmtId="168" fontId="0" fillId="0" borderId="37" xfId="371" applyNumberFormat="1" applyFont="1" applyBorder="1"/>
    <xf numFmtId="0" fontId="66" fillId="0" borderId="0" xfId="0" applyFont="1" applyFill="1"/>
    <xf numFmtId="0" fontId="0" fillId="0" borderId="0" xfId="0" applyAlignment="1">
      <alignment wrapText="1"/>
    </xf>
    <xf numFmtId="0" fontId="0" fillId="0" borderId="0" xfId="0" applyFill="1" applyAlignment="1">
      <alignment wrapText="1"/>
    </xf>
    <xf numFmtId="0" fontId="11" fillId="0" borderId="0" xfId="0" applyFont="1" applyFill="1" applyAlignment="1">
      <alignment wrapText="1"/>
    </xf>
    <xf numFmtId="168" fontId="0" fillId="0" borderId="0" xfId="0" applyNumberFormat="1"/>
    <xf numFmtId="0" fontId="11" fillId="0" borderId="0" xfId="0" applyFont="1" applyFill="1"/>
    <xf numFmtId="169" fontId="0" fillId="0" borderId="0" xfId="1882" applyNumberFormat="1" applyFont="1" applyFill="1"/>
    <xf numFmtId="14" fontId="0" fillId="0" borderId="0" xfId="0" applyNumberFormat="1" applyFill="1"/>
    <xf numFmtId="0" fontId="0" fillId="0" borderId="0" xfId="0" applyFill="1"/>
    <xf numFmtId="0" fontId="94" fillId="0" borderId="0" xfId="15198" applyFont="1" applyFill="1"/>
    <xf numFmtId="0" fontId="6" fillId="0" borderId="0" xfId="23008" applyFill="1"/>
    <xf numFmtId="167" fontId="11" fillId="0" borderId="0" xfId="371" applyNumberFormat="1" applyFont="1" applyFill="1"/>
    <xf numFmtId="168" fontId="11" fillId="0" borderId="0" xfId="371" applyNumberFormat="1" applyFont="1" applyFill="1"/>
    <xf numFmtId="0" fontId="11" fillId="0" borderId="0" xfId="0" applyFont="1" applyFill="1" applyAlignment="1">
      <alignment horizontal="right"/>
    </xf>
    <xf numFmtId="0" fontId="95" fillId="0" borderId="0" xfId="23005" applyFont="1" applyFill="1" applyAlignment="1">
      <alignment horizontal="left"/>
    </xf>
    <xf numFmtId="0" fontId="91" fillId="0" borderId="0" xfId="23010" applyFont="1" applyFill="1"/>
    <xf numFmtId="43" fontId="91" fillId="0" borderId="0" xfId="22985" applyFont="1" applyFill="1"/>
    <xf numFmtId="0" fontId="95" fillId="0" borderId="0" xfId="23014" applyFont="1" applyFill="1" applyAlignment="1">
      <alignment horizontal="left"/>
    </xf>
    <xf numFmtId="0" fontId="91" fillId="0" borderId="0" xfId="23016" applyFont="1" applyFill="1"/>
    <xf numFmtId="0" fontId="91" fillId="0" borderId="0" xfId="23004" applyFont="1" applyFill="1"/>
    <xf numFmtId="0" fontId="88" fillId="0" borderId="0" xfId="0" applyFont="1" applyFill="1"/>
    <xf numFmtId="0" fontId="0" fillId="0" borderId="0" xfId="371" applyNumberFormat="1" applyFont="1" applyFill="1"/>
    <xf numFmtId="0" fontId="89" fillId="0" borderId="0" xfId="9214" applyFont="1" applyFill="1"/>
    <xf numFmtId="14" fontId="66" fillId="0" borderId="0" xfId="0" applyNumberFormat="1" applyFont="1" applyFill="1" applyAlignment="1">
      <alignment horizontal="left"/>
    </xf>
    <xf numFmtId="0" fontId="66" fillId="0" borderId="0" xfId="0" applyFont="1" applyFill="1" applyAlignment="1">
      <alignment horizontal="right"/>
    </xf>
    <xf numFmtId="9" fontId="66" fillId="0" borderId="0" xfId="15197" applyFont="1" applyFill="1" applyAlignment="1">
      <alignment horizontal="center"/>
    </xf>
    <xf numFmtId="0" fontId="11" fillId="0" borderId="0" xfId="0" applyFont="1" applyFill="1" applyAlignment="1">
      <alignment horizontal="left"/>
    </xf>
    <xf numFmtId="43" fontId="66" fillId="0" borderId="0" xfId="371" applyFont="1" applyFill="1" applyAlignment="1">
      <alignment horizontal="center"/>
    </xf>
    <xf numFmtId="0" fontId="66" fillId="0" borderId="0" xfId="371" applyNumberFormat="1" applyFont="1" applyFill="1" applyAlignment="1">
      <alignment horizontal="center"/>
    </xf>
    <xf numFmtId="14" fontId="66" fillId="0" borderId="0" xfId="371" applyNumberFormat="1" applyFont="1" applyFill="1" applyAlignment="1">
      <alignment horizontal="center"/>
    </xf>
    <xf numFmtId="0" fontId="88" fillId="0" borderId="0" xfId="0" applyFont="1" applyFill="1" applyAlignment="1">
      <alignment horizontal="right"/>
    </xf>
    <xf numFmtId="9" fontId="88" fillId="0" borderId="0" xfId="15197" applyFont="1" applyFill="1"/>
    <xf numFmtId="167" fontId="88" fillId="0" borderId="0" xfId="371" applyNumberFormat="1" applyFont="1" applyFill="1"/>
    <xf numFmtId="168" fontId="88" fillId="0" borderId="0" xfId="371" applyNumberFormat="1" applyFont="1" applyFill="1"/>
    <xf numFmtId="168" fontId="0" fillId="0" borderId="26" xfId="371" applyNumberFormat="1" applyFont="1" applyFill="1" applyBorder="1"/>
    <xf numFmtId="0" fontId="0" fillId="0" borderId="0" xfId="371" applyNumberFormat="1" applyFont="1" applyFill="1" applyAlignment="1">
      <alignment horizontal="right"/>
    </xf>
    <xf numFmtId="43" fontId="11" fillId="0" borderId="0" xfId="371" applyFont="1" applyFill="1" applyAlignment="1">
      <alignment horizontal="right"/>
    </xf>
    <xf numFmtId="168" fontId="0" fillId="0" borderId="27" xfId="371" applyNumberFormat="1" applyFont="1" applyFill="1" applyBorder="1"/>
    <xf numFmtId="0" fontId="88" fillId="0" borderId="0" xfId="371" applyNumberFormat="1" applyFont="1" applyFill="1"/>
    <xf numFmtId="43" fontId="88" fillId="0" borderId="0" xfId="371" applyFont="1" applyFill="1"/>
    <xf numFmtId="0" fontId="93" fillId="0" borderId="0" xfId="0" applyFont="1" applyFill="1"/>
    <xf numFmtId="168" fontId="0" fillId="0" borderId="0" xfId="0" applyNumberFormat="1" applyFill="1"/>
    <xf numFmtId="168" fontId="66" fillId="0" borderId="0" xfId="0" applyNumberFormat="1" applyFont="1" applyFill="1" applyAlignment="1">
      <alignment horizontal="center"/>
    </xf>
    <xf numFmtId="14" fontId="66" fillId="0" borderId="0" xfId="0" applyNumberFormat="1" applyFont="1" applyFill="1" applyAlignment="1">
      <alignment horizontal="center"/>
    </xf>
    <xf numFmtId="0" fontId="96" fillId="0" borderId="0" xfId="0" applyFont="1" applyFill="1" applyAlignment="1">
      <alignment wrapText="1"/>
    </xf>
    <xf numFmtId="0" fontId="66" fillId="0" borderId="0" xfId="0" applyFont="1" applyFill="1" applyAlignment="1">
      <alignment horizontal="left"/>
    </xf>
    <xf numFmtId="0" fontId="66" fillId="0" borderId="0" xfId="0" applyNumberFormat="1" applyFont="1" applyFill="1" applyAlignment="1">
      <alignment horizontal="left"/>
    </xf>
    <xf numFmtId="43" fontId="0" fillId="0" borderId="0" xfId="0" applyNumberFormat="1" applyFill="1"/>
    <xf numFmtId="9" fontId="66" fillId="0" borderId="0" xfId="15197" applyFont="1" applyFill="1"/>
    <xf numFmtId="43" fontId="0" fillId="0" borderId="28" xfId="371" applyFont="1" applyFill="1" applyBorder="1"/>
    <xf numFmtId="0" fontId="66" fillId="0" borderId="5" xfId="0" applyFont="1" applyFill="1" applyBorder="1" applyAlignment="1">
      <alignment horizontal="center" wrapText="1"/>
    </xf>
    <xf numFmtId="169" fontId="66" fillId="0" borderId="5" xfId="1882" applyNumberFormat="1" applyFont="1" applyFill="1" applyBorder="1" applyAlignment="1">
      <alignment horizontal="center"/>
    </xf>
    <xf numFmtId="0" fontId="66" fillId="0" borderId="5" xfId="0" applyFont="1" applyFill="1" applyBorder="1" applyAlignment="1">
      <alignment horizontal="center"/>
    </xf>
    <xf numFmtId="0" fontId="0" fillId="0" borderId="0" xfId="0" applyFill="1" applyAlignment="1">
      <alignment horizontal="left"/>
    </xf>
    <xf numFmtId="0" fontId="0" fillId="67" borderId="0" xfId="0" applyFill="1"/>
    <xf numFmtId="0" fontId="0" fillId="67" borderId="0" xfId="0" applyFill="1" applyAlignment="1">
      <alignment horizontal="right"/>
    </xf>
    <xf numFmtId="9" fontId="0" fillId="67" borderId="0" xfId="15197" applyFont="1" applyFill="1"/>
    <xf numFmtId="167" fontId="0" fillId="67" borderId="0" xfId="371" applyNumberFormat="1" applyFont="1" applyFill="1"/>
    <xf numFmtId="168" fontId="0" fillId="67" borderId="0" xfId="371" applyNumberFormat="1" applyFont="1" applyFill="1"/>
    <xf numFmtId="0" fontId="88" fillId="67" borderId="0" xfId="0" applyFont="1" applyFill="1"/>
    <xf numFmtId="0" fontId="88" fillId="67" borderId="0" xfId="0" applyFont="1" applyFill="1" applyAlignment="1">
      <alignment horizontal="right"/>
    </xf>
    <xf numFmtId="9" fontId="88" fillId="67" borderId="0" xfId="15197" applyFont="1" applyFill="1"/>
    <xf numFmtId="167" fontId="88" fillId="67" borderId="0" xfId="371" applyNumberFormat="1" applyFont="1" applyFill="1"/>
    <xf numFmtId="168" fontId="88" fillId="67" borderId="0" xfId="371" applyNumberFormat="1" applyFont="1" applyFill="1"/>
    <xf numFmtId="0" fontId="0" fillId="68" borderId="0" xfId="0" applyFill="1"/>
    <xf numFmtId="0" fontId="0" fillId="68" borderId="0" xfId="0" applyFill="1" applyAlignment="1">
      <alignment horizontal="right"/>
    </xf>
    <xf numFmtId="9" fontId="0" fillId="68" borderId="0" xfId="15197" applyFont="1" applyFill="1"/>
    <xf numFmtId="167" fontId="0" fillId="68" borderId="0" xfId="371" applyNumberFormat="1" applyFont="1" applyFill="1"/>
    <xf numFmtId="168" fontId="0" fillId="68" borderId="0" xfId="371" applyNumberFormat="1" applyFont="1" applyFill="1"/>
    <xf numFmtId="0" fontId="88" fillId="68" borderId="0" xfId="0" applyFont="1" applyFill="1"/>
    <xf numFmtId="0" fontId="88" fillId="68" borderId="0" xfId="0" applyFont="1" applyFill="1" applyAlignment="1">
      <alignment horizontal="right"/>
    </xf>
    <xf numFmtId="9" fontId="88" fillId="68" borderId="0" xfId="15197" applyFont="1" applyFill="1"/>
    <xf numFmtId="167" fontId="88" fillId="68" borderId="0" xfId="371" applyNumberFormat="1" applyFont="1" applyFill="1"/>
    <xf numFmtId="168" fontId="88" fillId="68" borderId="0" xfId="371" applyNumberFormat="1" applyFont="1" applyFill="1"/>
    <xf numFmtId="167" fontId="0" fillId="67" borderId="0" xfId="0" applyNumberFormat="1" applyFill="1"/>
    <xf numFmtId="43" fontId="0" fillId="67" borderId="0" xfId="371" applyFont="1" applyFill="1"/>
    <xf numFmtId="167" fontId="88" fillId="67" borderId="0" xfId="0" applyNumberFormat="1" applyFont="1" applyFill="1"/>
    <xf numFmtId="43" fontId="88" fillId="67" borderId="0" xfId="371" applyFont="1" applyFill="1"/>
    <xf numFmtId="0" fontId="0" fillId="0" borderId="0" xfId="0"/>
    <xf numFmtId="0" fontId="88" fillId="69" borderId="0" xfId="0" applyFont="1" applyFill="1"/>
    <xf numFmtId="0" fontId="88" fillId="69" borderId="0" xfId="0" applyFont="1" applyFill="1" applyAlignment="1">
      <alignment horizontal="right"/>
    </xf>
    <xf numFmtId="9" fontId="88" fillId="69" borderId="0" xfId="15197" applyFont="1" applyFill="1"/>
    <xf numFmtId="167" fontId="88" fillId="69" borderId="0" xfId="371" applyNumberFormat="1" applyFont="1" applyFill="1"/>
    <xf numFmtId="168" fontId="88" fillId="69" borderId="0" xfId="371" applyNumberFormat="1" applyFont="1" applyFill="1"/>
    <xf numFmtId="0" fontId="0" fillId="69" borderId="0" xfId="0" applyFill="1"/>
    <xf numFmtId="168" fontId="0" fillId="69" borderId="0" xfId="371" applyNumberFormat="1" applyFont="1" applyFill="1"/>
    <xf numFmtId="168" fontId="11" fillId="69" borderId="0" xfId="371" applyNumberFormat="1" applyFont="1" applyFill="1"/>
    <xf numFmtId="167" fontId="88" fillId="69" borderId="0" xfId="0" applyNumberFormat="1" applyFont="1" applyFill="1"/>
    <xf numFmtId="43" fontId="88" fillId="69" borderId="0" xfId="371" applyFont="1" applyFill="1"/>
    <xf numFmtId="0" fontId="0" fillId="0" borderId="0" xfId="0"/>
    <xf numFmtId="0" fontId="0" fillId="0" borderId="0" xfId="0"/>
    <xf numFmtId="0" fontId="99" fillId="0" borderId="0" xfId="23019" applyFont="1" applyBorder="1" applyAlignment="1">
      <alignment horizontal="center"/>
    </xf>
    <xf numFmtId="43" fontId="0" fillId="0" borderId="51" xfId="371" applyFont="1" applyBorder="1"/>
    <xf numFmtId="43" fontId="0" fillId="0" borderId="50" xfId="371" applyFont="1" applyBorder="1"/>
    <xf numFmtId="0" fontId="5" fillId="0" borderId="0" xfId="23020"/>
    <xf numFmtId="0" fontId="5" fillId="0" borderId="0" xfId="23020" applyAlignment="1">
      <alignment horizontal="left"/>
    </xf>
    <xf numFmtId="0" fontId="97" fillId="71" borderId="52" xfId="23020" applyFont="1" applyFill="1" applyBorder="1"/>
    <xf numFmtId="0" fontId="5" fillId="69" borderId="0" xfId="23020" applyFill="1" applyAlignment="1">
      <alignment horizontal="left"/>
    </xf>
    <xf numFmtId="43" fontId="5" fillId="69" borderId="0" xfId="23020" applyNumberFormat="1" applyFill="1"/>
    <xf numFmtId="0" fontId="5" fillId="69" borderId="0" xfId="23020" applyFill="1"/>
    <xf numFmtId="0" fontId="5" fillId="72" borderId="0" xfId="23020" applyFill="1" applyAlignment="1">
      <alignment horizontal="left"/>
    </xf>
    <xf numFmtId="43" fontId="5" fillId="72" borderId="0" xfId="23020" applyNumberFormat="1" applyFill="1"/>
    <xf numFmtId="43" fontId="0" fillId="72" borderId="0" xfId="23021" applyFont="1" applyFill="1"/>
    <xf numFmtId="0" fontId="5" fillId="72" borderId="0" xfId="23020" applyFill="1"/>
    <xf numFmtId="0" fontId="5" fillId="68" borderId="0" xfId="23020" applyFill="1" applyAlignment="1">
      <alignment horizontal="left"/>
    </xf>
    <xf numFmtId="43" fontId="5" fillId="68" borderId="0" xfId="23020" applyNumberFormat="1" applyFill="1"/>
    <xf numFmtId="43" fontId="0" fillId="68" borderId="0" xfId="23021" applyFont="1" applyFill="1"/>
    <xf numFmtId="0" fontId="5" fillId="68" borderId="0" xfId="23020" applyFill="1"/>
    <xf numFmtId="0" fontId="5" fillId="73" borderId="0" xfId="23020" applyFill="1" applyAlignment="1">
      <alignment horizontal="left"/>
    </xf>
    <xf numFmtId="43" fontId="5" fillId="73" borderId="0" xfId="23020" applyNumberFormat="1" applyFill="1"/>
    <xf numFmtId="43" fontId="0" fillId="73" borderId="5" xfId="23021" applyFont="1" applyFill="1" applyBorder="1"/>
    <xf numFmtId="43" fontId="5" fillId="73" borderId="5" xfId="23020" applyNumberFormat="1" applyFill="1" applyBorder="1"/>
    <xf numFmtId="43" fontId="5" fillId="0" borderId="0" xfId="23020" applyNumberFormat="1"/>
    <xf numFmtId="43" fontId="97" fillId="71" borderId="53" xfId="23020" applyNumberFormat="1" applyFont="1" applyFill="1" applyBorder="1"/>
    <xf numFmtId="1" fontId="5" fillId="0" borderId="0" xfId="23020" applyNumberFormat="1"/>
    <xf numFmtId="0" fontId="91" fillId="0" borderId="0" xfId="23020" applyFont="1" applyAlignment="1">
      <alignment horizontal="center"/>
    </xf>
    <xf numFmtId="0" fontId="95" fillId="0" borderId="0" xfId="23020" applyFont="1" applyAlignment="1">
      <alignment horizontal="left"/>
    </xf>
    <xf numFmtId="0" fontId="91" fillId="0" borderId="0" xfId="23020" applyFont="1"/>
    <xf numFmtId="171" fontId="91" fillId="0" borderId="0" xfId="23020" applyNumberFormat="1" applyFont="1"/>
    <xf numFmtId="43" fontId="91" fillId="0" borderId="0" xfId="23021" applyFont="1"/>
    <xf numFmtId="1" fontId="91" fillId="0" borderId="0" xfId="23021" applyNumberFormat="1" applyFont="1"/>
    <xf numFmtId="0" fontId="97" fillId="74" borderId="0" xfId="23020" applyFont="1" applyFill="1" applyAlignment="1">
      <alignment horizontal="right"/>
    </xf>
    <xf numFmtId="0" fontId="97" fillId="74" borderId="0" xfId="23020" applyFont="1" applyFill="1" applyAlignment="1">
      <alignment horizontal="left"/>
    </xf>
    <xf numFmtId="0" fontId="5" fillId="0" borderId="0" xfId="23020" applyBorder="1"/>
    <xf numFmtId="0" fontId="91" fillId="0" borderId="0" xfId="23020" applyFont="1" applyFill="1"/>
    <xf numFmtId="1" fontId="91" fillId="0" borderId="0" xfId="23020" applyNumberFormat="1" applyFont="1" applyFill="1"/>
    <xf numFmtId="0" fontId="68" fillId="75" borderId="0" xfId="23020" applyFont="1" applyFill="1"/>
    <xf numFmtId="0" fontId="100" fillId="75" borderId="0" xfId="23020" applyFont="1" applyFill="1"/>
    <xf numFmtId="0" fontId="68" fillId="75" borderId="0" xfId="23020" applyFont="1" applyFill="1" applyAlignment="1">
      <alignment horizontal="center"/>
    </xf>
    <xf numFmtId="0" fontId="68" fillId="75" borderId="0" xfId="23020" applyFont="1" applyFill="1" applyAlignment="1">
      <alignment horizontal="left"/>
    </xf>
    <xf numFmtId="1" fontId="68" fillId="75" borderId="0" xfId="23020" applyNumberFormat="1" applyFont="1" applyFill="1"/>
    <xf numFmtId="0" fontId="71" fillId="75" borderId="0" xfId="23020" applyFont="1" applyFill="1"/>
    <xf numFmtId="0" fontId="68" fillId="75" borderId="0" xfId="23020" applyFont="1" applyFill="1" applyAlignment="1">
      <alignment horizontal="right"/>
    </xf>
    <xf numFmtId="167" fontId="68" fillId="75" borderId="0" xfId="23020" applyNumberFormat="1" applyFont="1" applyFill="1"/>
    <xf numFmtId="0" fontId="5" fillId="76" borderId="0" xfId="23020" applyNumberFormat="1" applyFill="1" applyAlignment="1">
      <alignment horizontal="left"/>
    </xf>
    <xf numFmtId="0" fontId="101" fillId="75" borderId="0" xfId="23020" applyFont="1" applyFill="1"/>
    <xf numFmtId="0" fontId="103" fillId="75" borderId="0" xfId="23020" applyFont="1" applyFill="1"/>
    <xf numFmtId="0" fontId="91" fillId="66" borderId="54" xfId="23020" applyFont="1" applyFill="1" applyBorder="1"/>
    <xf numFmtId="14" fontId="91" fillId="66" borderId="54" xfId="23020" applyNumberFormat="1" applyFont="1" applyFill="1" applyBorder="1"/>
    <xf numFmtId="49" fontId="91" fillId="66" borderId="54" xfId="23020" applyNumberFormat="1" applyFont="1" applyFill="1" applyBorder="1" applyAlignment="1">
      <alignment horizontal="left"/>
    </xf>
    <xf numFmtId="0" fontId="91" fillId="66" borderId="54" xfId="23020" applyFont="1" applyFill="1" applyBorder="1" applyAlignment="1">
      <alignment horizontal="left"/>
    </xf>
    <xf numFmtId="0" fontId="68" fillId="77" borderId="0" xfId="23020" applyFont="1" applyFill="1"/>
    <xf numFmtId="0" fontId="71" fillId="75" borderId="39" xfId="23020" applyFont="1" applyFill="1" applyBorder="1" applyAlignment="1">
      <alignment horizontal="center" wrapText="1"/>
    </xf>
    <xf numFmtId="1" fontId="71" fillId="75" borderId="39" xfId="23020" applyNumberFormat="1" applyFont="1" applyFill="1" applyBorder="1" applyAlignment="1">
      <alignment horizontal="center" wrapText="1"/>
    </xf>
    <xf numFmtId="0" fontId="71" fillId="78" borderId="0" xfId="23020" applyFont="1" applyFill="1" applyAlignment="1">
      <alignment horizontal="center"/>
    </xf>
    <xf numFmtId="0" fontId="71" fillId="78" borderId="0" xfId="23020" applyFont="1" applyFill="1"/>
    <xf numFmtId="0" fontId="5" fillId="79" borderId="0" xfId="23020" applyFill="1"/>
    <xf numFmtId="0" fontId="91" fillId="79" borderId="0" xfId="23020" applyFont="1" applyFill="1" applyAlignment="1">
      <alignment horizontal="center"/>
    </xf>
    <xf numFmtId="0" fontId="95" fillId="79" borderId="0" xfId="23020" applyFont="1" applyFill="1" applyAlignment="1">
      <alignment horizontal="left"/>
    </xf>
    <xf numFmtId="0" fontId="91" fillId="79" borderId="0" xfId="23020" applyFont="1" applyFill="1"/>
    <xf numFmtId="171" fontId="91" fillId="79" borderId="0" xfId="23020" applyNumberFormat="1" applyFont="1" applyFill="1"/>
    <xf numFmtId="43" fontId="91" fillId="79" borderId="0" xfId="23021" applyFont="1" applyFill="1"/>
    <xf numFmtId="1" fontId="91" fillId="79" borderId="0" xfId="23021" applyNumberFormat="1" applyFont="1" applyFill="1"/>
    <xf numFmtId="14" fontId="91" fillId="79" borderId="0" xfId="23020" applyNumberFormat="1" applyFont="1" applyFill="1"/>
    <xf numFmtId="0" fontId="5" fillId="0" borderId="0" xfId="23020" applyFill="1"/>
    <xf numFmtId="167" fontId="5" fillId="0" borderId="0" xfId="23020" applyNumberFormat="1" applyFill="1"/>
    <xf numFmtId="168" fontId="0" fillId="0" borderId="0" xfId="23021" applyNumberFormat="1" applyFont="1" applyFill="1"/>
    <xf numFmtId="168" fontId="5" fillId="0" borderId="0" xfId="23020" applyNumberFormat="1" applyFill="1"/>
    <xf numFmtId="0" fontId="91" fillId="0" borderId="0" xfId="23020" applyFont="1" applyFill="1" applyAlignment="1">
      <alignment horizontal="center"/>
    </xf>
    <xf numFmtId="0" fontId="95" fillId="0" borderId="0" xfId="23020" applyFont="1" applyFill="1" applyAlignment="1">
      <alignment horizontal="left"/>
    </xf>
    <xf numFmtId="171" fontId="91" fillId="0" borderId="0" xfId="23020" applyNumberFormat="1" applyFont="1" applyFill="1"/>
    <xf numFmtId="43" fontId="91" fillId="0" borderId="0" xfId="23021" applyFont="1" applyFill="1"/>
    <xf numFmtId="1" fontId="91" fillId="0" borderId="0" xfId="23021" applyNumberFormat="1" applyFont="1" applyFill="1"/>
    <xf numFmtId="14" fontId="91" fillId="0" borderId="0" xfId="23020" applyNumberFormat="1" applyFont="1" applyFill="1"/>
    <xf numFmtId="22" fontId="91" fillId="0" borderId="0" xfId="23020" applyNumberFormat="1" applyFont="1" applyFill="1"/>
    <xf numFmtId="14" fontId="91" fillId="0" borderId="0" xfId="23020" applyNumberFormat="1" applyFont="1"/>
    <xf numFmtId="0" fontId="0" fillId="0" borderId="0" xfId="0" pivotButton="1"/>
    <xf numFmtId="0" fontId="0" fillId="0" borderId="0" xfId="0" applyAlignment="1">
      <alignment horizontal="left"/>
    </xf>
    <xf numFmtId="170" fontId="0" fillId="0" borderId="0" xfId="0" applyNumberFormat="1"/>
    <xf numFmtId="170" fontId="104" fillId="71" borderId="52" xfId="0" applyNumberFormat="1" applyFont="1" applyFill="1" applyBorder="1"/>
    <xf numFmtId="0" fontId="104" fillId="71" borderId="53" xfId="0" applyFont="1" applyFill="1" applyBorder="1" applyAlignment="1">
      <alignment horizontal="left"/>
    </xf>
    <xf numFmtId="170" fontId="104" fillId="71" borderId="53" xfId="0" applyNumberFormat="1" applyFont="1" applyFill="1" applyBorder="1"/>
    <xf numFmtId="0" fontId="104" fillId="71" borderId="52" xfId="0" applyFont="1" applyFill="1" applyBorder="1"/>
    <xf numFmtId="0" fontId="97" fillId="80" borderId="0" xfId="23020" applyFont="1" applyFill="1"/>
    <xf numFmtId="0" fontId="5" fillId="81" borderId="0" xfId="23020" applyFill="1"/>
    <xf numFmtId="0" fontId="68" fillId="81" borderId="0" xfId="23020" applyFont="1" applyFill="1"/>
    <xf numFmtId="0" fontId="5" fillId="81" borderId="0" xfId="23020" applyFill="1" applyAlignment="1">
      <alignment horizontal="right"/>
    </xf>
    <xf numFmtId="49" fontId="5" fillId="0" borderId="0" xfId="23020" applyNumberFormat="1"/>
    <xf numFmtId="0" fontId="68" fillId="0" borderId="0" xfId="23020" applyFont="1" applyAlignment="1">
      <alignment vertical="top"/>
    </xf>
    <xf numFmtId="172" fontId="105" fillId="82" borderId="57" xfId="23022" quotePrefix="1" applyNumberFormat="1" applyFont="1" applyFill="1" applyBorder="1" applyAlignment="1">
      <alignment horizontal="left" vertical="top"/>
    </xf>
    <xf numFmtId="172" fontId="11" fillId="83" borderId="57" xfId="23022" quotePrefix="1" applyNumberFormat="1" applyFill="1" applyBorder="1" applyAlignment="1">
      <alignment horizontal="left" vertical="top"/>
    </xf>
    <xf numFmtId="0" fontId="11" fillId="83" borderId="57" xfId="23022" applyFill="1" applyBorder="1" applyAlignment="1">
      <alignment horizontal="center" vertical="top"/>
    </xf>
    <xf numFmtId="49" fontId="11" fillId="83" borderId="57" xfId="23022" applyNumberFormat="1" applyFill="1" applyBorder="1" applyAlignment="1">
      <alignment horizontal="left" vertical="top" wrapText="1"/>
    </xf>
    <xf numFmtId="173" fontId="11" fillId="0" borderId="57" xfId="23022" applyNumberFormat="1" applyBorder="1" applyAlignment="1">
      <alignment horizontal="center" vertical="top"/>
    </xf>
    <xf numFmtId="49" fontId="11" fillId="83" borderId="57" xfId="23022" applyNumberFormat="1" applyFill="1" applyBorder="1" applyAlignment="1">
      <alignment horizontal="left" vertical="top"/>
    </xf>
    <xf numFmtId="173" fontId="11" fillId="83" borderId="57" xfId="23022" applyNumberFormat="1" applyFill="1" applyBorder="1" applyAlignment="1">
      <alignment horizontal="center" vertical="top"/>
    </xf>
    <xf numFmtId="49" fontId="11" fillId="83" borderId="57" xfId="23022" applyNumberFormat="1" applyFill="1" applyBorder="1" applyAlignment="1">
      <alignment horizontal="center" vertical="top"/>
    </xf>
    <xf numFmtId="0" fontId="11" fillId="81" borderId="57" xfId="23022" applyFill="1" applyBorder="1" applyAlignment="1">
      <alignment horizontal="center" vertical="top"/>
    </xf>
    <xf numFmtId="168" fontId="11" fillId="81" borderId="58" xfId="23021" applyNumberFormat="1" applyFont="1" applyFill="1" applyBorder="1" applyAlignment="1">
      <alignment vertical="top"/>
    </xf>
    <xf numFmtId="168" fontId="11" fillId="83" borderId="57" xfId="23021" applyNumberFormat="1" applyFont="1" applyFill="1" applyBorder="1" applyAlignment="1">
      <alignment vertical="top"/>
    </xf>
    <xf numFmtId="168" fontId="11" fillId="83" borderId="59" xfId="23021" applyNumberFormat="1" applyFont="1" applyFill="1" applyBorder="1" applyAlignment="1">
      <alignment vertical="top"/>
    </xf>
    <xf numFmtId="37" fontId="11" fillId="0" borderId="0" xfId="23022" applyNumberFormat="1" applyAlignment="1">
      <alignment horizontal="center"/>
    </xf>
    <xf numFmtId="168" fontId="106" fillId="84" borderId="57" xfId="23021" applyNumberFormat="1" applyFont="1" applyFill="1" applyBorder="1" applyAlignment="1">
      <alignment horizontal="right" vertical="top"/>
    </xf>
    <xf numFmtId="173" fontId="11" fillId="84" borderId="57" xfId="23022" applyNumberFormat="1" applyFill="1" applyBorder="1" applyAlignment="1">
      <alignment vertical="top"/>
    </xf>
    <xf numFmtId="49" fontId="11" fillId="83" borderId="57" xfId="23022" applyNumberFormat="1" applyFill="1" applyBorder="1" applyAlignment="1">
      <alignment vertical="top" wrapText="1"/>
    </xf>
    <xf numFmtId="168" fontId="11" fillId="0" borderId="0" xfId="23021" applyNumberFormat="1" applyFont="1" applyAlignment="1">
      <alignment vertical="top"/>
    </xf>
    <xf numFmtId="0" fontId="11" fillId="83" borderId="57" xfId="23022" applyFill="1" applyBorder="1" applyAlignment="1">
      <alignment horizontal="left" vertical="top"/>
    </xf>
    <xf numFmtId="168" fontId="11" fillId="0" borderId="0" xfId="23021" quotePrefix="1" applyNumberFormat="1" applyFont="1" applyAlignment="1">
      <alignment vertical="top"/>
    </xf>
    <xf numFmtId="168" fontId="11" fillId="84" borderId="0" xfId="23021" applyNumberFormat="1" applyFont="1" applyFill="1" applyAlignment="1">
      <alignment vertical="top"/>
    </xf>
    <xf numFmtId="0" fontId="11" fillId="0" borderId="57" xfId="23021" applyNumberFormat="1" applyFont="1" applyBorder="1" applyAlignment="1">
      <alignment horizontal="center" vertical="center"/>
    </xf>
    <xf numFmtId="0" fontId="107" fillId="0" borderId="57" xfId="23020" applyFont="1" applyBorder="1" applyAlignment="1">
      <alignment horizontal="center" vertical="center"/>
    </xf>
    <xf numFmtId="0" fontId="5" fillId="0" borderId="0" xfId="23020" applyAlignment="1">
      <alignment vertical="center"/>
    </xf>
    <xf numFmtId="43" fontId="98" fillId="0" borderId="57" xfId="23021" applyFont="1" applyBorder="1" applyAlignment="1">
      <alignment horizontal="center" vertical="center"/>
    </xf>
    <xf numFmtId="0" fontId="98" fillId="0" borderId="57" xfId="23020" applyFont="1" applyBorder="1" applyAlignment="1">
      <alignment horizontal="center" vertical="center"/>
    </xf>
    <xf numFmtId="168" fontId="98" fillId="0" borderId="57" xfId="23021" applyNumberFormat="1" applyFont="1" applyBorder="1" applyAlignment="1">
      <alignment horizontal="center" vertical="center"/>
    </xf>
    <xf numFmtId="0" fontId="5" fillId="83" borderId="0" xfId="23020" applyFill="1"/>
    <xf numFmtId="0" fontId="108" fillId="83" borderId="0" xfId="23020" applyFont="1" applyFill="1"/>
    <xf numFmtId="0" fontId="97" fillId="83" borderId="0" xfId="23020" applyFont="1" applyFill="1" applyAlignment="1">
      <alignment horizontal="right"/>
    </xf>
    <xf numFmtId="0" fontId="97" fillId="81" borderId="0" xfId="23020" applyFont="1" applyFill="1" applyAlignment="1">
      <alignment horizontal="right"/>
    </xf>
    <xf numFmtId="0" fontId="5" fillId="83" borderId="0" xfId="23020" quotePrefix="1" applyFill="1"/>
    <xf numFmtId="0" fontId="5" fillId="83" borderId="0" xfId="23020" applyFill="1" applyAlignment="1">
      <alignment horizontal="right"/>
    </xf>
    <xf numFmtId="0" fontId="97" fillId="80" borderId="0" xfId="23020" applyFont="1" applyFill="1" applyAlignment="1">
      <alignment horizontal="centerContinuous"/>
    </xf>
    <xf numFmtId="0" fontId="95" fillId="81" borderId="0" xfId="23020" applyFont="1" applyFill="1" applyAlignment="1">
      <alignment horizontal="right"/>
    </xf>
    <xf numFmtId="0" fontId="5" fillId="85" borderId="0" xfId="23020" applyFill="1" applyAlignment="1">
      <alignment horizontal="right"/>
    </xf>
    <xf numFmtId="0" fontId="5" fillId="85" borderId="0" xfId="23020" applyFill="1"/>
    <xf numFmtId="37" fontId="11" fillId="0" borderId="0" xfId="23022" applyNumberFormat="1"/>
    <xf numFmtId="0" fontId="109" fillId="0" borderId="0" xfId="23020" applyFont="1" applyAlignment="1">
      <alignment horizontal="left"/>
    </xf>
    <xf numFmtId="0" fontId="109" fillId="0" borderId="0" xfId="23020" applyFont="1"/>
    <xf numFmtId="0" fontId="109" fillId="0" borderId="0" xfId="23020" applyFont="1" applyAlignment="1">
      <alignment horizontal="right"/>
    </xf>
    <xf numFmtId="49" fontId="106" fillId="81" borderId="0" xfId="23022" applyNumberFormat="1" applyFont="1" applyFill="1" applyAlignment="1">
      <alignment horizontal="left"/>
    </xf>
    <xf numFmtId="37" fontId="110" fillId="0" borderId="0" xfId="23022" applyNumberFormat="1" applyFont="1"/>
    <xf numFmtId="37" fontId="111" fillId="0" borderId="0" xfId="23022" applyNumberFormat="1" applyFont="1" applyAlignment="1">
      <alignment wrapText="1"/>
    </xf>
    <xf numFmtId="37" fontId="111" fillId="0" borderId="0" xfId="23022" applyNumberFormat="1" applyFont="1"/>
    <xf numFmtId="0" fontId="112" fillId="0" borderId="0" xfId="23020" applyFont="1" applyAlignment="1">
      <alignment horizontal="right"/>
    </xf>
    <xf numFmtId="49" fontId="109" fillId="0" borderId="0" xfId="23020" applyNumberFormat="1" applyFont="1" applyAlignment="1">
      <alignment horizontal="left"/>
    </xf>
    <xf numFmtId="49" fontId="109" fillId="0" borderId="0" xfId="23020" applyNumberFormat="1" applyFont="1"/>
    <xf numFmtId="49" fontId="109" fillId="0" borderId="0" xfId="23020" applyNumberFormat="1" applyFont="1" applyAlignment="1">
      <alignment horizontal="right"/>
    </xf>
    <xf numFmtId="0" fontId="106" fillId="83" borderId="0" xfId="23022" applyFont="1" applyFill="1" applyAlignment="1">
      <alignment horizontal="left"/>
    </xf>
    <xf numFmtId="49" fontId="106" fillId="0" borderId="0" xfId="23022" applyNumberFormat="1" applyFont="1" applyAlignment="1">
      <alignment horizontal="left"/>
    </xf>
    <xf numFmtId="49" fontId="96" fillId="0" borderId="0" xfId="23022" applyNumberFormat="1" applyFont="1" applyAlignment="1">
      <alignment horizontal="center"/>
    </xf>
    <xf numFmtId="37" fontId="11" fillId="0" borderId="0" xfId="23022" applyNumberFormat="1" applyAlignment="1">
      <alignment horizontal="left"/>
    </xf>
    <xf numFmtId="0" fontId="113" fillId="0" borderId="0" xfId="23020" applyFont="1"/>
    <xf numFmtId="37" fontId="109" fillId="86" borderId="5" xfId="23022" applyNumberFormat="1" applyFont="1" applyFill="1" applyBorder="1" applyAlignment="1">
      <alignment horizontal="left"/>
    </xf>
    <xf numFmtId="37" fontId="109" fillId="86" borderId="5" xfId="23022" applyNumberFormat="1" applyFont="1" applyFill="1" applyBorder="1" applyAlignment="1">
      <alignment horizontal="center"/>
    </xf>
    <xf numFmtId="37" fontId="114" fillId="86" borderId="5" xfId="23022" applyNumberFormat="1" applyFont="1" applyFill="1" applyBorder="1" applyAlignment="1">
      <alignment horizontal="center"/>
    </xf>
    <xf numFmtId="37" fontId="109" fillId="0" borderId="0" xfId="23022" applyNumberFormat="1" applyFont="1" applyAlignment="1">
      <alignment horizontal="center"/>
    </xf>
    <xf numFmtId="0" fontId="71" fillId="87" borderId="0" xfId="255" applyFont="1" applyFill="1" applyAlignment="1">
      <alignment horizontal="centerContinuous"/>
    </xf>
    <xf numFmtId="37" fontId="115" fillId="0" borderId="0" xfId="23022" applyNumberFormat="1" applyFont="1"/>
    <xf numFmtId="37" fontId="115" fillId="0" borderId="0" xfId="23022" applyNumberFormat="1" applyFont="1" applyAlignment="1">
      <alignment horizontal="center"/>
    </xf>
    <xf numFmtId="37" fontId="116" fillId="0" borderId="0" xfId="23022" applyNumberFormat="1" applyFont="1" applyAlignment="1">
      <alignment horizontal="centerContinuous"/>
    </xf>
    <xf numFmtId="37" fontId="115" fillId="0" borderId="0" xfId="23022" applyNumberFormat="1" applyFont="1" applyAlignment="1">
      <alignment horizontal="centerContinuous"/>
    </xf>
    <xf numFmtId="0" fontId="5" fillId="0" borderId="0" xfId="23020" applyAlignment="1">
      <alignment horizontal="centerContinuous"/>
    </xf>
    <xf numFmtId="0" fontId="68" fillId="75" borderId="0" xfId="216" applyFont="1" applyFill="1" applyAlignment="1">
      <alignment horizontal="centerContinuous"/>
    </xf>
    <xf numFmtId="0" fontId="68" fillId="75" borderId="0" xfId="216" applyFont="1" applyFill="1" applyAlignment="1">
      <alignment horizontal="center"/>
    </xf>
    <xf numFmtId="0" fontId="71" fillId="75" borderId="0" xfId="216" applyFont="1" applyFill="1" applyAlignment="1">
      <alignment horizontal="centerContinuous"/>
    </xf>
    <xf numFmtId="0" fontId="68" fillId="75" borderId="0" xfId="216" applyFill="1" applyAlignment="1">
      <alignment horizontal="centerContinuous"/>
    </xf>
    <xf numFmtId="37" fontId="117" fillId="0" borderId="39" xfId="23022" applyNumberFormat="1" applyFont="1" applyBorder="1" applyAlignment="1">
      <alignment horizontal="center" wrapText="1"/>
    </xf>
    <xf numFmtId="37" fontId="106" fillId="0" borderId="39" xfId="23022" applyNumberFormat="1" applyFont="1" applyBorder="1" applyAlignment="1">
      <alignment horizontal="center" wrapText="1"/>
    </xf>
    <xf numFmtId="37" fontId="106" fillId="0" borderId="39" xfId="23022" applyNumberFormat="1" applyFont="1" applyBorder="1" applyAlignment="1">
      <alignment horizontal="left" wrapText="1"/>
    </xf>
    <xf numFmtId="174" fontId="106" fillId="0" borderId="60" xfId="23022" applyNumberFormat="1" applyFont="1" applyBorder="1" applyAlignment="1">
      <alignment horizontal="center"/>
    </xf>
    <xf numFmtId="174" fontId="106" fillId="0" borderId="61" xfId="23022" applyNumberFormat="1" applyFont="1" applyBorder="1" applyAlignment="1">
      <alignment horizontal="center"/>
    </xf>
    <xf numFmtId="174" fontId="106" fillId="0" borderId="62" xfId="23022" applyNumberFormat="1" applyFont="1" applyBorder="1" applyAlignment="1">
      <alignment horizontal="center"/>
    </xf>
    <xf numFmtId="173" fontId="106" fillId="66" borderId="39" xfId="23022" applyNumberFormat="1" applyFont="1" applyFill="1" applyBorder="1" applyAlignment="1">
      <alignment horizontal="center"/>
    </xf>
    <xf numFmtId="0" fontId="118" fillId="0" borderId="0" xfId="23020" applyFont="1"/>
    <xf numFmtId="1" fontId="119" fillId="0" borderId="0" xfId="23022" applyNumberFormat="1" applyFont="1" applyAlignment="1">
      <alignment horizontal="center"/>
    </xf>
    <xf numFmtId="0" fontId="68" fillId="75" borderId="0" xfId="216" applyFill="1" applyAlignment="1">
      <alignment horizontal="center"/>
    </xf>
    <xf numFmtId="37" fontId="121" fillId="0" borderId="0" xfId="23022" applyNumberFormat="1" applyFont="1" applyAlignment="1">
      <alignment horizontal="center"/>
    </xf>
    <xf numFmtId="37" fontId="106" fillId="0" borderId="0" xfId="23022" applyNumberFormat="1" applyFont="1" applyAlignment="1">
      <alignment horizontal="center"/>
    </xf>
    <xf numFmtId="0" fontId="98" fillId="0" borderId="0" xfId="23020" applyFont="1"/>
    <xf numFmtId="0" fontId="80" fillId="83" borderId="57" xfId="2839" applyFill="1" applyBorder="1" applyAlignment="1">
      <alignment horizontal="left" vertical="top"/>
    </xf>
    <xf numFmtId="175" fontId="121" fillId="0" borderId="0" xfId="23022" applyNumberFormat="1" applyFont="1"/>
    <xf numFmtId="175" fontId="11" fillId="0" borderId="0" xfId="23022" applyNumberFormat="1"/>
    <xf numFmtId="0" fontId="11" fillId="0" borderId="0" xfId="23022" applyAlignment="1">
      <alignment horizontal="center"/>
    </xf>
    <xf numFmtId="176" fontId="11" fillId="0" borderId="0" xfId="23022" applyNumberFormat="1"/>
    <xf numFmtId="176" fontId="106" fillId="0" borderId="0" xfId="23022" applyNumberFormat="1" applyFont="1"/>
    <xf numFmtId="37" fontId="106" fillId="0" borderId="0" xfId="23022" applyNumberFormat="1" applyFont="1" applyAlignment="1">
      <alignment horizontal="right"/>
    </xf>
    <xf numFmtId="168" fontId="106" fillId="66" borderId="27" xfId="23021" applyNumberFormat="1" applyFont="1" applyFill="1" applyBorder="1" applyAlignment="1">
      <alignment horizontal="right" vertical="top"/>
    </xf>
    <xf numFmtId="176" fontId="66" fillId="0" borderId="0" xfId="23022" applyNumberFormat="1" applyFont="1"/>
    <xf numFmtId="0" fontId="5" fillId="0" borderId="29" xfId="23020" applyBorder="1"/>
    <xf numFmtId="0" fontId="5" fillId="0" borderId="30" xfId="23020" applyBorder="1"/>
    <xf numFmtId="0" fontId="5" fillId="0" borderId="31" xfId="23020" applyBorder="1"/>
    <xf numFmtId="168" fontId="5" fillId="0" borderId="0" xfId="23020" applyNumberFormat="1"/>
    <xf numFmtId="0" fontId="5" fillId="0" borderId="32" xfId="23020" applyBorder="1"/>
    <xf numFmtId="0" fontId="97" fillId="0" borderId="5" xfId="23020" applyFont="1" applyBorder="1" applyAlignment="1">
      <alignment horizontal="center"/>
    </xf>
    <xf numFmtId="0" fontId="97" fillId="0" borderId="5" xfId="23020" applyFont="1" applyBorder="1" applyAlignment="1">
      <alignment horizontal="center" wrapText="1"/>
    </xf>
    <xf numFmtId="0" fontId="97" fillId="0" borderId="35" xfId="23020" applyFont="1" applyBorder="1" applyAlignment="1">
      <alignment horizontal="center" wrapText="1"/>
    </xf>
    <xf numFmtId="168" fontId="11" fillId="0" borderId="32" xfId="23021" applyNumberFormat="1" applyFont="1" applyBorder="1" applyAlignment="1">
      <alignment vertical="top"/>
    </xf>
    <xf numFmtId="43" fontId="0" fillId="0" borderId="0" xfId="23021" applyFont="1" applyBorder="1"/>
    <xf numFmtId="173" fontId="5" fillId="0" borderId="0" xfId="23020" applyNumberFormat="1" applyBorder="1"/>
    <xf numFmtId="43" fontId="5" fillId="0" borderId="0" xfId="23020" applyNumberFormat="1" applyBorder="1"/>
    <xf numFmtId="43" fontId="5" fillId="0" borderId="33" xfId="23020" applyNumberFormat="1" applyBorder="1"/>
    <xf numFmtId="0" fontId="97" fillId="0" borderId="0" xfId="23020" applyFont="1"/>
    <xf numFmtId="43" fontId="5" fillId="0" borderId="39" xfId="23020" applyNumberFormat="1" applyBorder="1"/>
    <xf numFmtId="43" fontId="5" fillId="0" borderId="40" xfId="23020" applyNumberFormat="1" applyBorder="1"/>
    <xf numFmtId="43" fontId="0" fillId="0" borderId="5" xfId="23021" applyFont="1" applyBorder="1"/>
    <xf numFmtId="173" fontId="5" fillId="0" borderId="5" xfId="23020" applyNumberFormat="1" applyBorder="1"/>
    <xf numFmtId="43" fontId="5" fillId="0" borderId="5" xfId="23020" applyNumberFormat="1" applyBorder="1"/>
    <xf numFmtId="43" fontId="5" fillId="0" borderId="35" xfId="23020" applyNumberFormat="1" applyBorder="1"/>
    <xf numFmtId="0" fontId="5" fillId="0" borderId="38" xfId="23020" applyBorder="1"/>
    <xf numFmtId="0" fontId="5" fillId="0" borderId="39" xfId="23020" applyBorder="1"/>
    <xf numFmtId="0" fontId="11" fillId="0" borderId="0" xfId="0" applyFont="1"/>
    <xf numFmtId="168" fontId="0" fillId="0" borderId="63" xfId="371" applyNumberFormat="1" applyFont="1" applyBorder="1"/>
    <xf numFmtId="0" fontId="97" fillId="80" borderId="0" xfId="23023" applyFont="1" applyFill="1"/>
    <xf numFmtId="0" fontId="4" fillId="0" borderId="0" xfId="23023"/>
    <xf numFmtId="0" fontId="4" fillId="81" borderId="0" xfId="23023" applyFill="1"/>
    <xf numFmtId="0" fontId="68" fillId="81" borderId="0" xfId="23023" applyFont="1" applyFill="1"/>
    <xf numFmtId="0" fontId="4" fillId="81" borderId="0" xfId="23023" applyFill="1" applyAlignment="1">
      <alignment horizontal="right"/>
    </xf>
    <xf numFmtId="49" fontId="4" fillId="0" borderId="0" xfId="23023" applyNumberFormat="1"/>
    <xf numFmtId="0" fontId="68" fillId="0" borderId="0" xfId="23023" applyFont="1" applyAlignment="1">
      <alignment vertical="top"/>
    </xf>
    <xf numFmtId="168" fontId="11" fillId="81" borderId="58" xfId="23024" applyNumberFormat="1" applyFont="1" applyFill="1" applyBorder="1" applyAlignment="1">
      <alignment vertical="top"/>
    </xf>
    <xf numFmtId="168" fontId="11" fillId="83" borderId="57" xfId="23024" applyNumberFormat="1" applyFont="1" applyFill="1" applyBorder="1" applyAlignment="1">
      <alignment vertical="top"/>
    </xf>
    <xf numFmtId="168" fontId="11" fillId="83" borderId="59" xfId="23024" applyNumberFormat="1" applyFont="1" applyFill="1" applyBorder="1" applyAlignment="1">
      <alignment vertical="top"/>
    </xf>
    <xf numFmtId="168" fontId="106" fillId="84" borderId="57" xfId="23024" applyNumberFormat="1" applyFont="1" applyFill="1" applyBorder="1" applyAlignment="1">
      <alignment horizontal="right" vertical="top"/>
    </xf>
    <xf numFmtId="168" fontId="11" fillId="0" borderId="0" xfId="23024" applyNumberFormat="1" applyFont="1" applyAlignment="1">
      <alignment vertical="top"/>
    </xf>
    <xf numFmtId="168" fontId="11" fillId="0" borderId="0" xfId="23024" quotePrefix="1" applyNumberFormat="1" applyFont="1" applyAlignment="1">
      <alignment vertical="top"/>
    </xf>
    <xf numFmtId="168" fontId="11" fillId="84" borderId="0" xfId="23024" applyNumberFormat="1" applyFont="1" applyFill="1" applyAlignment="1">
      <alignment vertical="top"/>
    </xf>
    <xf numFmtId="0" fontId="11" fillId="0" borderId="57" xfId="23024" applyNumberFormat="1" applyFont="1" applyBorder="1" applyAlignment="1">
      <alignment horizontal="center" vertical="center"/>
    </xf>
    <xf numFmtId="0" fontId="107" fillId="0" borderId="57" xfId="23023" applyFont="1" applyBorder="1" applyAlignment="1">
      <alignment horizontal="center" vertical="center"/>
    </xf>
    <xf numFmtId="0" fontId="4" fillId="0" borderId="0" xfId="23023" applyAlignment="1">
      <alignment vertical="center"/>
    </xf>
    <xf numFmtId="43" fontId="98" fillId="0" borderId="57" xfId="23024" applyFont="1" applyBorder="1" applyAlignment="1">
      <alignment horizontal="center" vertical="center"/>
    </xf>
    <xf numFmtId="0" fontId="98" fillId="0" borderId="57" xfId="23023" applyFont="1" applyBorder="1" applyAlignment="1">
      <alignment horizontal="center" vertical="center"/>
    </xf>
    <xf numFmtId="168" fontId="98" fillId="0" borderId="57" xfId="23024" applyNumberFormat="1" applyFont="1" applyBorder="1" applyAlignment="1">
      <alignment horizontal="center" vertical="center"/>
    </xf>
    <xf numFmtId="0" fontId="4" fillId="83" borderId="0" xfId="23023" applyFill="1"/>
    <xf numFmtId="0" fontId="108" fillId="83" borderId="0" xfId="23023" applyFont="1" applyFill="1"/>
    <xf numFmtId="0" fontId="97" fillId="83" borderId="0" xfId="23023" applyFont="1" applyFill="1" applyAlignment="1">
      <alignment horizontal="right"/>
    </xf>
    <xf numFmtId="0" fontId="97" fillId="81" borderId="0" xfId="23023" applyFont="1" applyFill="1" applyAlignment="1">
      <alignment horizontal="right"/>
    </xf>
    <xf numFmtId="0" fontId="4" fillId="83" borderId="0" xfId="23023" quotePrefix="1" applyFill="1"/>
    <xf numFmtId="0" fontId="4" fillId="83" borderId="0" xfId="23023" applyFill="1" applyAlignment="1">
      <alignment horizontal="right"/>
    </xf>
    <xf numFmtId="0" fontId="97" fillId="80" borderId="0" xfId="23023" applyFont="1" applyFill="1" applyAlignment="1">
      <alignment horizontal="centerContinuous"/>
    </xf>
    <xf numFmtId="0" fontId="95" fillId="81" borderId="0" xfId="23023" applyFont="1" applyFill="1" applyAlignment="1">
      <alignment horizontal="right"/>
    </xf>
    <xf numFmtId="0" fontId="4" fillId="85" borderId="0" xfId="23023" applyFill="1" applyAlignment="1">
      <alignment horizontal="right"/>
    </xf>
    <xf numFmtId="0" fontId="4" fillId="85" borderId="0" xfId="23023" applyFill="1"/>
    <xf numFmtId="0" fontId="109" fillId="0" borderId="0" xfId="23023" applyFont="1" applyAlignment="1">
      <alignment horizontal="left"/>
    </xf>
    <xf numFmtId="0" fontId="109" fillId="0" borderId="0" xfId="23023" applyFont="1"/>
    <xf numFmtId="0" fontId="109" fillId="0" borderId="0" xfId="23023" applyFont="1" applyAlignment="1">
      <alignment horizontal="right"/>
    </xf>
    <xf numFmtId="0" fontId="112" fillId="0" borderId="0" xfId="23023" applyFont="1" applyAlignment="1">
      <alignment horizontal="right"/>
    </xf>
    <xf numFmtId="49" fontId="109" fillId="0" borderId="0" xfId="23023" applyNumberFormat="1" applyFont="1" applyAlignment="1">
      <alignment horizontal="left"/>
    </xf>
    <xf numFmtId="49" fontId="109" fillId="0" borderId="0" xfId="23023" applyNumberFormat="1" applyFont="1"/>
    <xf numFmtId="49" fontId="109" fillId="0" borderId="0" xfId="23023" applyNumberFormat="1" applyFont="1" applyAlignment="1">
      <alignment horizontal="right"/>
    </xf>
    <xf numFmtId="0" fontId="113" fillId="0" borderId="0" xfId="23023" applyFont="1"/>
    <xf numFmtId="0" fontId="4" fillId="0" borderId="0" xfId="23023" applyAlignment="1">
      <alignment horizontal="centerContinuous"/>
    </xf>
    <xf numFmtId="0" fontId="118" fillId="0" borderId="0" xfId="23023" applyFont="1"/>
    <xf numFmtId="0" fontId="98" fillId="0" borderId="0" xfId="23023" applyFont="1"/>
    <xf numFmtId="168" fontId="106" fillId="66" borderId="27" xfId="23024" applyNumberFormat="1" applyFont="1" applyFill="1" applyBorder="1" applyAlignment="1">
      <alignment horizontal="right" vertical="top"/>
    </xf>
    <xf numFmtId="168" fontId="4" fillId="0" borderId="0" xfId="23023" applyNumberFormat="1"/>
    <xf numFmtId="0" fontId="97" fillId="0" borderId="0" xfId="23023" applyFont="1"/>
    <xf numFmtId="0" fontId="3" fillId="0" borderId="0" xfId="23020" applyFont="1" applyFill="1"/>
    <xf numFmtId="170" fontId="0" fillId="0" borderId="0" xfId="0" applyNumberFormat="1" applyFill="1"/>
    <xf numFmtId="168" fontId="0" fillId="0" borderId="0" xfId="371" applyNumberFormat="1" applyFont="1" applyFill="1" applyBorder="1"/>
    <xf numFmtId="168" fontId="0" fillId="0" borderId="33" xfId="371" applyNumberFormat="1" applyFont="1" applyFill="1" applyBorder="1"/>
    <xf numFmtId="0" fontId="97" fillId="80" borderId="0" xfId="23025" applyFont="1" applyFill="1"/>
    <xf numFmtId="0" fontId="2" fillId="0" borderId="0" xfId="23025"/>
    <xf numFmtId="0" fontId="2" fillId="81" borderId="0" xfId="23025" applyFill="1"/>
    <xf numFmtId="0" fontId="68" fillId="81" borderId="0" xfId="23025" applyFont="1" applyFill="1"/>
    <xf numFmtId="0" fontId="2" fillId="81" borderId="0" xfId="23025" applyFill="1" applyAlignment="1">
      <alignment horizontal="right"/>
    </xf>
    <xf numFmtId="49" fontId="2" fillId="0" borderId="0" xfId="23025" applyNumberFormat="1"/>
    <xf numFmtId="0" fontId="68" fillId="0" borderId="0" xfId="23025" applyFont="1" applyAlignment="1">
      <alignment vertical="top"/>
    </xf>
    <xf numFmtId="168" fontId="11" fillId="81" borderId="58" xfId="23026" applyNumberFormat="1" applyFont="1" applyFill="1" applyBorder="1" applyAlignment="1">
      <alignment vertical="top"/>
    </xf>
    <xf numFmtId="168" fontId="11" fillId="83" borderId="57" xfId="23026" applyNumberFormat="1" applyFont="1" applyFill="1" applyBorder="1" applyAlignment="1">
      <alignment vertical="top"/>
    </xf>
    <xf numFmtId="168" fontId="11" fillId="83" borderId="59" xfId="23026" applyNumberFormat="1" applyFont="1" applyFill="1" applyBorder="1" applyAlignment="1">
      <alignment vertical="top"/>
    </xf>
    <xf numFmtId="168" fontId="106" fillId="84" borderId="57" xfId="23026" applyNumberFormat="1" applyFont="1" applyFill="1" applyBorder="1" applyAlignment="1">
      <alignment horizontal="right" vertical="top"/>
    </xf>
    <xf numFmtId="168" fontId="11" fillId="0" borderId="0" xfId="23026" applyNumberFormat="1" applyFont="1" applyAlignment="1">
      <alignment vertical="top"/>
    </xf>
    <xf numFmtId="168" fontId="11" fillId="0" borderId="0" xfId="23026" quotePrefix="1" applyNumberFormat="1" applyFont="1" applyAlignment="1">
      <alignment vertical="top"/>
    </xf>
    <xf numFmtId="168" fontId="11" fillId="84" borderId="0" xfId="23026" applyNumberFormat="1" applyFont="1" applyFill="1" applyAlignment="1">
      <alignment vertical="top"/>
    </xf>
    <xf numFmtId="0" fontId="11" fillId="0" borderId="57" xfId="23026" applyNumberFormat="1" applyFont="1" applyBorder="1" applyAlignment="1">
      <alignment horizontal="center" vertical="center"/>
    </xf>
    <xf numFmtId="0" fontId="107" fillId="0" borderId="57" xfId="23025" applyFont="1" applyBorder="1" applyAlignment="1">
      <alignment horizontal="center" vertical="center"/>
    </xf>
    <xf numFmtId="0" fontId="2" fillId="0" borderId="0" xfId="23025" applyAlignment="1">
      <alignment vertical="center"/>
    </xf>
    <xf numFmtId="43" fontId="98" fillId="0" borderId="57" xfId="23026" applyFont="1" applyBorder="1" applyAlignment="1">
      <alignment horizontal="center" vertical="center"/>
    </xf>
    <xf numFmtId="0" fontId="98" fillId="0" borderId="57" xfId="23025" applyFont="1" applyBorder="1" applyAlignment="1">
      <alignment horizontal="center" vertical="center"/>
    </xf>
    <xf numFmtId="168" fontId="98" fillId="0" borderId="57" xfId="23026" applyNumberFormat="1" applyFont="1" applyBorder="1" applyAlignment="1">
      <alignment horizontal="center" vertical="center"/>
    </xf>
    <xf numFmtId="0" fontId="2" fillId="83" borderId="0" xfId="23025" applyFill="1"/>
    <xf numFmtId="0" fontId="108" fillId="83" borderId="0" xfId="23025" applyFont="1" applyFill="1"/>
    <xf numFmtId="0" fontId="97" fillId="83" borderId="0" xfId="23025" applyFont="1" applyFill="1" applyAlignment="1">
      <alignment horizontal="right"/>
    </xf>
    <xf numFmtId="0" fontId="97" fillId="81" borderId="0" xfId="23025" applyFont="1" applyFill="1" applyAlignment="1">
      <alignment horizontal="right"/>
    </xf>
    <xf numFmtId="0" fontId="2" fillId="83" borderId="0" xfId="23025" quotePrefix="1" applyFill="1"/>
    <xf numFmtId="0" fontId="2" fillId="83" borderId="0" xfId="23025" applyFill="1" applyAlignment="1">
      <alignment horizontal="right"/>
    </xf>
    <xf numFmtId="0" fontId="97" fillId="80" borderId="0" xfId="23025" applyFont="1" applyFill="1" applyAlignment="1">
      <alignment horizontal="centerContinuous"/>
    </xf>
    <xf numFmtId="0" fontId="95" fillId="81" borderId="0" xfId="23025" applyFont="1" applyFill="1" applyAlignment="1">
      <alignment horizontal="right"/>
    </xf>
    <xf numFmtId="0" fontId="2" fillId="85" borderId="0" xfId="23025" applyFill="1" applyAlignment="1">
      <alignment horizontal="right"/>
    </xf>
    <xf numFmtId="0" fontId="2" fillId="85" borderId="0" xfId="23025" applyFill="1"/>
    <xf numFmtId="0" fontId="109" fillId="0" borderId="0" xfId="23025" applyFont="1" applyAlignment="1">
      <alignment horizontal="left"/>
    </xf>
    <xf numFmtId="0" fontId="109" fillId="0" borderId="0" xfId="23025" applyFont="1"/>
    <xf numFmtId="0" fontId="109" fillId="0" borderId="0" xfId="23025" applyFont="1" applyAlignment="1">
      <alignment horizontal="right"/>
    </xf>
    <xf numFmtId="0" fontId="112" fillId="0" borderId="0" xfId="23025" applyFont="1" applyAlignment="1">
      <alignment horizontal="right"/>
    </xf>
    <xf numFmtId="49" fontId="109" fillId="0" borderId="0" xfId="23025" applyNumberFormat="1" applyFont="1" applyAlignment="1">
      <alignment horizontal="left"/>
    </xf>
    <xf numFmtId="49" fontId="109" fillId="0" borderId="0" xfId="23025" applyNumberFormat="1" applyFont="1"/>
    <xf numFmtId="49" fontId="109" fillId="0" borderId="0" xfId="23025" applyNumberFormat="1" applyFont="1" applyAlignment="1">
      <alignment horizontal="right"/>
    </xf>
    <xf numFmtId="0" fontId="113" fillId="0" borderId="0" xfId="23025" applyFont="1"/>
    <xf numFmtId="0" fontId="2" fillId="0" borderId="0" xfId="23025" applyAlignment="1">
      <alignment horizontal="centerContinuous"/>
    </xf>
    <xf numFmtId="0" fontId="118" fillId="0" borderId="0" xfId="23025" applyFont="1"/>
    <xf numFmtId="0" fontId="98" fillId="0" borderId="0" xfId="23025" applyFont="1"/>
    <xf numFmtId="168" fontId="106" fillId="66" borderId="27" xfId="23026" applyNumberFormat="1" applyFont="1" applyFill="1" applyBorder="1" applyAlignment="1">
      <alignment horizontal="right" vertical="top"/>
    </xf>
    <xf numFmtId="168" fontId="2" fillId="0" borderId="0" xfId="23025" applyNumberFormat="1"/>
    <xf numFmtId="0" fontId="97" fillId="0" borderId="0" xfId="23025" applyFont="1"/>
    <xf numFmtId="0" fontId="2" fillId="73" borderId="0" xfId="23025" applyFill="1"/>
    <xf numFmtId="49" fontId="2" fillId="73" borderId="0" xfId="23025" applyNumberFormat="1" applyFill="1"/>
    <xf numFmtId="0" fontId="68" fillId="73" borderId="0" xfId="23025" applyFont="1" applyFill="1" applyAlignment="1">
      <alignment vertical="top"/>
    </xf>
    <xf numFmtId="172" fontId="105" fillId="73" borderId="57" xfId="23022" quotePrefix="1" applyNumberFormat="1" applyFont="1" applyFill="1" applyBorder="1" applyAlignment="1">
      <alignment horizontal="left" vertical="top"/>
    </xf>
    <xf numFmtId="172" fontId="11" fillId="73" borderId="57" xfId="23022" quotePrefix="1" applyNumberFormat="1" applyFill="1" applyBorder="1" applyAlignment="1">
      <alignment horizontal="left" vertical="top"/>
    </xf>
    <xf numFmtId="0" fontId="11" fillId="73" borderId="57" xfId="23022" applyFill="1" applyBorder="1" applyAlignment="1">
      <alignment horizontal="center" vertical="top"/>
    </xf>
    <xf numFmtId="49" fontId="11" fillId="73" borderId="57" xfId="23022" applyNumberFormat="1" applyFill="1" applyBorder="1" applyAlignment="1">
      <alignment horizontal="left" vertical="top" wrapText="1"/>
    </xf>
    <xf numFmtId="173" fontId="11" fillId="73" borderId="57" xfId="23022" applyNumberFormat="1" applyFill="1" applyBorder="1" applyAlignment="1">
      <alignment horizontal="center" vertical="top"/>
    </xf>
    <xf numFmtId="49" fontId="11" fillId="73" borderId="57" xfId="23022" applyNumberFormat="1" applyFill="1" applyBorder="1" applyAlignment="1">
      <alignment horizontal="left" vertical="top"/>
    </xf>
    <xf numFmtId="49" fontId="11" fillId="73" borderId="57" xfId="23022" applyNumberFormat="1" applyFill="1" applyBorder="1" applyAlignment="1">
      <alignment horizontal="center" vertical="top"/>
    </xf>
    <xf numFmtId="168" fontId="11" fillId="73" borderId="58" xfId="23026" applyNumberFormat="1" applyFont="1" applyFill="1" applyBorder="1" applyAlignment="1">
      <alignment vertical="top"/>
    </xf>
    <xf numFmtId="168" fontId="11" fillId="73" borderId="57" xfId="23026" applyNumberFormat="1" applyFont="1" applyFill="1" applyBorder="1" applyAlignment="1">
      <alignment vertical="top"/>
    </xf>
    <xf numFmtId="168" fontId="11" fillId="73" borderId="59" xfId="23026" applyNumberFormat="1" applyFont="1" applyFill="1" applyBorder="1" applyAlignment="1">
      <alignment vertical="top"/>
    </xf>
    <xf numFmtId="37" fontId="11" fillId="73" borderId="0" xfId="23022" applyNumberFormat="1" applyFill="1" applyAlignment="1">
      <alignment horizontal="center"/>
    </xf>
    <xf numFmtId="168" fontId="106" fillId="73" borderId="57" xfId="23026" applyNumberFormat="1" applyFont="1" applyFill="1" applyBorder="1" applyAlignment="1">
      <alignment horizontal="right" vertical="top"/>
    </xf>
    <xf numFmtId="173" fontId="11" fillId="73" borderId="57" xfId="23022" applyNumberFormat="1" applyFill="1" applyBorder="1" applyAlignment="1">
      <alignment vertical="top"/>
    </xf>
    <xf numFmtId="49" fontId="11" fillId="73" borderId="57" xfId="23022" applyNumberFormat="1" applyFill="1" applyBorder="1" applyAlignment="1">
      <alignment vertical="top" wrapText="1"/>
    </xf>
    <xf numFmtId="168" fontId="11" fillId="73" borderId="0" xfId="23026" applyNumberFormat="1" applyFont="1" applyFill="1" applyAlignment="1">
      <alignment vertical="top"/>
    </xf>
    <xf numFmtId="0" fontId="11" fillId="73" borderId="57" xfId="23022" applyFill="1" applyBorder="1" applyAlignment="1">
      <alignment horizontal="left" vertical="top"/>
    </xf>
    <xf numFmtId="168" fontId="11" fillId="73" borderId="0" xfId="23026" quotePrefix="1" applyNumberFormat="1" applyFont="1" applyFill="1" applyAlignment="1">
      <alignment vertical="top"/>
    </xf>
    <xf numFmtId="0" fontId="11" fillId="73" borderId="57" xfId="23026" applyNumberFormat="1" applyFont="1" applyFill="1" applyBorder="1" applyAlignment="1">
      <alignment horizontal="center" vertical="center"/>
    </xf>
    <xf numFmtId="0" fontId="107" fillId="73" borderId="57" xfId="23025" applyFont="1" applyFill="1" applyBorder="1" applyAlignment="1">
      <alignment horizontal="center" vertical="center"/>
    </xf>
    <xf numFmtId="0" fontId="2" fillId="73" borderId="0" xfId="23025" applyFill="1" applyAlignment="1">
      <alignment vertical="center"/>
    </xf>
    <xf numFmtId="43" fontId="98" fillId="73" borderId="57" xfId="23026" applyFont="1" applyFill="1" applyBorder="1" applyAlignment="1">
      <alignment horizontal="center" vertical="center"/>
    </xf>
    <xf numFmtId="0" fontId="98" fillId="73" borderId="57" xfId="23025" applyFont="1" applyFill="1" applyBorder="1" applyAlignment="1">
      <alignment horizontal="center" vertical="center"/>
    </xf>
    <xf numFmtId="168" fontId="98" fillId="73" borderId="57" xfId="23026" applyNumberFormat="1" applyFont="1" applyFill="1" applyBorder="1" applyAlignment="1">
      <alignment horizontal="center" vertical="center"/>
    </xf>
    <xf numFmtId="0" fontId="1" fillId="0" borderId="0" xfId="23020" applyFont="1"/>
    <xf numFmtId="168" fontId="11" fillId="0" borderId="32" xfId="23021" applyNumberFormat="1" applyFont="1" applyFill="1" applyBorder="1" applyAlignment="1">
      <alignment vertical="top"/>
    </xf>
    <xf numFmtId="43" fontId="0" fillId="0" borderId="0" xfId="23021" applyFont="1" applyFill="1" applyBorder="1"/>
    <xf numFmtId="173" fontId="5" fillId="0" borderId="0" xfId="23020" applyNumberFormat="1" applyFill="1" applyBorder="1"/>
    <xf numFmtId="43" fontId="5" fillId="0" borderId="0" xfId="23020" applyNumberFormat="1" applyFill="1" applyBorder="1"/>
    <xf numFmtId="43" fontId="5" fillId="0" borderId="33" xfId="23020" applyNumberFormat="1" applyFill="1" applyBorder="1"/>
    <xf numFmtId="173" fontId="11" fillId="83" borderId="57" xfId="23022" applyNumberFormat="1" applyFill="1" applyBorder="1" applyAlignment="1">
      <alignment horizontal="center" vertical="top" wrapText="1"/>
    </xf>
    <xf numFmtId="49" fontId="11" fillId="69" borderId="57" xfId="23022" applyNumberFormat="1" applyFill="1" applyBorder="1" applyAlignment="1">
      <alignment vertical="top" wrapText="1"/>
    </xf>
    <xf numFmtId="168" fontId="88" fillId="73" borderId="0" xfId="371" applyNumberFormat="1" applyFont="1" applyFill="1"/>
    <xf numFmtId="43" fontId="88" fillId="73" borderId="0" xfId="371" applyFont="1" applyFill="1"/>
    <xf numFmtId="0" fontId="66" fillId="70" borderId="47" xfId="0" applyFont="1" applyFill="1" applyBorder="1" applyAlignment="1">
      <alignment horizontal="center"/>
    </xf>
    <xf numFmtId="0" fontId="66" fillId="70" borderId="48" xfId="0" applyFont="1" applyFill="1" applyBorder="1" applyAlignment="1">
      <alignment horizontal="center"/>
    </xf>
    <xf numFmtId="0" fontId="66" fillId="70" borderId="49" xfId="0" applyFont="1" applyFill="1" applyBorder="1" applyAlignment="1">
      <alignment horizontal="center"/>
    </xf>
    <xf numFmtId="0" fontId="102" fillId="75" borderId="0" xfId="23020" applyFont="1" applyFill="1" applyAlignment="1">
      <alignment horizontal="center"/>
    </xf>
    <xf numFmtId="0" fontId="91" fillId="66" borderId="54" xfId="23020" applyFont="1" applyFill="1" applyBorder="1" applyAlignment="1">
      <alignment horizontal="left"/>
    </xf>
    <xf numFmtId="49" fontId="91" fillId="66" borderId="55" xfId="23020" applyNumberFormat="1" applyFont="1" applyFill="1" applyBorder="1" applyAlignment="1">
      <alignment horizontal="left"/>
    </xf>
    <xf numFmtId="49" fontId="91" fillId="66" borderId="56" xfId="23020" applyNumberFormat="1" applyFont="1" applyFill="1" applyBorder="1" applyAlignment="1">
      <alignment horizontal="left"/>
    </xf>
    <xf numFmtId="0" fontId="0" fillId="0" borderId="0" xfId="0"/>
  </cellXfs>
  <cellStyles count="23027">
    <cellStyle name="20% - Accent1 2" xfId="1"/>
    <cellStyle name="20% - Accent1 2 2" xfId="2"/>
    <cellStyle name="20% - Accent1 2 2 2" xfId="3"/>
    <cellStyle name="20% - Accent1 2 3" xfId="4"/>
    <cellStyle name="20% - Accent1 2 4" xfId="5"/>
    <cellStyle name="20% - Accent1 2 4 2" xfId="6"/>
    <cellStyle name="20% - Accent1 2 5" xfId="7"/>
    <cellStyle name="20% - Accent1 3" xfId="8"/>
    <cellStyle name="20% - Accent1 3 2" xfId="9"/>
    <cellStyle name="20% - Accent1 3 2 2" xfId="10"/>
    <cellStyle name="20% - Accent1 3 3" xfId="11"/>
    <cellStyle name="20% - Accent1 3 4" xfId="12"/>
    <cellStyle name="20% - Accent1 4" xfId="13"/>
    <cellStyle name="20% - Accent1 4 2" xfId="14"/>
    <cellStyle name="20% - Accent1 4 2 2" xfId="9216"/>
    <cellStyle name="20% - Accent1 4 2 2 2" xfId="21567"/>
    <cellStyle name="20% - Accent1 4 2 3" xfId="15213"/>
    <cellStyle name="20% - Accent1 4 3" xfId="15"/>
    <cellStyle name="20% - Accent1 4 4" xfId="16"/>
    <cellStyle name="20% - Accent1 4 4 2" xfId="15214"/>
    <cellStyle name="20% - Accent1 4 5" xfId="9215"/>
    <cellStyle name="20% - Accent1 4 5 2" xfId="21566"/>
    <cellStyle name="20% - Accent1 5" xfId="17"/>
    <cellStyle name="20% - Accent1 5 2" xfId="9217"/>
    <cellStyle name="20% - Accent1 5 2 2" xfId="21568"/>
    <cellStyle name="20% - Accent1 5 3" xfId="15215"/>
    <cellStyle name="20% - Accent1 6" xfId="18"/>
    <cellStyle name="20% - Accent2 2" xfId="19"/>
    <cellStyle name="20% - Accent2 2 2" xfId="20"/>
    <cellStyle name="20% - Accent2 2 3" xfId="21"/>
    <cellStyle name="20% - Accent2 3" xfId="22"/>
    <cellStyle name="20% - Accent2 3 2" xfId="23"/>
    <cellStyle name="20% - Accent2 3 3" xfId="24"/>
    <cellStyle name="20% - Accent2 4" xfId="25"/>
    <cellStyle name="20% - Accent2 4 2" xfId="26"/>
    <cellStyle name="20% - Accent2 4 2 2" xfId="9219"/>
    <cellStyle name="20% - Accent2 4 2 2 2" xfId="21570"/>
    <cellStyle name="20% - Accent2 4 2 3" xfId="15217"/>
    <cellStyle name="20% - Accent2 4 3" xfId="9218"/>
    <cellStyle name="20% - Accent2 4 3 2" xfId="21569"/>
    <cellStyle name="20% - Accent2 4 4" xfId="15216"/>
    <cellStyle name="20% - Accent2 5" xfId="27"/>
    <cellStyle name="20% - Accent2 5 2" xfId="9220"/>
    <cellStyle name="20% - Accent2 5 2 2" xfId="21571"/>
    <cellStyle name="20% - Accent2 5 3" xfId="15218"/>
    <cellStyle name="20% - Accent2 6" xfId="28"/>
    <cellStyle name="20% - Accent3 2" xfId="29"/>
    <cellStyle name="20% - Accent3 2 2" xfId="30"/>
    <cellStyle name="20% - Accent3 2 2 2" xfId="9221"/>
    <cellStyle name="20% - Accent3 2 2 2 2" xfId="21572"/>
    <cellStyle name="20% - Accent3 2 2 3" xfId="15219"/>
    <cellStyle name="20% - Accent3 3" xfId="31"/>
    <cellStyle name="20% - Accent3 3 2" xfId="32"/>
    <cellStyle name="20% - Accent3 3 3" xfId="33"/>
    <cellStyle name="20% - Accent3 4" xfId="34"/>
    <cellStyle name="20% - Accent3 4 2" xfId="35"/>
    <cellStyle name="20% - Accent3 4 2 2" xfId="9223"/>
    <cellStyle name="20% - Accent3 4 2 2 2" xfId="21574"/>
    <cellStyle name="20% - Accent3 4 2 3" xfId="15221"/>
    <cellStyle name="20% - Accent3 4 3" xfId="9222"/>
    <cellStyle name="20% - Accent3 4 3 2" xfId="21573"/>
    <cellStyle name="20% - Accent3 4 4" xfId="15220"/>
    <cellStyle name="20% - Accent3 5" xfId="36"/>
    <cellStyle name="20% - Accent3 5 2" xfId="9224"/>
    <cellStyle name="20% - Accent3 5 2 2" xfId="21575"/>
    <cellStyle name="20% - Accent3 5 3" xfId="15222"/>
    <cellStyle name="20% - Accent3 6" xfId="37"/>
    <cellStyle name="20% - Accent4 2" xfId="38"/>
    <cellStyle name="20% - Accent4 2 2" xfId="39"/>
    <cellStyle name="20% - Accent4 2 2 2" xfId="40"/>
    <cellStyle name="20% - Accent4 2 3" xfId="41"/>
    <cellStyle name="20% - Accent4 2 4" xfId="42"/>
    <cellStyle name="20% - Accent4 3" xfId="43"/>
    <cellStyle name="20% - Accent4 3 2" xfId="44"/>
    <cellStyle name="20% - Accent4 3 2 2" xfId="45"/>
    <cellStyle name="20% - Accent4 3 3" xfId="46"/>
    <cellStyle name="20% - Accent4 3 4" xfId="47"/>
    <cellStyle name="20% - Accent4 4" xfId="48"/>
    <cellStyle name="20% - Accent4 4 2" xfId="49"/>
    <cellStyle name="20% - Accent4 4 2 2" xfId="9226"/>
    <cellStyle name="20% - Accent4 4 2 2 2" xfId="21577"/>
    <cellStyle name="20% - Accent4 4 2 3" xfId="15223"/>
    <cellStyle name="20% - Accent4 4 3" xfId="50"/>
    <cellStyle name="20% - Accent4 4 4" xfId="51"/>
    <cellStyle name="20% - Accent4 4 4 2" xfId="15224"/>
    <cellStyle name="20% - Accent4 4 5" xfId="9225"/>
    <cellStyle name="20% - Accent4 4 5 2" xfId="21576"/>
    <cellStyle name="20% - Accent4 5" xfId="52"/>
    <cellStyle name="20% - Accent4 5 2" xfId="9227"/>
    <cellStyle name="20% - Accent4 5 2 2" xfId="21578"/>
    <cellStyle name="20% - Accent4 5 3" xfId="15225"/>
    <cellStyle name="20% - Accent4 6" xfId="53"/>
    <cellStyle name="20% - Accent5" xfId="54" builtinId="46" customBuiltin="1"/>
    <cellStyle name="20% - Accent5 2" xfId="55"/>
    <cellStyle name="20% - Accent5 2 2" xfId="56"/>
    <cellStyle name="20% - Accent5 2 2 2" xfId="9229"/>
    <cellStyle name="20% - Accent5 2 2 2 2" xfId="21580"/>
    <cellStyle name="20% - Accent5 2 2 3" xfId="15227"/>
    <cellStyle name="20% - Accent5 3" xfId="57"/>
    <cellStyle name="20% - Accent5 3 2" xfId="58"/>
    <cellStyle name="20% - Accent5 3 2 2" xfId="9230"/>
    <cellStyle name="20% - Accent5 3 2 2 2" xfId="21581"/>
    <cellStyle name="20% - Accent5 3 2 3" xfId="15228"/>
    <cellStyle name="20% - Accent5 3 3" xfId="59"/>
    <cellStyle name="20% - Accent5 4" xfId="60"/>
    <cellStyle name="20% - Accent5 4 2" xfId="61"/>
    <cellStyle name="20% - Accent5 4 2 2" xfId="9232"/>
    <cellStyle name="20% - Accent5 4 2 2 2" xfId="21583"/>
    <cellStyle name="20% - Accent5 4 2 3" xfId="15230"/>
    <cellStyle name="20% - Accent5 4 3" xfId="9231"/>
    <cellStyle name="20% - Accent5 4 3 2" xfId="21582"/>
    <cellStyle name="20% - Accent5 4 4" xfId="15229"/>
    <cellStyle name="20% - Accent5 5" xfId="62"/>
    <cellStyle name="20% - Accent5 5 2" xfId="9233"/>
    <cellStyle name="20% - Accent5 5 2 2" xfId="21584"/>
    <cellStyle name="20% - Accent5 5 3" xfId="15231"/>
    <cellStyle name="20% - Accent5 6" xfId="9228"/>
    <cellStyle name="20% - Accent5 6 2" xfId="21579"/>
    <cellStyle name="20% - Accent5 7" xfId="15226"/>
    <cellStyle name="20% - Accent6" xfId="63" builtinId="50" customBuiltin="1"/>
    <cellStyle name="20% - Accent6 2" xfId="64"/>
    <cellStyle name="20% - Accent6 2 2" xfId="65"/>
    <cellStyle name="20% - Accent6 2 3" xfId="66"/>
    <cellStyle name="20% - Accent6 3" xfId="67"/>
    <cellStyle name="20% - Accent6 3 2" xfId="68"/>
    <cellStyle name="20% - Accent6 3 3" xfId="69"/>
    <cellStyle name="20% - Accent6 4" xfId="70"/>
    <cellStyle name="20% - Accent6 4 2" xfId="71"/>
    <cellStyle name="20% - Accent6 4 2 2" xfId="9236"/>
    <cellStyle name="20% - Accent6 4 2 2 2" xfId="21587"/>
    <cellStyle name="20% - Accent6 4 2 3" xfId="15234"/>
    <cellStyle name="20% - Accent6 4 3" xfId="9235"/>
    <cellStyle name="20% - Accent6 4 3 2" xfId="21586"/>
    <cellStyle name="20% - Accent6 4 4" xfId="15233"/>
    <cellStyle name="20% - Accent6 5" xfId="72"/>
    <cellStyle name="20% - Accent6 5 2" xfId="9237"/>
    <cellStyle name="20% - Accent6 5 2 2" xfId="21588"/>
    <cellStyle name="20% - Accent6 5 3" xfId="15235"/>
    <cellStyle name="20% - Accent6 6" xfId="9234"/>
    <cellStyle name="20% - Accent6 6 2" xfId="21585"/>
    <cellStyle name="20% - Accent6 7" xfId="15232"/>
    <cellStyle name="40% - Accent1" xfId="73" builtinId="31" customBuiltin="1"/>
    <cellStyle name="40% - Accent1 2" xfId="74"/>
    <cellStyle name="40% - Accent1 2 2" xfId="75"/>
    <cellStyle name="40% - Accent1 2 3" xfId="76"/>
    <cellStyle name="40% - Accent1 3" xfId="77"/>
    <cellStyle name="40% - Accent1 3 2" xfId="78"/>
    <cellStyle name="40% - Accent1 3 2 2" xfId="79"/>
    <cellStyle name="40% - Accent1 3 3" xfId="80"/>
    <cellStyle name="40% - Accent1 3 4" xfId="81"/>
    <cellStyle name="40% - Accent1 4" xfId="82"/>
    <cellStyle name="40% - Accent1 4 2" xfId="83"/>
    <cellStyle name="40% - Accent1 4 2 2" xfId="9239"/>
    <cellStyle name="40% - Accent1 4 2 2 2" xfId="21590"/>
    <cellStyle name="40% - Accent1 4 2 3" xfId="15237"/>
    <cellStyle name="40% - Accent1 5" xfId="84"/>
    <cellStyle name="40% - Accent1 5 2" xfId="9240"/>
    <cellStyle name="40% - Accent1 5 2 2" xfId="21591"/>
    <cellStyle name="40% - Accent1 5 3" xfId="15238"/>
    <cellStyle name="40% - Accent1 6" xfId="85"/>
    <cellStyle name="40% - Accent1 7" xfId="9238"/>
    <cellStyle name="40% - Accent1 7 2" xfId="21589"/>
    <cellStyle name="40% - Accent1 8" xfId="15236"/>
    <cellStyle name="40% - Accent2" xfId="86" builtinId="35" customBuiltin="1"/>
    <cellStyle name="40% - Accent2 2" xfId="87"/>
    <cellStyle name="40% - Accent2 2 2" xfId="88"/>
    <cellStyle name="40% - Accent2 2 2 2" xfId="9242"/>
    <cellStyle name="40% - Accent2 2 2 2 2" xfId="21593"/>
    <cellStyle name="40% - Accent2 2 2 3" xfId="15240"/>
    <cellStyle name="40% - Accent2 3" xfId="89"/>
    <cellStyle name="40% - Accent2 3 2" xfId="90"/>
    <cellStyle name="40% - Accent2 3 2 2" xfId="9243"/>
    <cellStyle name="40% - Accent2 3 2 2 2" xfId="21594"/>
    <cellStyle name="40% - Accent2 3 2 3" xfId="15241"/>
    <cellStyle name="40% - Accent2 3 3" xfId="91"/>
    <cellStyle name="40% - Accent2 4" xfId="92"/>
    <cellStyle name="40% - Accent2 4 2" xfId="93"/>
    <cellStyle name="40% - Accent2 4 2 2" xfId="9245"/>
    <cellStyle name="40% - Accent2 4 2 2 2" xfId="21596"/>
    <cellStyle name="40% - Accent2 4 2 3" xfId="15243"/>
    <cellStyle name="40% - Accent2 4 3" xfId="9244"/>
    <cellStyle name="40% - Accent2 4 3 2" xfId="21595"/>
    <cellStyle name="40% - Accent2 4 4" xfId="15242"/>
    <cellStyle name="40% - Accent2 5" xfId="94"/>
    <cellStyle name="40% - Accent2 5 2" xfId="9246"/>
    <cellStyle name="40% - Accent2 5 2 2" xfId="21597"/>
    <cellStyle name="40% - Accent2 5 3" xfId="15244"/>
    <cellStyle name="40% - Accent2 6" xfId="9241"/>
    <cellStyle name="40% - Accent2 6 2" xfId="21592"/>
    <cellStyle name="40% - Accent2 7" xfId="15239"/>
    <cellStyle name="40% - Accent3 2" xfId="95"/>
    <cellStyle name="40% - Accent3 2 2" xfId="96"/>
    <cellStyle name="40% - Accent3 2 3" xfId="97"/>
    <cellStyle name="40% - Accent3 3" xfId="98"/>
    <cellStyle name="40% - Accent3 3 2" xfId="99"/>
    <cellStyle name="40% - Accent3 3 3" xfId="100"/>
    <cellStyle name="40% - Accent3 4" xfId="101"/>
    <cellStyle name="40% - Accent3 4 2" xfId="102"/>
    <cellStyle name="40% - Accent3 4 2 2" xfId="9248"/>
    <cellStyle name="40% - Accent3 4 2 2 2" xfId="21599"/>
    <cellStyle name="40% - Accent3 4 2 3" xfId="15246"/>
    <cellStyle name="40% - Accent3 4 3" xfId="9247"/>
    <cellStyle name="40% - Accent3 4 3 2" xfId="21598"/>
    <cellStyle name="40% - Accent3 4 4" xfId="15245"/>
    <cellStyle name="40% - Accent3 5" xfId="103"/>
    <cellStyle name="40% - Accent3 5 2" xfId="9249"/>
    <cellStyle name="40% - Accent3 5 2 2" xfId="21600"/>
    <cellStyle name="40% - Accent3 5 3" xfId="15247"/>
    <cellStyle name="40% - Accent3 6" xfId="104"/>
    <cellStyle name="40% - Accent4" xfId="105" builtinId="43" customBuiltin="1"/>
    <cellStyle name="40% - Accent4 2" xfId="106"/>
    <cellStyle name="40% - Accent4 2 2" xfId="107"/>
    <cellStyle name="40% - Accent4 2 3" xfId="108"/>
    <cellStyle name="40% - Accent4 3" xfId="109"/>
    <cellStyle name="40% - Accent4 3 2" xfId="110"/>
    <cellStyle name="40% - Accent4 3 2 2" xfId="111"/>
    <cellStyle name="40% - Accent4 3 3" xfId="112"/>
    <cellStyle name="40% - Accent4 3 4" xfId="113"/>
    <cellStyle name="40% - Accent4 4" xfId="114"/>
    <cellStyle name="40% - Accent4 4 2" xfId="115"/>
    <cellStyle name="40% - Accent4 4 2 2" xfId="9251"/>
    <cellStyle name="40% - Accent4 4 2 2 2" xfId="21602"/>
    <cellStyle name="40% - Accent4 4 2 3" xfId="15249"/>
    <cellStyle name="40% - Accent4 5" xfId="116"/>
    <cellStyle name="40% - Accent4 5 2" xfId="9252"/>
    <cellStyle name="40% - Accent4 5 2 2" xfId="21603"/>
    <cellStyle name="40% - Accent4 5 3" xfId="15250"/>
    <cellStyle name="40% - Accent4 6" xfId="117"/>
    <cellStyle name="40% - Accent4 7" xfId="9250"/>
    <cellStyle name="40% - Accent4 7 2" xfId="21601"/>
    <cellStyle name="40% - Accent4 8" xfId="15248"/>
    <cellStyle name="40% - Accent5" xfId="118" builtinId="47" customBuiltin="1"/>
    <cellStyle name="40% - Accent5 2" xfId="119"/>
    <cellStyle name="40% - Accent5 2 2" xfId="120"/>
    <cellStyle name="40% - Accent5 2 3" xfId="121"/>
    <cellStyle name="40% - Accent5 3" xfId="122"/>
    <cellStyle name="40% - Accent5 3 2" xfId="123"/>
    <cellStyle name="40% - Accent5 3 3" xfId="124"/>
    <cellStyle name="40% - Accent5 4" xfId="125"/>
    <cellStyle name="40% - Accent5 4 2" xfId="126"/>
    <cellStyle name="40% - Accent5 4 2 2" xfId="9255"/>
    <cellStyle name="40% - Accent5 4 2 2 2" xfId="21606"/>
    <cellStyle name="40% - Accent5 4 2 3" xfId="15253"/>
    <cellStyle name="40% - Accent5 4 3" xfId="9254"/>
    <cellStyle name="40% - Accent5 4 3 2" xfId="21605"/>
    <cellStyle name="40% - Accent5 4 4" xfId="15252"/>
    <cellStyle name="40% - Accent5 5" xfId="127"/>
    <cellStyle name="40% - Accent5 5 2" xfId="9256"/>
    <cellStyle name="40% - Accent5 5 2 2" xfId="21607"/>
    <cellStyle name="40% - Accent5 5 3" xfId="15254"/>
    <cellStyle name="40% - Accent5 6" xfId="9253"/>
    <cellStyle name="40% - Accent5 6 2" xfId="21604"/>
    <cellStyle name="40% - Accent5 7" xfId="15251"/>
    <cellStyle name="40% - Accent6" xfId="128" builtinId="51" customBuiltin="1"/>
    <cellStyle name="40% - Accent6 2" xfId="129"/>
    <cellStyle name="40% - Accent6 2 2" xfId="130"/>
    <cellStyle name="40% - Accent6 2 2 2" xfId="131"/>
    <cellStyle name="40% - Accent6 2 3" xfId="132"/>
    <cellStyle name="40% - Accent6 3" xfId="133"/>
    <cellStyle name="40% - Accent6 3 2" xfId="134"/>
    <cellStyle name="40% - Accent6 3 2 2" xfId="135"/>
    <cellStyle name="40% - Accent6 3 3" xfId="136"/>
    <cellStyle name="40% - Accent6 3 4" xfId="137"/>
    <cellStyle name="40% - Accent6 4" xfId="138"/>
    <cellStyle name="40% - Accent6 4 2" xfId="139"/>
    <cellStyle name="40% - Accent6 4 2 2" xfId="9258"/>
    <cellStyle name="40% - Accent6 4 2 2 2" xfId="21609"/>
    <cellStyle name="40% - Accent6 4 2 3" xfId="15256"/>
    <cellStyle name="40% - Accent6 5" xfId="140"/>
    <cellStyle name="40% - Accent6 5 2" xfId="9259"/>
    <cellStyle name="40% - Accent6 5 2 2" xfId="21610"/>
    <cellStyle name="40% - Accent6 5 3" xfId="15257"/>
    <cellStyle name="40% - Accent6 6" xfId="141"/>
    <cellStyle name="40% - Accent6 7" xfId="9257"/>
    <cellStyle name="40% - Accent6 7 2" xfId="21608"/>
    <cellStyle name="40% - Accent6 8" xfId="15255"/>
    <cellStyle name="60% - Accent1" xfId="142" builtinId="32" customBuiltin="1"/>
    <cellStyle name="60% - Accent1 2" xfId="143"/>
    <cellStyle name="60% - Accent1 2 2" xfId="144"/>
    <cellStyle name="60% - Accent1 2 2 2" xfId="145"/>
    <cellStyle name="60% - Accent1 2 3" xfId="146"/>
    <cellStyle name="60% - Accent1 2 4" xfId="147"/>
    <cellStyle name="60% - Accent1 2 4 2" xfId="148"/>
    <cellStyle name="60% - Accent1 3" xfId="149"/>
    <cellStyle name="60% - Accent1 3 2" xfId="150"/>
    <cellStyle name="60% - Accent1 3 3" xfId="151"/>
    <cellStyle name="60% - Accent1 3 4" xfId="152"/>
    <cellStyle name="60% - Accent1 4" xfId="153"/>
    <cellStyle name="60% - Accent1 4 2" xfId="154"/>
    <cellStyle name="60% - Accent2" xfId="155" builtinId="36" customBuiltin="1"/>
    <cellStyle name="60% - Accent2 2" xfId="156"/>
    <cellStyle name="60% - Accent2 2 2" xfId="157"/>
    <cellStyle name="60% - Accent2 2 3" xfId="158"/>
    <cellStyle name="60% - Accent2 3" xfId="159"/>
    <cellStyle name="60% - Accent2 3 2" xfId="160"/>
    <cellStyle name="60% - Accent2 3 3" xfId="161"/>
    <cellStyle name="60% - Accent2 4" xfId="162"/>
    <cellStyle name="60% - Accent3 2" xfId="163"/>
    <cellStyle name="60% - Accent3 2 2" xfId="164"/>
    <cellStyle name="60% - Accent3 2 3" xfId="165"/>
    <cellStyle name="60% - Accent3 3" xfId="166"/>
    <cellStyle name="60% - Accent3 3 2" xfId="167"/>
    <cellStyle name="60% - Accent3 3 3" xfId="168"/>
    <cellStyle name="60% - Accent3 3 4" xfId="169"/>
    <cellStyle name="60% - Accent3 4" xfId="170"/>
    <cellStyle name="60% - Accent3 4 2" xfId="171"/>
    <cellStyle name="60% - Accent3 4 3" xfId="172"/>
    <cellStyle name="60% - Accent3 4 4" xfId="173"/>
    <cellStyle name="60% - Accent4 2" xfId="174"/>
    <cellStyle name="60% - Accent4 2 2" xfId="175"/>
    <cellStyle name="60% - Accent4 2 3" xfId="176"/>
    <cellStyle name="60% - Accent4 3" xfId="177"/>
    <cellStyle name="60% - Accent4 3 2" xfId="178"/>
    <cellStyle name="60% - Accent4 3 3" xfId="179"/>
    <cellStyle name="60% - Accent4 3 4" xfId="180"/>
    <cellStyle name="60% - Accent4 4" xfId="181"/>
    <cellStyle name="60% - Accent4 4 2" xfId="182"/>
    <cellStyle name="60% - Accent4 4 3" xfId="183"/>
    <cellStyle name="60% - Accent4 4 4" xfId="184"/>
    <cellStyle name="60% - Accent5" xfId="185" builtinId="48" customBuiltin="1"/>
    <cellStyle name="60% - Accent5 2" xfId="186"/>
    <cellStyle name="60% - Accent5 2 2" xfId="187"/>
    <cellStyle name="60% - Accent5 2 2 2" xfId="188"/>
    <cellStyle name="60% - Accent5 2 3" xfId="189"/>
    <cellStyle name="60% - Accent5 2 4" xfId="190"/>
    <cellStyle name="60% - Accent5 2 4 2" xfId="191"/>
    <cellStyle name="60% - Accent5 3" xfId="192"/>
    <cellStyle name="60% - Accent5 3 2" xfId="193"/>
    <cellStyle name="60% - Accent5 3 3" xfId="194"/>
    <cellStyle name="60% - Accent5 4" xfId="195"/>
    <cellStyle name="60% - Accent6 2" xfId="196"/>
    <cellStyle name="60% - Accent6 2 2" xfId="197"/>
    <cellStyle name="60% - Accent6 2 3" xfId="198"/>
    <cellStyle name="60% - Accent6 3" xfId="199"/>
    <cellStyle name="60% - Accent6 3 2" xfId="200"/>
    <cellStyle name="60% - Accent6 3 3" xfId="201"/>
    <cellStyle name="60% - Accent6 4" xfId="202"/>
    <cellStyle name="Accent1" xfId="203" builtinId="29" customBuiltin="1"/>
    <cellStyle name="Accent1 2" xfId="204"/>
    <cellStyle name="Accent1 2 2" xfId="205"/>
    <cellStyle name="Accent1 2 2 2" xfId="206"/>
    <cellStyle name="Accent1 2 3" xfId="207"/>
    <cellStyle name="Accent1 2 4" xfId="208"/>
    <cellStyle name="Accent1 2 4 2" xfId="209"/>
    <cellStyle name="Accent1 3" xfId="210"/>
    <cellStyle name="Accent1 3 2" xfId="211"/>
    <cellStyle name="Accent1 3 3" xfId="212"/>
    <cellStyle name="Accent1 3 4" xfId="213"/>
    <cellStyle name="Accent1 4" xfId="214"/>
    <cellStyle name="Accent1 4 2" xfId="215"/>
    <cellStyle name="Accent2" xfId="216" builtinId="33" customBuiltin="1"/>
    <cellStyle name="Accent2 2" xfId="217"/>
    <cellStyle name="Accent2 2 2" xfId="218"/>
    <cellStyle name="Accent2 2 3" xfId="219"/>
    <cellStyle name="Accent2 3" xfId="220"/>
    <cellStyle name="Accent2 3 2" xfId="221"/>
    <cellStyle name="Accent2 3 3" xfId="222"/>
    <cellStyle name="Accent2 4" xfId="223"/>
    <cellStyle name="Accent3" xfId="224" builtinId="37" customBuiltin="1"/>
    <cellStyle name="Accent3 2" xfId="225"/>
    <cellStyle name="Accent3 2 2" xfId="226"/>
    <cellStyle name="Accent3 2 3" xfId="227"/>
    <cellStyle name="Accent3 2 4" xfId="228"/>
    <cellStyle name="Accent3 2 4 2" xfId="229"/>
    <cellStyle name="Accent3 3" xfId="230"/>
    <cellStyle name="Accent3 3 2" xfId="231"/>
    <cellStyle name="Accent3 3 3" xfId="232"/>
    <cellStyle name="Accent3 4" xfId="233"/>
    <cellStyle name="Accent4" xfId="234" builtinId="41" customBuiltin="1"/>
    <cellStyle name="Accent4 2" xfId="235"/>
    <cellStyle name="Accent4 2 2" xfId="236"/>
    <cellStyle name="Accent4 2 2 2" xfId="237"/>
    <cellStyle name="Accent4 2 2 3" xfId="238"/>
    <cellStyle name="Accent4 2 3" xfId="239"/>
    <cellStyle name="Accent4 2 3 2" xfId="240"/>
    <cellStyle name="Accent4 3" xfId="241"/>
    <cellStyle name="Accent4 3 2" xfId="242"/>
    <cellStyle name="Accent4 3 3" xfId="243"/>
    <cellStyle name="Accent4 4" xfId="244"/>
    <cellStyle name="Accent5" xfId="245" builtinId="45" customBuiltin="1"/>
    <cellStyle name="Accent5 2" xfId="246"/>
    <cellStyle name="Accent5 2 2" xfId="247"/>
    <cellStyle name="Accent5 2 2 2" xfId="248"/>
    <cellStyle name="Accent5 2 2 3" xfId="249"/>
    <cellStyle name="Accent5 2 3" xfId="250"/>
    <cellStyle name="Accent5 2 3 2" xfId="251"/>
    <cellStyle name="Accent5 2 4" xfId="252"/>
    <cellStyle name="Accent5 3" xfId="253"/>
    <cellStyle name="Accent5 4" xfId="254"/>
    <cellStyle name="Accent6" xfId="255" builtinId="49" customBuiltin="1"/>
    <cellStyle name="Accent6 2" xfId="256"/>
    <cellStyle name="Accent6 2 2" xfId="257"/>
    <cellStyle name="Accent6 2 3" xfId="258"/>
    <cellStyle name="Accent6 2 4" xfId="259"/>
    <cellStyle name="Accent6 2 4 2" xfId="260"/>
    <cellStyle name="Accent6 3" xfId="261"/>
    <cellStyle name="Accent6 3 2" xfId="262"/>
    <cellStyle name="Accent6 3 3" xfId="263"/>
    <cellStyle name="Accent6 4" xfId="264"/>
    <cellStyle name="Accounting" xfId="265"/>
    <cellStyle name="Accounting 2" xfId="266"/>
    <cellStyle name="Accounting 2 2" xfId="267"/>
    <cellStyle name="Accounting 3" xfId="268"/>
    <cellStyle name="Accounting 3 2" xfId="269"/>
    <cellStyle name="Accounting 4" xfId="270"/>
    <cellStyle name="Accounting_2011-11" xfId="271"/>
    <cellStyle name="APS" xfId="272"/>
    <cellStyle name="APSLabels" xfId="273"/>
    <cellStyle name="APSLabels 2" xfId="274"/>
    <cellStyle name="APSLabels 2 2" xfId="275"/>
    <cellStyle name="APSLabels 3" xfId="276"/>
    <cellStyle name="APSLabels 4" xfId="277"/>
    <cellStyle name="Bad" xfId="278" builtinId="27" customBuiltin="1"/>
    <cellStyle name="Bad 2" xfId="279"/>
    <cellStyle name="Bad 2 2" xfId="280"/>
    <cellStyle name="Bad 2 3" xfId="281"/>
    <cellStyle name="Bad 3" xfId="282"/>
    <cellStyle name="Bad 3 2" xfId="283"/>
    <cellStyle name="Bad 3 3" xfId="284"/>
    <cellStyle name="Bad 4" xfId="285"/>
    <cellStyle name="Budget" xfId="286"/>
    <cellStyle name="Budget 2" xfId="287"/>
    <cellStyle name="Budget 3" xfId="288"/>
    <cellStyle name="Budget_2011-11" xfId="289"/>
    <cellStyle name="Calculation" xfId="290" builtinId="22" customBuiltin="1"/>
    <cellStyle name="Calculation 2" xfId="291"/>
    <cellStyle name="Calculation 2 2" xfId="292"/>
    <cellStyle name="Calculation 2 2 2" xfId="293"/>
    <cellStyle name="Calculation 2 2 2 2" xfId="294"/>
    <cellStyle name="Calculation 2 2 2 2 2" xfId="15261"/>
    <cellStyle name="Calculation 2 2 2 2 3" xfId="22827"/>
    <cellStyle name="Calculation 2 2 2 2 4" xfId="22964"/>
    <cellStyle name="Calculation 2 2 2 3" xfId="295"/>
    <cellStyle name="Calculation 2 2 2 3 2" xfId="15262"/>
    <cellStyle name="Calculation 2 2 2 3 3" xfId="22824"/>
    <cellStyle name="Calculation 2 2 2 3 4" xfId="22909"/>
    <cellStyle name="Calculation 2 2 2 4" xfId="296"/>
    <cellStyle name="Calculation 2 2 2 4 2" xfId="15263"/>
    <cellStyle name="Calculation 2 2 2 4 3" xfId="22825"/>
    <cellStyle name="Calculation 2 2 2 4 4" xfId="22908"/>
    <cellStyle name="Calculation 2 2 2 5" xfId="297"/>
    <cellStyle name="Calculation 2 2 2 5 2" xfId="15264"/>
    <cellStyle name="Calculation 2 2 2 5 3" xfId="22818"/>
    <cellStyle name="Calculation 2 2 2 5 4" xfId="22963"/>
    <cellStyle name="Calculation 2 2 2 6" xfId="15260"/>
    <cellStyle name="Calculation 2 2 2 7" xfId="22826"/>
    <cellStyle name="Calculation 2 2 2 8" xfId="22910"/>
    <cellStyle name="Calculation 2 2 3" xfId="298"/>
    <cellStyle name="Calculation 2 2 3 2" xfId="299"/>
    <cellStyle name="Calculation 2 2 3 2 2" xfId="15266"/>
    <cellStyle name="Calculation 2 2 3 2 3" xfId="22821"/>
    <cellStyle name="Calculation 2 2 3 2 4" xfId="22906"/>
    <cellStyle name="Calculation 2 2 3 3" xfId="300"/>
    <cellStyle name="Calculation 2 2 3 3 2" xfId="15267"/>
    <cellStyle name="Calculation 2 2 3 3 3" xfId="22822"/>
    <cellStyle name="Calculation 2 2 3 3 4" xfId="22962"/>
    <cellStyle name="Calculation 2 2 3 4" xfId="301"/>
    <cellStyle name="Calculation 2 2 3 4 2" xfId="15268"/>
    <cellStyle name="Calculation 2 2 3 4 3" xfId="22819"/>
    <cellStyle name="Calculation 2 2 3 4 4" xfId="22905"/>
    <cellStyle name="Calculation 2 2 3 5" xfId="302"/>
    <cellStyle name="Calculation 2 2 3 5 2" xfId="15269"/>
    <cellStyle name="Calculation 2 2 3 5 3" xfId="22820"/>
    <cellStyle name="Calculation 2 2 3 5 4" xfId="22904"/>
    <cellStyle name="Calculation 2 2 3 6" xfId="15265"/>
    <cellStyle name="Calculation 2 2 3 7" xfId="22823"/>
    <cellStyle name="Calculation 2 2 3 8" xfId="22907"/>
    <cellStyle name="Calculation 2 2 4" xfId="15259"/>
    <cellStyle name="Calculation 2 2 5" xfId="22828"/>
    <cellStyle name="Calculation 2 2 6" xfId="22911"/>
    <cellStyle name="Calculation 2 3" xfId="303"/>
    <cellStyle name="Calculation 2 3 2" xfId="304"/>
    <cellStyle name="Calculation 2 3 2 2" xfId="305"/>
    <cellStyle name="Calculation 2 3 2 2 2" xfId="15272"/>
    <cellStyle name="Calculation 2 3 2 2 3" xfId="22814"/>
    <cellStyle name="Calculation 2 3 2 2 4" xfId="22902"/>
    <cellStyle name="Calculation 2 3 2 3" xfId="306"/>
    <cellStyle name="Calculation 2 3 2 3 2" xfId="15273"/>
    <cellStyle name="Calculation 2 3 2 3 3" xfId="22815"/>
    <cellStyle name="Calculation 2 3 2 3 4" xfId="22960"/>
    <cellStyle name="Calculation 2 3 2 4" xfId="307"/>
    <cellStyle name="Calculation 2 3 2 4 2" xfId="15274"/>
    <cellStyle name="Calculation 2 3 2 4 3" xfId="22812"/>
    <cellStyle name="Calculation 2 3 2 4 4" xfId="22901"/>
    <cellStyle name="Calculation 2 3 2 5" xfId="308"/>
    <cellStyle name="Calculation 2 3 2 5 2" xfId="15275"/>
    <cellStyle name="Calculation 2 3 2 5 3" xfId="22813"/>
    <cellStyle name="Calculation 2 3 2 5 4" xfId="22900"/>
    <cellStyle name="Calculation 2 3 2 6" xfId="15271"/>
    <cellStyle name="Calculation 2 3 2 7" xfId="22816"/>
    <cellStyle name="Calculation 2 3 2 8" xfId="22903"/>
    <cellStyle name="Calculation 2 3 3" xfId="309"/>
    <cellStyle name="Calculation 2 3 3 2" xfId="15276"/>
    <cellStyle name="Calculation 2 3 3 3" xfId="22806"/>
    <cellStyle name="Calculation 2 3 3 4" xfId="22959"/>
    <cellStyle name="Calculation 2 3 4" xfId="15270"/>
    <cellStyle name="Calculation 2 3 5" xfId="22793"/>
    <cellStyle name="Calculation 2 3 6" xfId="22961"/>
    <cellStyle name="Calculation 2 4" xfId="310"/>
    <cellStyle name="Calculation 2 4 2" xfId="311"/>
    <cellStyle name="Calculation 2 4 2 2" xfId="312"/>
    <cellStyle name="Calculation 2 4 2 2 2" xfId="15279"/>
    <cellStyle name="Calculation 2 4 2 2 3" xfId="22810"/>
    <cellStyle name="Calculation 2 4 2 2 4" xfId="22958"/>
    <cellStyle name="Calculation 2 4 2 3" xfId="313"/>
    <cellStyle name="Calculation 2 4 2 3 2" xfId="15280"/>
    <cellStyle name="Calculation 2 4 2 3 3" xfId="22807"/>
    <cellStyle name="Calculation 2 4 2 3 4" xfId="22897"/>
    <cellStyle name="Calculation 2 4 2 4" xfId="314"/>
    <cellStyle name="Calculation 2 4 2 4 2" xfId="15281"/>
    <cellStyle name="Calculation 2 4 2 4 3" xfId="22808"/>
    <cellStyle name="Calculation 2 4 2 4 4" xfId="22896"/>
    <cellStyle name="Calculation 2 4 2 5" xfId="315"/>
    <cellStyle name="Calculation 2 4 2 5 2" xfId="15282"/>
    <cellStyle name="Calculation 2 4 2 5 3" xfId="22794"/>
    <cellStyle name="Calculation 2 4 2 5 4" xfId="22957"/>
    <cellStyle name="Calculation 2 4 2 6" xfId="15278"/>
    <cellStyle name="Calculation 2 4 2 7" xfId="22809"/>
    <cellStyle name="Calculation 2 4 2 8" xfId="22898"/>
    <cellStyle name="Calculation 2 4 3" xfId="316"/>
    <cellStyle name="Calculation 2 4 3 2" xfId="15283"/>
    <cellStyle name="Calculation 2 4 3 3" xfId="22805"/>
    <cellStyle name="Calculation 2 4 3 4" xfId="22895"/>
    <cellStyle name="Calculation 2 4 4" xfId="317"/>
    <cellStyle name="Calculation 2 4 4 2" xfId="15284"/>
    <cellStyle name="Calculation 2 4 4 3" xfId="22803"/>
    <cellStyle name="Calculation 2 4 4 4" xfId="22894"/>
    <cellStyle name="Calculation 2 4 5" xfId="15277"/>
    <cellStyle name="Calculation 2 4 6" xfId="22811"/>
    <cellStyle name="Calculation 2 4 7" xfId="22899"/>
    <cellStyle name="Calculation 2 5" xfId="318"/>
    <cellStyle name="Calculation 2 5 2" xfId="319"/>
    <cellStyle name="Calculation 2 5 2 2" xfId="15286"/>
    <cellStyle name="Calculation 2 5 2 3" xfId="22801"/>
    <cellStyle name="Calculation 2 5 2 4" xfId="22893"/>
    <cellStyle name="Calculation 2 5 3" xfId="320"/>
    <cellStyle name="Calculation 2 5 3 2" xfId="15287"/>
    <cellStyle name="Calculation 2 5 3 3" xfId="22802"/>
    <cellStyle name="Calculation 2 5 3 4" xfId="22955"/>
    <cellStyle name="Calculation 2 5 4" xfId="321"/>
    <cellStyle name="Calculation 2 5 4 2" xfId="15288"/>
    <cellStyle name="Calculation 2 5 4 3" xfId="22795"/>
    <cellStyle name="Calculation 2 5 4 4" xfId="22892"/>
    <cellStyle name="Calculation 2 5 5" xfId="322"/>
    <cellStyle name="Calculation 2 5 5 2" xfId="15289"/>
    <cellStyle name="Calculation 2 5 5 3" xfId="22800"/>
    <cellStyle name="Calculation 2 5 5 4" xfId="22954"/>
    <cellStyle name="Calculation 2 5 6" xfId="15285"/>
    <cellStyle name="Calculation 2 5 7" xfId="22804"/>
    <cellStyle name="Calculation 2 5 8" xfId="22956"/>
    <cellStyle name="Calculation 2 6" xfId="323"/>
    <cellStyle name="Calculation 2 6 2" xfId="15290"/>
    <cellStyle name="Calculation 2 6 3" xfId="22798"/>
    <cellStyle name="Calculation 2 6 4" xfId="22891"/>
    <cellStyle name="Calculation 2 7" xfId="15258"/>
    <cellStyle name="Calculation 2 8" xfId="22817"/>
    <cellStyle name="Calculation 2 9" xfId="22912"/>
    <cellStyle name="Calculation 3" xfId="324"/>
    <cellStyle name="Calculation 3 2" xfId="325"/>
    <cellStyle name="Calculation 3 2 2" xfId="326"/>
    <cellStyle name="Calculation 3 2 2 2" xfId="327"/>
    <cellStyle name="Calculation 3 2 2 2 2" xfId="15294"/>
    <cellStyle name="Calculation 3 2 2 2 3" xfId="22760"/>
    <cellStyle name="Calculation 3 2 2 2 4" xfId="22888"/>
    <cellStyle name="Calculation 3 2 2 3" xfId="328"/>
    <cellStyle name="Calculation 3 2 2 3 2" xfId="15295"/>
    <cellStyle name="Calculation 3 2 2 3 3" xfId="22792"/>
    <cellStyle name="Calculation 3 2 2 3 4" xfId="22950"/>
    <cellStyle name="Calculation 3 2 2 4" xfId="329"/>
    <cellStyle name="Calculation 3 2 2 4 2" xfId="15296"/>
    <cellStyle name="Calculation 3 2 2 4 3" xfId="22790"/>
    <cellStyle name="Calculation 3 2 2 4 4" xfId="22887"/>
    <cellStyle name="Calculation 3 2 2 5" xfId="330"/>
    <cellStyle name="Calculation 3 2 2 5 2" xfId="15297"/>
    <cellStyle name="Calculation 3 2 2 5 3" xfId="22791"/>
    <cellStyle name="Calculation 3 2 2 5 4" xfId="22951"/>
    <cellStyle name="Calculation 3 2 2 6" xfId="15293"/>
    <cellStyle name="Calculation 3 2 2 7" xfId="22797"/>
    <cellStyle name="Calculation 3 2 2 8" xfId="22889"/>
    <cellStyle name="Calculation 3 2 3" xfId="331"/>
    <cellStyle name="Calculation 3 2 3 2" xfId="332"/>
    <cellStyle name="Calculation 3 2 3 2 2" xfId="15299"/>
    <cellStyle name="Calculation 3 2 3 2 3" xfId="22789"/>
    <cellStyle name="Calculation 3 2 3 2 4" xfId="22886"/>
    <cellStyle name="Calculation 3 2 3 3" xfId="333"/>
    <cellStyle name="Calculation 3 2 3 3 2" xfId="15300"/>
    <cellStyle name="Calculation 3 2 3 3 3" xfId="22782"/>
    <cellStyle name="Calculation 3 2 3 3 4" xfId="22885"/>
    <cellStyle name="Calculation 3 2 3 4" xfId="334"/>
    <cellStyle name="Calculation 3 2 3 4 2" xfId="15301"/>
    <cellStyle name="Calculation 3 2 3 4 3" xfId="22787"/>
    <cellStyle name="Calculation 3 2 3 4 4" xfId="22884"/>
    <cellStyle name="Calculation 3 2 3 5" xfId="335"/>
    <cellStyle name="Calculation 3 2 3 5 2" xfId="15302"/>
    <cellStyle name="Calculation 3 2 3 5 3" xfId="22785"/>
    <cellStyle name="Calculation 3 2 3 5 4" xfId="22949"/>
    <cellStyle name="Calculation 3 2 3 6" xfId="15298"/>
    <cellStyle name="Calculation 3 2 3 7" xfId="22788"/>
    <cellStyle name="Calculation 3 2 3 8" xfId="22952"/>
    <cellStyle name="Calculation 3 2 4" xfId="15292"/>
    <cellStyle name="Calculation 3 2 5" xfId="22796"/>
    <cellStyle name="Calculation 3 2 6" xfId="22953"/>
    <cellStyle name="Calculation 3 3" xfId="336"/>
    <cellStyle name="Calculation 3 3 2" xfId="337"/>
    <cellStyle name="Calculation 3 3 2 2" xfId="338"/>
    <cellStyle name="Calculation 3 3 2 2 2" xfId="15305"/>
    <cellStyle name="Calculation 3 3 2 2 3" xfId="22784"/>
    <cellStyle name="Calculation 3 3 2 2 4" xfId="22948"/>
    <cellStyle name="Calculation 3 3 2 3" xfId="339"/>
    <cellStyle name="Calculation 3 3 2 3 2" xfId="15306"/>
    <cellStyle name="Calculation 3 3 2 3 3" xfId="22770"/>
    <cellStyle name="Calculation 3 3 2 3 4" xfId="22881"/>
    <cellStyle name="Calculation 3 3 2 4" xfId="340"/>
    <cellStyle name="Calculation 3 3 2 4 2" xfId="15307"/>
    <cellStyle name="Calculation 3 3 2 4 3" xfId="22781"/>
    <cellStyle name="Calculation 3 3 2 4 4" xfId="22880"/>
    <cellStyle name="Calculation 3 3 2 5" xfId="341"/>
    <cellStyle name="Calculation 3 3 2 5 2" xfId="15308"/>
    <cellStyle name="Calculation 3 3 2 5 3" xfId="22779"/>
    <cellStyle name="Calculation 3 3 2 5 4" xfId="22947"/>
    <cellStyle name="Calculation 3 3 2 6" xfId="15304"/>
    <cellStyle name="Calculation 3 3 2 7" xfId="22783"/>
    <cellStyle name="Calculation 3 3 2 8" xfId="22882"/>
    <cellStyle name="Calculation 3 3 3" xfId="342"/>
    <cellStyle name="Calculation 3 3 3 2" xfId="15309"/>
    <cellStyle name="Calculation 3 3 3 3" xfId="22780"/>
    <cellStyle name="Calculation 3 3 3 4" xfId="22879"/>
    <cellStyle name="Calculation 3 3 4" xfId="15303"/>
    <cellStyle name="Calculation 3 3 5" xfId="22786"/>
    <cellStyle name="Calculation 3 3 6" xfId="22883"/>
    <cellStyle name="Calculation 3 4" xfId="343"/>
    <cellStyle name="Calculation 3 4 2" xfId="344"/>
    <cellStyle name="Calculation 3 4 2 2" xfId="15311"/>
    <cellStyle name="Calculation 3 4 2 3" xfId="22778"/>
    <cellStyle name="Calculation 3 4 2 4" xfId="22877"/>
    <cellStyle name="Calculation 3 4 3" xfId="345"/>
    <cellStyle name="Calculation 3 4 3 2" xfId="15312"/>
    <cellStyle name="Calculation 3 4 3 3" xfId="22771"/>
    <cellStyle name="Calculation 3 4 3 4" xfId="22876"/>
    <cellStyle name="Calculation 3 4 4" xfId="346"/>
    <cellStyle name="Calculation 3 4 4 2" xfId="15313"/>
    <cellStyle name="Calculation 3 4 4 3" xfId="22776"/>
    <cellStyle name="Calculation 3 4 4 4" xfId="22944"/>
    <cellStyle name="Calculation 3 4 5" xfId="347"/>
    <cellStyle name="Calculation 3 4 5 2" xfId="15314"/>
    <cellStyle name="Calculation 3 4 5 3" xfId="22774"/>
    <cellStyle name="Calculation 3 4 5 4" xfId="22875"/>
    <cellStyle name="Calculation 3 4 6" xfId="15310"/>
    <cellStyle name="Calculation 3 4 7" xfId="22777"/>
    <cellStyle name="Calculation 3 4 8" xfId="22878"/>
    <cellStyle name="Calculation 3 5" xfId="348"/>
    <cellStyle name="Calculation 3 5 2" xfId="349"/>
    <cellStyle name="Calculation 3 5 2 2" xfId="15316"/>
    <cellStyle name="Calculation 3 5 2 3" xfId="22772"/>
    <cellStyle name="Calculation 3 5 2 4" xfId="22874"/>
    <cellStyle name="Calculation 3 5 3" xfId="350"/>
    <cellStyle name="Calculation 3 5 3 2" xfId="15317"/>
    <cellStyle name="Calculation 3 5 3 3" xfId="22773"/>
    <cellStyle name="Calculation 3 5 3 4" xfId="22873"/>
    <cellStyle name="Calculation 3 5 4" xfId="351"/>
    <cellStyle name="Calculation 3 5 4 2" xfId="15318"/>
    <cellStyle name="Calculation 3 5 4 3" xfId="22761"/>
    <cellStyle name="Calculation 3 5 4 4" xfId="22945"/>
    <cellStyle name="Calculation 3 5 5" xfId="352"/>
    <cellStyle name="Calculation 3 5 5 2" xfId="15319"/>
    <cellStyle name="Calculation 3 5 5 3" xfId="22769"/>
    <cellStyle name="Calculation 3 5 5 4" xfId="22872"/>
    <cellStyle name="Calculation 3 5 6" xfId="15315"/>
    <cellStyle name="Calculation 3 5 7" xfId="22775"/>
    <cellStyle name="Calculation 3 5 8" xfId="22946"/>
    <cellStyle name="Calculation 3 6" xfId="15291"/>
    <cellStyle name="Calculation 3 7" xfId="22799"/>
    <cellStyle name="Calculation 3 8" xfId="22890"/>
    <cellStyle name="Calculation 4" xfId="353"/>
    <cellStyle name="Calculation 4 2" xfId="354"/>
    <cellStyle name="Calculation 4 3" xfId="355"/>
    <cellStyle name="Calculation 4 3 2" xfId="356"/>
    <cellStyle name="Calculation 4 3 2 2" xfId="15322"/>
    <cellStyle name="Calculation 4 3 2 3" xfId="22767"/>
    <cellStyle name="Calculation 4 3 2 4" xfId="22943"/>
    <cellStyle name="Calculation 4 3 3" xfId="357"/>
    <cellStyle name="Calculation 4 3 3 2" xfId="15323"/>
    <cellStyle name="Calculation 4 3 3 3" xfId="22762"/>
    <cellStyle name="Calculation 4 3 3 4" xfId="22869"/>
    <cellStyle name="Calculation 4 3 4" xfId="358"/>
    <cellStyle name="Calculation 4 3 4 2" xfId="15324"/>
    <cellStyle name="Calculation 4 3 4 3" xfId="22765"/>
    <cellStyle name="Calculation 4 3 4 4" xfId="22868"/>
    <cellStyle name="Calculation 4 3 5" xfId="359"/>
    <cellStyle name="Calculation 4 3 5 2" xfId="15325"/>
    <cellStyle name="Calculation 4 3 5 3" xfId="22763"/>
    <cellStyle name="Calculation 4 3 5 4" xfId="22942"/>
    <cellStyle name="Calculation 4 3 6" xfId="15321"/>
    <cellStyle name="Calculation 4 3 7" xfId="22766"/>
    <cellStyle name="Calculation 4 3 8" xfId="22870"/>
    <cellStyle name="Calculation 4 4" xfId="360"/>
    <cellStyle name="Calculation 4 4 2" xfId="15326"/>
    <cellStyle name="Calculation 4 4 3" xfId="22764"/>
    <cellStyle name="Calculation 4 4 4" xfId="22867"/>
    <cellStyle name="Calculation 4 5" xfId="15320"/>
    <cellStyle name="Calculation 4 6" xfId="22768"/>
    <cellStyle name="Calculation 4 7" xfId="22871"/>
    <cellStyle name="Check Cell" xfId="361" builtinId="23" customBuiltin="1"/>
    <cellStyle name="Check Cell 2" xfId="362"/>
    <cellStyle name="Check Cell 2 2" xfId="363"/>
    <cellStyle name="Check Cell 2 2 2" xfId="364"/>
    <cellStyle name="Check Cell 2 3" xfId="365"/>
    <cellStyle name="Check Cell 2 4" xfId="366"/>
    <cellStyle name="Check Cell 3" xfId="367"/>
    <cellStyle name="Check Cell 4" xfId="368"/>
    <cellStyle name="Color" xfId="369"/>
    <cellStyle name="combo" xfId="370"/>
    <cellStyle name="Comma" xfId="371" builtinId="3"/>
    <cellStyle name="Comma 10" xfId="372"/>
    <cellStyle name="Comma 10 2" xfId="373"/>
    <cellStyle name="Comma 11" xfId="374"/>
    <cellStyle name="Comma 11 2" xfId="375"/>
    <cellStyle name="Comma 11 2 2" xfId="376"/>
    <cellStyle name="Comma 11 2 2 2" xfId="377"/>
    <cellStyle name="Comma 11 2 2 2 2" xfId="378"/>
    <cellStyle name="Comma 11 2 2 2 2 2" xfId="379"/>
    <cellStyle name="Comma 11 2 2 2 2 2 2" xfId="380"/>
    <cellStyle name="Comma 11 2 2 2 2 3" xfId="381"/>
    <cellStyle name="Comma 11 2 2 2 2 3 2" xfId="382"/>
    <cellStyle name="Comma 11 2 2 2 2 4" xfId="383"/>
    <cellStyle name="Comma 11 2 2 2 3" xfId="384"/>
    <cellStyle name="Comma 11 2 2 2 3 2" xfId="385"/>
    <cellStyle name="Comma 11 2 2 2 4" xfId="386"/>
    <cellStyle name="Comma 11 2 2 2 4 2" xfId="387"/>
    <cellStyle name="Comma 11 2 2 2 5" xfId="388"/>
    <cellStyle name="Comma 11 2 2 3" xfId="389"/>
    <cellStyle name="Comma 11 2 2 3 2" xfId="390"/>
    <cellStyle name="Comma 11 2 2 3 2 2" xfId="391"/>
    <cellStyle name="Comma 11 2 2 3 3" xfId="392"/>
    <cellStyle name="Comma 11 2 2 3 3 2" xfId="393"/>
    <cellStyle name="Comma 11 2 2 3 4" xfId="394"/>
    <cellStyle name="Comma 11 2 2 4" xfId="395"/>
    <cellStyle name="Comma 11 2 2 4 2" xfId="396"/>
    <cellStyle name="Comma 11 2 2 5" xfId="397"/>
    <cellStyle name="Comma 11 2 2 5 2" xfId="398"/>
    <cellStyle name="Comma 11 2 2 6" xfId="399"/>
    <cellStyle name="Comma 11 2 3" xfId="400"/>
    <cellStyle name="Comma 11 2 3 2" xfId="401"/>
    <cellStyle name="Comma 11 2 3 2 2" xfId="402"/>
    <cellStyle name="Comma 11 2 3 2 2 2" xfId="403"/>
    <cellStyle name="Comma 11 2 3 2 3" xfId="404"/>
    <cellStyle name="Comma 11 2 3 2 3 2" xfId="405"/>
    <cellStyle name="Comma 11 2 3 2 4" xfId="406"/>
    <cellStyle name="Comma 11 2 3 3" xfId="407"/>
    <cellStyle name="Comma 11 2 3 3 2" xfId="408"/>
    <cellStyle name="Comma 11 2 3 4" xfId="409"/>
    <cellStyle name="Comma 11 2 3 4 2" xfId="410"/>
    <cellStyle name="Comma 11 2 3 5" xfId="411"/>
    <cellStyle name="Comma 11 2 4" xfId="412"/>
    <cellStyle name="Comma 11 2 4 2" xfId="413"/>
    <cellStyle name="Comma 11 2 4 2 2" xfId="414"/>
    <cellStyle name="Comma 11 2 4 3" xfId="415"/>
    <cellStyle name="Comma 11 2 4 3 2" xfId="416"/>
    <cellStyle name="Comma 11 2 4 4" xfId="417"/>
    <cellStyle name="Comma 11 2 5" xfId="418"/>
    <cellStyle name="Comma 11 2 5 2" xfId="419"/>
    <cellStyle name="Comma 11 2 6" xfId="420"/>
    <cellStyle name="Comma 11 2 6 2" xfId="421"/>
    <cellStyle name="Comma 11 2 7" xfId="422"/>
    <cellStyle name="Comma 11 3" xfId="423"/>
    <cellStyle name="Comma 11 3 2" xfId="424"/>
    <cellStyle name="Comma 11 3 2 2" xfId="425"/>
    <cellStyle name="Comma 11 3 2 2 2" xfId="426"/>
    <cellStyle name="Comma 11 3 2 2 2 2" xfId="427"/>
    <cellStyle name="Comma 11 3 2 2 3" xfId="428"/>
    <cellStyle name="Comma 11 3 2 2 3 2" xfId="429"/>
    <cellStyle name="Comma 11 3 2 2 4" xfId="430"/>
    <cellStyle name="Comma 11 3 2 3" xfId="431"/>
    <cellStyle name="Comma 11 3 2 3 2" xfId="432"/>
    <cellStyle name="Comma 11 3 2 4" xfId="433"/>
    <cellStyle name="Comma 11 3 2 4 2" xfId="434"/>
    <cellStyle name="Comma 11 3 2 5" xfId="435"/>
    <cellStyle name="Comma 11 3 3" xfId="436"/>
    <cellStyle name="Comma 11 3 3 2" xfId="437"/>
    <cellStyle name="Comma 11 3 3 2 2" xfId="438"/>
    <cellStyle name="Comma 11 3 3 3" xfId="439"/>
    <cellStyle name="Comma 11 3 3 3 2" xfId="440"/>
    <cellStyle name="Comma 11 3 3 4" xfId="441"/>
    <cellStyle name="Comma 11 3 4" xfId="442"/>
    <cellStyle name="Comma 11 3 4 2" xfId="443"/>
    <cellStyle name="Comma 11 3 5" xfId="444"/>
    <cellStyle name="Comma 11 3 5 2" xfId="445"/>
    <cellStyle name="Comma 11 3 6" xfId="446"/>
    <cellStyle name="Comma 11 4" xfId="447"/>
    <cellStyle name="Comma 11 4 2" xfId="448"/>
    <cellStyle name="Comma 11 4 2 2" xfId="449"/>
    <cellStyle name="Comma 11 4 2 2 2" xfId="450"/>
    <cellStyle name="Comma 11 4 2 3" xfId="451"/>
    <cellStyle name="Comma 11 4 2 3 2" xfId="452"/>
    <cellStyle name="Comma 11 4 2 4" xfId="453"/>
    <cellStyle name="Comma 11 4 3" xfId="454"/>
    <cellStyle name="Comma 11 4 3 2" xfId="455"/>
    <cellStyle name="Comma 11 4 4" xfId="456"/>
    <cellStyle name="Comma 11 4 4 2" xfId="457"/>
    <cellStyle name="Comma 11 4 5" xfId="458"/>
    <cellStyle name="Comma 11 5" xfId="459"/>
    <cellStyle name="Comma 11 5 2" xfId="460"/>
    <cellStyle name="Comma 11 5 2 2" xfId="461"/>
    <cellStyle name="Comma 11 5 3" xfId="462"/>
    <cellStyle name="Comma 11 5 3 2" xfId="463"/>
    <cellStyle name="Comma 11 5 4" xfId="464"/>
    <cellStyle name="Comma 11 6" xfId="465"/>
    <cellStyle name="Comma 11 6 2" xfId="466"/>
    <cellStyle name="Comma 11 7" xfId="467"/>
    <cellStyle name="Comma 11 7 2" xfId="468"/>
    <cellStyle name="Comma 11 8" xfId="469"/>
    <cellStyle name="Comma 12" xfId="470"/>
    <cellStyle name="Comma 12 2" xfId="471"/>
    <cellStyle name="Comma 12 2 2" xfId="472"/>
    <cellStyle name="Comma 12 2 2 2" xfId="473"/>
    <cellStyle name="Comma 12 2 2 2 2" xfId="474"/>
    <cellStyle name="Comma 12 2 2 2 2 2" xfId="475"/>
    <cellStyle name="Comma 12 2 2 2 3" xfId="476"/>
    <cellStyle name="Comma 12 2 2 2 3 2" xfId="477"/>
    <cellStyle name="Comma 12 2 2 2 4" xfId="478"/>
    <cellStyle name="Comma 12 2 2 3" xfId="479"/>
    <cellStyle name="Comma 12 2 2 3 2" xfId="480"/>
    <cellStyle name="Comma 12 2 2 4" xfId="481"/>
    <cellStyle name="Comma 12 2 2 4 2" xfId="482"/>
    <cellStyle name="Comma 12 2 2 5" xfId="483"/>
    <cellStyle name="Comma 12 2 3" xfId="484"/>
    <cellStyle name="Comma 12 2 3 2" xfId="485"/>
    <cellStyle name="Comma 12 2 3 2 2" xfId="486"/>
    <cellStyle name="Comma 12 2 3 3" xfId="487"/>
    <cellStyle name="Comma 12 2 3 3 2" xfId="488"/>
    <cellStyle name="Comma 12 2 3 4" xfId="489"/>
    <cellStyle name="Comma 12 2 4" xfId="490"/>
    <cellStyle name="Comma 12 2 4 2" xfId="491"/>
    <cellStyle name="Comma 12 2 5" xfId="492"/>
    <cellStyle name="Comma 12 2 5 2" xfId="493"/>
    <cellStyle name="Comma 12 2 6" xfId="494"/>
    <cellStyle name="Comma 12 3" xfId="495"/>
    <cellStyle name="Comma 12 4" xfId="496"/>
    <cellStyle name="Comma 12 5" xfId="497"/>
    <cellStyle name="Comma 12 6" xfId="498"/>
    <cellStyle name="Comma 13" xfId="499"/>
    <cellStyle name="Comma 13 2" xfId="500"/>
    <cellStyle name="Comma 13 2 2" xfId="501"/>
    <cellStyle name="Comma 13 2 2 2" xfId="502"/>
    <cellStyle name="Comma 13 2 2 2 2" xfId="503"/>
    <cellStyle name="Comma 13 2 2 2 2 2" xfId="504"/>
    <cellStyle name="Comma 13 2 2 2 3" xfId="505"/>
    <cellStyle name="Comma 13 2 2 2 3 2" xfId="506"/>
    <cellStyle name="Comma 13 2 2 2 4" xfId="507"/>
    <cellStyle name="Comma 13 2 2 3" xfId="508"/>
    <cellStyle name="Comma 13 2 2 3 2" xfId="509"/>
    <cellStyle name="Comma 13 2 2 4" xfId="510"/>
    <cellStyle name="Comma 13 2 2 4 2" xfId="511"/>
    <cellStyle name="Comma 13 2 2 5" xfId="512"/>
    <cellStyle name="Comma 13 2 3" xfId="513"/>
    <cellStyle name="Comma 13 2 3 2" xfId="514"/>
    <cellStyle name="Comma 13 2 3 2 2" xfId="515"/>
    <cellStyle name="Comma 13 2 3 3" xfId="516"/>
    <cellStyle name="Comma 13 2 3 3 2" xfId="517"/>
    <cellStyle name="Comma 13 2 3 4" xfId="518"/>
    <cellStyle name="Comma 13 2 4" xfId="519"/>
    <cellStyle name="Comma 13 2 4 2" xfId="520"/>
    <cellStyle name="Comma 13 2 5" xfId="521"/>
    <cellStyle name="Comma 13 2 5 2" xfId="522"/>
    <cellStyle name="Comma 13 2 6" xfId="523"/>
    <cellStyle name="Comma 13 3" xfId="524"/>
    <cellStyle name="Comma 13 3 2" xfId="525"/>
    <cellStyle name="Comma 13 3 2 2" xfId="526"/>
    <cellStyle name="Comma 13 3 2 2 2" xfId="527"/>
    <cellStyle name="Comma 13 3 2 3" xfId="528"/>
    <cellStyle name="Comma 13 3 2 3 2" xfId="529"/>
    <cellStyle name="Comma 13 3 2 4" xfId="530"/>
    <cellStyle name="Comma 13 3 3" xfId="531"/>
    <cellStyle name="Comma 13 3 3 2" xfId="532"/>
    <cellStyle name="Comma 13 3 4" xfId="533"/>
    <cellStyle name="Comma 13 3 4 2" xfId="534"/>
    <cellStyle name="Comma 13 3 5" xfId="535"/>
    <cellStyle name="Comma 13 4" xfId="536"/>
    <cellStyle name="Comma 13 4 2" xfId="537"/>
    <cellStyle name="Comma 13 4 2 2" xfId="538"/>
    <cellStyle name="Comma 13 4 3" xfId="539"/>
    <cellStyle name="Comma 13 4 3 2" xfId="540"/>
    <cellStyle name="Comma 13 4 4" xfId="541"/>
    <cellStyle name="Comma 13 5" xfId="542"/>
    <cellStyle name="Comma 13 5 2" xfId="543"/>
    <cellStyle name="Comma 13 6" xfId="544"/>
    <cellStyle name="Comma 13 6 2" xfId="545"/>
    <cellStyle name="Comma 13 7" xfId="546"/>
    <cellStyle name="Comma 14" xfId="547"/>
    <cellStyle name="Comma 14 2" xfId="548"/>
    <cellStyle name="Comma 15" xfId="549"/>
    <cellStyle name="Comma 15 2" xfId="550"/>
    <cellStyle name="Comma 15 2 2" xfId="551"/>
    <cellStyle name="Comma 15 3" xfId="552"/>
    <cellStyle name="Comma 15 4" xfId="553"/>
    <cellStyle name="Comma 16" xfId="554"/>
    <cellStyle name="Comma 16 2" xfId="555"/>
    <cellStyle name="Comma 16 2 2" xfId="556"/>
    <cellStyle name="Comma 16 2 2 2" xfId="557"/>
    <cellStyle name="Comma 16 2 3" xfId="558"/>
    <cellStyle name="Comma 16 2 3 2" xfId="559"/>
    <cellStyle name="Comma 16 2 4" xfId="560"/>
    <cellStyle name="Comma 16 3" xfId="561"/>
    <cellStyle name="Comma 16 3 2" xfId="562"/>
    <cellStyle name="Comma 16 4" xfId="563"/>
    <cellStyle name="Comma 16 4 2" xfId="564"/>
    <cellStyle name="Comma 16 5" xfId="565"/>
    <cellStyle name="Comma 17" xfId="566"/>
    <cellStyle name="Comma 17 2" xfId="567"/>
    <cellStyle name="Comma 17 2 2" xfId="568"/>
    <cellStyle name="Comma 17 3" xfId="569"/>
    <cellStyle name="Comma 17 4" xfId="570"/>
    <cellStyle name="Comma 17 5" xfId="571"/>
    <cellStyle name="Comma 18" xfId="572"/>
    <cellStyle name="Comma 18 2" xfId="573"/>
    <cellStyle name="Comma 18 2 2" xfId="574"/>
    <cellStyle name="Comma 18 3" xfId="575"/>
    <cellStyle name="Comma 18 4" xfId="576"/>
    <cellStyle name="Comma 18 5" xfId="577"/>
    <cellStyle name="Comma 19" xfId="578"/>
    <cellStyle name="Comma 19 2" xfId="579"/>
    <cellStyle name="Comma 19 3" xfId="580"/>
    <cellStyle name="Comma 19 4" xfId="581"/>
    <cellStyle name="Comma 19 5" xfId="582"/>
    <cellStyle name="Comma 19 6" xfId="583"/>
    <cellStyle name="Comma 2" xfId="584"/>
    <cellStyle name="Comma 2 2" xfId="585"/>
    <cellStyle name="Comma 2 2 2" xfId="586"/>
    <cellStyle name="Comma 2 2 2 2" xfId="587"/>
    <cellStyle name="Comma 2 2 2 2 2" xfId="588"/>
    <cellStyle name="Comma 2 2 2 2 3" xfId="589"/>
    <cellStyle name="Comma 2 2 2 2 4" xfId="590"/>
    <cellStyle name="Comma 2 2 3" xfId="591"/>
    <cellStyle name="Comma 2 2 3 2" xfId="592"/>
    <cellStyle name="Comma 2 2 3 3" xfId="593"/>
    <cellStyle name="Comma 2 3" xfId="594"/>
    <cellStyle name="Comma 2 3 2" xfId="595"/>
    <cellStyle name="Comma 2 4" xfId="596"/>
    <cellStyle name="Comma 2 4 2" xfId="597"/>
    <cellStyle name="Comma 2 4 2 2" xfId="598"/>
    <cellStyle name="Comma 2 4 2 2 2" xfId="599"/>
    <cellStyle name="Comma 2 4 3" xfId="600"/>
    <cellStyle name="Comma 2 4 4" xfId="601"/>
    <cellStyle name="Comma 2 4 5" xfId="602"/>
    <cellStyle name="Comma 2 5" xfId="603"/>
    <cellStyle name="Comma 2 5 2" xfId="604"/>
    <cellStyle name="Comma 2 5 3" xfId="605"/>
    <cellStyle name="Comma 2 6" xfId="606"/>
    <cellStyle name="Comma 2 6 2" xfId="607"/>
    <cellStyle name="Comma 2 6 2 2" xfId="608"/>
    <cellStyle name="Comma 2 6 3" xfId="609"/>
    <cellStyle name="Comma 2 6 3 2" xfId="610"/>
    <cellStyle name="Comma 2 6 3 3" xfId="611"/>
    <cellStyle name="Comma 2 6 4" xfId="612"/>
    <cellStyle name="Comma 2 7" xfId="613"/>
    <cellStyle name="Comma 2 7 2" xfId="614"/>
    <cellStyle name="Comma 2 7 3" xfId="615"/>
    <cellStyle name="Comma 2 7 4" xfId="616"/>
    <cellStyle name="Comma 2 8" xfId="617"/>
    <cellStyle name="Comma 2 9" xfId="618"/>
    <cellStyle name="Comma 20" xfId="619"/>
    <cellStyle name="Comma 20 2" xfId="620"/>
    <cellStyle name="Comma 20 3" xfId="621"/>
    <cellStyle name="Comma 20 4" xfId="622"/>
    <cellStyle name="Comma 21" xfId="623"/>
    <cellStyle name="Comma 21 2" xfId="624"/>
    <cellStyle name="Comma 21 3" xfId="625"/>
    <cellStyle name="Comma 21 4" xfId="626"/>
    <cellStyle name="Comma 22" xfId="627"/>
    <cellStyle name="Comma 22 2" xfId="628"/>
    <cellStyle name="Comma 23" xfId="629"/>
    <cellStyle name="Comma 24" xfId="630"/>
    <cellStyle name="Comma 25" xfId="631"/>
    <cellStyle name="Comma 25 2" xfId="632"/>
    <cellStyle name="Comma 25 2 2" xfId="633"/>
    <cellStyle name="Comma 26" xfId="634"/>
    <cellStyle name="Comma 27" xfId="635"/>
    <cellStyle name="Comma 28" xfId="636"/>
    <cellStyle name="Comma 29" xfId="637"/>
    <cellStyle name="Comma 29 2" xfId="638"/>
    <cellStyle name="Comma 3" xfId="639"/>
    <cellStyle name="Comma 3 2" xfId="640"/>
    <cellStyle name="Comma 3 2 2" xfId="641"/>
    <cellStyle name="Comma 3 3" xfId="642"/>
    <cellStyle name="Comma 3 4" xfId="643"/>
    <cellStyle name="Comma 30" xfId="644"/>
    <cellStyle name="Comma 31" xfId="645"/>
    <cellStyle name="Comma 32" xfId="15199"/>
    <cellStyle name="Comma 32 2" xfId="22831"/>
    <cellStyle name="Comma 33" xfId="22966"/>
    <cellStyle name="Comma 34" xfId="22985"/>
    <cellStyle name="Comma 34 2" xfId="23026"/>
    <cellStyle name="Comma 35" xfId="23021"/>
    <cellStyle name="Comma 36" xfId="23024"/>
    <cellStyle name="Comma 4" xfId="646"/>
    <cellStyle name="Comma 4 10" xfId="647"/>
    <cellStyle name="Comma 4 11" xfId="648"/>
    <cellStyle name="Comma 4 12" xfId="649"/>
    <cellStyle name="Comma 4 2" xfId="650"/>
    <cellStyle name="Comma 4 2 2" xfId="651"/>
    <cellStyle name="Comma 4 2 2 10" xfId="652"/>
    <cellStyle name="Comma 4 2 2 2" xfId="653"/>
    <cellStyle name="Comma 4 2 2 2 2" xfId="654"/>
    <cellStyle name="Comma 4 2 2 2 2 2" xfId="655"/>
    <cellStyle name="Comma 4 2 2 2 2 2 2" xfId="656"/>
    <cellStyle name="Comma 4 2 2 2 2 2 2 2" xfId="657"/>
    <cellStyle name="Comma 4 2 2 2 2 2 3" xfId="658"/>
    <cellStyle name="Comma 4 2 2 2 2 2 3 2" xfId="659"/>
    <cellStyle name="Comma 4 2 2 2 2 2 4" xfId="660"/>
    <cellStyle name="Comma 4 2 2 2 2 3" xfId="661"/>
    <cellStyle name="Comma 4 2 2 2 2 3 2" xfId="662"/>
    <cellStyle name="Comma 4 2 2 2 2 4" xfId="663"/>
    <cellStyle name="Comma 4 2 2 2 2 4 2" xfId="664"/>
    <cellStyle name="Comma 4 2 2 2 2 5" xfId="665"/>
    <cellStyle name="Comma 4 2 2 2 3" xfId="666"/>
    <cellStyle name="Comma 4 2 2 2 3 2" xfId="667"/>
    <cellStyle name="Comma 4 2 2 2 3 2 2" xfId="668"/>
    <cellStyle name="Comma 4 2 2 2 3 3" xfId="669"/>
    <cellStyle name="Comma 4 2 2 2 3 3 2" xfId="670"/>
    <cellStyle name="Comma 4 2 2 2 3 4" xfId="671"/>
    <cellStyle name="Comma 4 2 2 2 4" xfId="672"/>
    <cellStyle name="Comma 4 2 2 2 4 2" xfId="673"/>
    <cellStyle name="Comma 4 2 2 2 5" xfId="674"/>
    <cellStyle name="Comma 4 2 2 2 5 2" xfId="675"/>
    <cellStyle name="Comma 4 2 2 2 6" xfId="676"/>
    <cellStyle name="Comma 4 2 2 3" xfId="677"/>
    <cellStyle name="Comma 4 2 2 3 2" xfId="678"/>
    <cellStyle name="Comma 4 2 2 3 2 2" xfId="679"/>
    <cellStyle name="Comma 4 2 2 3 2 2 2" xfId="680"/>
    <cellStyle name="Comma 4 2 2 3 2 2 2 2" xfId="681"/>
    <cellStyle name="Comma 4 2 2 3 2 2 3" xfId="682"/>
    <cellStyle name="Comma 4 2 2 3 2 2 3 2" xfId="683"/>
    <cellStyle name="Comma 4 2 2 3 2 2 4" xfId="684"/>
    <cellStyle name="Comma 4 2 2 3 2 3" xfId="685"/>
    <cellStyle name="Comma 4 2 2 3 2 3 2" xfId="686"/>
    <cellStyle name="Comma 4 2 2 3 2 4" xfId="687"/>
    <cellStyle name="Comma 4 2 2 3 2 4 2" xfId="688"/>
    <cellStyle name="Comma 4 2 2 3 2 5" xfId="689"/>
    <cellStyle name="Comma 4 2 2 3 3" xfId="690"/>
    <cellStyle name="Comma 4 2 2 3 3 2" xfId="691"/>
    <cellStyle name="Comma 4 2 2 3 3 2 2" xfId="692"/>
    <cellStyle name="Comma 4 2 2 3 3 3" xfId="693"/>
    <cellStyle name="Comma 4 2 2 3 3 3 2" xfId="694"/>
    <cellStyle name="Comma 4 2 2 3 3 4" xfId="695"/>
    <cellStyle name="Comma 4 2 2 3 4" xfId="696"/>
    <cellStyle name="Comma 4 2 2 3 4 2" xfId="697"/>
    <cellStyle name="Comma 4 2 2 3 5" xfId="698"/>
    <cellStyle name="Comma 4 2 2 3 5 2" xfId="699"/>
    <cellStyle name="Comma 4 2 2 3 6" xfId="700"/>
    <cellStyle name="Comma 4 2 2 4" xfId="701"/>
    <cellStyle name="Comma 4 2 2 4 2" xfId="702"/>
    <cellStyle name="Comma 4 2 2 4 2 2" xfId="703"/>
    <cellStyle name="Comma 4 2 2 4 2 2 2" xfId="704"/>
    <cellStyle name="Comma 4 2 2 4 2 3" xfId="705"/>
    <cellStyle name="Comma 4 2 2 4 2 3 2" xfId="706"/>
    <cellStyle name="Comma 4 2 2 4 2 4" xfId="707"/>
    <cellStyle name="Comma 4 2 2 4 3" xfId="708"/>
    <cellStyle name="Comma 4 2 2 4 3 2" xfId="709"/>
    <cellStyle name="Comma 4 2 2 4 4" xfId="710"/>
    <cellStyle name="Comma 4 2 2 4 4 2" xfId="711"/>
    <cellStyle name="Comma 4 2 2 4 5" xfId="712"/>
    <cellStyle name="Comma 4 2 2 5" xfId="713"/>
    <cellStyle name="Comma 4 2 2 5 2" xfId="714"/>
    <cellStyle name="Comma 4 2 2 5 2 2" xfId="715"/>
    <cellStyle name="Comma 4 2 2 5 3" xfId="716"/>
    <cellStyle name="Comma 4 2 2 5 3 2" xfId="717"/>
    <cellStyle name="Comma 4 2 2 5 4" xfId="718"/>
    <cellStyle name="Comma 4 2 2 6" xfId="719"/>
    <cellStyle name="Comma 4 2 2 6 2" xfId="720"/>
    <cellStyle name="Comma 4 2 2 7" xfId="721"/>
    <cellStyle name="Comma 4 2 2 7 2" xfId="722"/>
    <cellStyle name="Comma 4 2 2 8" xfId="723"/>
    <cellStyle name="Comma 4 2 2 9" xfId="724"/>
    <cellStyle name="Comma 4 2 3" xfId="725"/>
    <cellStyle name="Comma 4 2 3 2" xfId="726"/>
    <cellStyle name="Comma 4 2 3 2 2" xfId="727"/>
    <cellStyle name="Comma 4 2 3 2 2 2" xfId="728"/>
    <cellStyle name="Comma 4 2 3 2 2 2 2" xfId="729"/>
    <cellStyle name="Comma 4 2 3 2 2 3" xfId="730"/>
    <cellStyle name="Comma 4 2 3 2 2 3 2" xfId="731"/>
    <cellStyle name="Comma 4 2 3 2 2 4" xfId="732"/>
    <cellStyle name="Comma 4 2 3 2 3" xfId="733"/>
    <cellStyle name="Comma 4 2 3 2 3 2" xfId="734"/>
    <cellStyle name="Comma 4 2 3 2 4" xfId="735"/>
    <cellStyle name="Comma 4 2 3 2 4 2" xfId="736"/>
    <cellStyle name="Comma 4 2 3 2 5" xfId="737"/>
    <cellStyle name="Comma 4 2 3 3" xfId="738"/>
    <cellStyle name="Comma 4 2 3 3 2" xfId="739"/>
    <cellStyle name="Comma 4 2 3 3 2 2" xfId="740"/>
    <cellStyle name="Comma 4 2 3 3 3" xfId="741"/>
    <cellStyle name="Comma 4 2 3 3 3 2" xfId="742"/>
    <cellStyle name="Comma 4 2 3 3 4" xfId="743"/>
    <cellStyle name="Comma 4 2 3 4" xfId="744"/>
    <cellStyle name="Comma 4 2 3 4 2" xfId="745"/>
    <cellStyle name="Comma 4 2 3 5" xfId="746"/>
    <cellStyle name="Comma 4 2 3 5 2" xfId="747"/>
    <cellStyle name="Comma 4 2 3 6" xfId="748"/>
    <cellStyle name="Comma 4 2 3 7" xfId="749"/>
    <cellStyle name="Comma 4 2 4" xfId="750"/>
    <cellStyle name="Comma 4 2 4 2" xfId="751"/>
    <cellStyle name="Comma 4 2 4 2 2" xfId="752"/>
    <cellStyle name="Comma 4 2 4 2 2 2" xfId="753"/>
    <cellStyle name="Comma 4 2 4 2 2 2 2" xfId="754"/>
    <cellStyle name="Comma 4 2 4 2 2 3" xfId="755"/>
    <cellStyle name="Comma 4 2 4 2 2 3 2" xfId="756"/>
    <cellStyle name="Comma 4 2 4 2 2 4" xfId="757"/>
    <cellStyle name="Comma 4 2 4 2 3" xfId="758"/>
    <cellStyle name="Comma 4 2 4 2 3 2" xfId="759"/>
    <cellStyle name="Comma 4 2 4 2 4" xfId="760"/>
    <cellStyle name="Comma 4 2 4 2 4 2" xfId="761"/>
    <cellStyle name="Comma 4 2 4 2 5" xfId="762"/>
    <cellStyle name="Comma 4 2 4 3" xfId="763"/>
    <cellStyle name="Comma 4 2 4 3 2" xfId="764"/>
    <cellStyle name="Comma 4 2 4 3 2 2" xfId="765"/>
    <cellStyle name="Comma 4 2 4 3 3" xfId="766"/>
    <cellStyle name="Comma 4 2 4 3 3 2" xfId="767"/>
    <cellStyle name="Comma 4 2 4 3 4" xfId="768"/>
    <cellStyle name="Comma 4 2 4 4" xfId="769"/>
    <cellStyle name="Comma 4 2 4 4 2" xfId="770"/>
    <cellStyle name="Comma 4 2 4 5" xfId="771"/>
    <cellStyle name="Comma 4 2 4 5 2" xfId="772"/>
    <cellStyle name="Comma 4 2 4 6" xfId="773"/>
    <cellStyle name="Comma 4 2 4 7" xfId="774"/>
    <cellStyle name="Comma 4 2 5" xfId="775"/>
    <cellStyle name="Comma 4 2 5 2" xfId="776"/>
    <cellStyle name="Comma 4 2 5 2 2" xfId="777"/>
    <cellStyle name="Comma 4 2 5 2 2 2" xfId="778"/>
    <cellStyle name="Comma 4 2 5 2 3" xfId="779"/>
    <cellStyle name="Comma 4 2 5 2 3 2" xfId="780"/>
    <cellStyle name="Comma 4 2 5 2 4" xfId="781"/>
    <cellStyle name="Comma 4 2 5 3" xfId="782"/>
    <cellStyle name="Comma 4 2 5 3 2" xfId="783"/>
    <cellStyle name="Comma 4 2 5 4" xfId="784"/>
    <cellStyle name="Comma 4 2 5 4 2" xfId="785"/>
    <cellStyle name="Comma 4 2 5 5" xfId="786"/>
    <cellStyle name="Comma 4 2 5 6" xfId="787"/>
    <cellStyle name="Comma 4 2 6" xfId="788"/>
    <cellStyle name="Comma 4 2 6 2" xfId="789"/>
    <cellStyle name="Comma 4 2 6 2 2" xfId="790"/>
    <cellStyle name="Comma 4 2 6 3" xfId="791"/>
    <cellStyle name="Comma 4 2 6 3 2" xfId="792"/>
    <cellStyle name="Comma 4 2 6 4" xfId="793"/>
    <cellStyle name="Comma 4 2 7" xfId="794"/>
    <cellStyle name="Comma 4 2 7 2" xfId="795"/>
    <cellStyle name="Comma 4 2 8" xfId="796"/>
    <cellStyle name="Comma 4 2 8 2" xfId="797"/>
    <cellStyle name="Comma 4 2 9" xfId="798"/>
    <cellStyle name="Comma 4 3" xfId="799"/>
    <cellStyle name="Comma 4 3 10" xfId="800"/>
    <cellStyle name="Comma 4 3 2" xfId="801"/>
    <cellStyle name="Comma 4 3 2 2" xfId="802"/>
    <cellStyle name="Comma 4 3 2 2 2" xfId="803"/>
    <cellStyle name="Comma 4 3 2 2 2 2" xfId="804"/>
    <cellStyle name="Comma 4 3 2 2 2 2 2" xfId="805"/>
    <cellStyle name="Comma 4 3 2 2 2 3" xfId="806"/>
    <cellStyle name="Comma 4 3 2 2 2 3 2" xfId="807"/>
    <cellStyle name="Comma 4 3 2 2 2 4" xfId="808"/>
    <cellStyle name="Comma 4 3 2 2 3" xfId="809"/>
    <cellStyle name="Comma 4 3 2 2 3 2" xfId="810"/>
    <cellStyle name="Comma 4 3 2 2 4" xfId="811"/>
    <cellStyle name="Comma 4 3 2 2 4 2" xfId="812"/>
    <cellStyle name="Comma 4 3 2 2 5" xfId="813"/>
    <cellStyle name="Comma 4 3 2 3" xfId="814"/>
    <cellStyle name="Comma 4 3 2 3 2" xfId="815"/>
    <cellStyle name="Comma 4 3 2 3 2 2" xfId="816"/>
    <cellStyle name="Comma 4 3 2 3 3" xfId="817"/>
    <cellStyle name="Comma 4 3 2 3 3 2" xfId="818"/>
    <cellStyle name="Comma 4 3 2 3 4" xfId="819"/>
    <cellStyle name="Comma 4 3 2 4" xfId="820"/>
    <cellStyle name="Comma 4 3 2 4 2" xfId="821"/>
    <cellStyle name="Comma 4 3 2 5" xfId="822"/>
    <cellStyle name="Comma 4 3 2 5 2" xfId="823"/>
    <cellStyle name="Comma 4 3 2 6" xfId="824"/>
    <cellStyle name="Comma 4 3 2 7" xfId="825"/>
    <cellStyle name="Comma 4 3 2 8" xfId="826"/>
    <cellStyle name="Comma 4 3 3" xfId="827"/>
    <cellStyle name="Comma 4 3 3 2" xfId="828"/>
    <cellStyle name="Comma 4 3 3 2 2" xfId="829"/>
    <cellStyle name="Comma 4 3 3 2 2 2" xfId="830"/>
    <cellStyle name="Comma 4 3 3 2 2 2 2" xfId="831"/>
    <cellStyle name="Comma 4 3 3 2 2 3" xfId="832"/>
    <cellStyle name="Comma 4 3 3 2 2 3 2" xfId="833"/>
    <cellStyle name="Comma 4 3 3 2 2 4" xfId="834"/>
    <cellStyle name="Comma 4 3 3 2 3" xfId="835"/>
    <cellStyle name="Comma 4 3 3 2 3 2" xfId="836"/>
    <cellStyle name="Comma 4 3 3 2 4" xfId="837"/>
    <cellStyle name="Comma 4 3 3 2 4 2" xfId="838"/>
    <cellStyle name="Comma 4 3 3 2 5" xfId="839"/>
    <cellStyle name="Comma 4 3 3 3" xfId="840"/>
    <cellStyle name="Comma 4 3 3 3 2" xfId="841"/>
    <cellStyle name="Comma 4 3 3 3 2 2" xfId="842"/>
    <cellStyle name="Comma 4 3 3 3 3" xfId="843"/>
    <cellStyle name="Comma 4 3 3 3 3 2" xfId="844"/>
    <cellStyle name="Comma 4 3 3 3 4" xfId="845"/>
    <cellStyle name="Comma 4 3 3 4" xfId="846"/>
    <cellStyle name="Comma 4 3 3 4 2" xfId="847"/>
    <cellStyle name="Comma 4 3 3 5" xfId="848"/>
    <cellStyle name="Comma 4 3 3 5 2" xfId="849"/>
    <cellStyle name="Comma 4 3 3 6" xfId="850"/>
    <cellStyle name="Comma 4 3 3 7" xfId="851"/>
    <cellStyle name="Comma 4 3 4" xfId="852"/>
    <cellStyle name="Comma 4 3 4 2" xfId="853"/>
    <cellStyle name="Comma 4 3 4 2 2" xfId="854"/>
    <cellStyle name="Comma 4 3 4 2 2 2" xfId="855"/>
    <cellStyle name="Comma 4 3 4 2 3" xfId="856"/>
    <cellStyle name="Comma 4 3 4 2 3 2" xfId="857"/>
    <cellStyle name="Comma 4 3 4 2 4" xfId="858"/>
    <cellStyle name="Comma 4 3 4 3" xfId="859"/>
    <cellStyle name="Comma 4 3 4 3 2" xfId="860"/>
    <cellStyle name="Comma 4 3 4 4" xfId="861"/>
    <cellStyle name="Comma 4 3 4 4 2" xfId="862"/>
    <cellStyle name="Comma 4 3 4 5" xfId="863"/>
    <cellStyle name="Comma 4 3 5" xfId="864"/>
    <cellStyle name="Comma 4 3 5 2" xfId="865"/>
    <cellStyle name="Comma 4 3 5 2 2" xfId="866"/>
    <cellStyle name="Comma 4 3 5 3" xfId="867"/>
    <cellStyle name="Comma 4 3 5 3 2" xfId="868"/>
    <cellStyle name="Comma 4 3 5 4" xfId="869"/>
    <cellStyle name="Comma 4 3 6" xfId="870"/>
    <cellStyle name="Comma 4 3 6 2" xfId="871"/>
    <cellStyle name="Comma 4 3 7" xfId="872"/>
    <cellStyle name="Comma 4 3 7 2" xfId="873"/>
    <cellStyle name="Comma 4 3 8" xfId="874"/>
    <cellStyle name="Comma 4 3 9" xfId="875"/>
    <cellStyle name="Comma 4 4" xfId="876"/>
    <cellStyle name="Comma 4 4 10" xfId="877"/>
    <cellStyle name="Comma 4 4 2" xfId="878"/>
    <cellStyle name="Comma 4 4 2 2" xfId="879"/>
    <cellStyle name="Comma 4 4 2 2 2" xfId="880"/>
    <cellStyle name="Comma 4 4 2 2 2 2" xfId="881"/>
    <cellStyle name="Comma 4 4 2 2 2 2 2" xfId="882"/>
    <cellStyle name="Comma 4 4 2 2 2 3" xfId="883"/>
    <cellStyle name="Comma 4 4 2 2 2 3 2" xfId="884"/>
    <cellStyle name="Comma 4 4 2 2 2 4" xfId="885"/>
    <cellStyle name="Comma 4 4 2 2 3" xfId="886"/>
    <cellStyle name="Comma 4 4 2 2 3 2" xfId="887"/>
    <cellStyle name="Comma 4 4 2 2 4" xfId="888"/>
    <cellStyle name="Comma 4 4 2 2 4 2" xfId="889"/>
    <cellStyle name="Comma 4 4 2 2 5" xfId="890"/>
    <cellStyle name="Comma 4 4 2 3" xfId="891"/>
    <cellStyle name="Comma 4 4 2 3 2" xfId="892"/>
    <cellStyle name="Comma 4 4 2 3 2 2" xfId="893"/>
    <cellStyle name="Comma 4 4 2 3 3" xfId="894"/>
    <cellStyle name="Comma 4 4 2 3 3 2" xfId="895"/>
    <cellStyle name="Comma 4 4 2 3 4" xfId="896"/>
    <cellStyle name="Comma 4 4 2 4" xfId="897"/>
    <cellStyle name="Comma 4 4 2 4 2" xfId="898"/>
    <cellStyle name="Comma 4 4 2 5" xfId="899"/>
    <cellStyle name="Comma 4 4 2 5 2" xfId="900"/>
    <cellStyle name="Comma 4 4 2 6" xfId="901"/>
    <cellStyle name="Comma 4 4 2 7" xfId="902"/>
    <cellStyle name="Comma 4 4 3" xfId="903"/>
    <cellStyle name="Comma 4 4 3 2" xfId="904"/>
    <cellStyle name="Comma 4 4 3 2 2" xfId="905"/>
    <cellStyle name="Comma 4 4 3 2 2 2" xfId="906"/>
    <cellStyle name="Comma 4 4 3 2 3" xfId="907"/>
    <cellStyle name="Comma 4 4 3 2 3 2" xfId="908"/>
    <cellStyle name="Comma 4 4 3 2 4" xfId="909"/>
    <cellStyle name="Comma 4 4 3 3" xfId="910"/>
    <cellStyle name="Comma 4 4 3 3 2" xfId="911"/>
    <cellStyle name="Comma 4 4 3 4" xfId="912"/>
    <cellStyle name="Comma 4 4 3 4 2" xfId="913"/>
    <cellStyle name="Comma 4 4 3 5" xfId="914"/>
    <cellStyle name="Comma 4 4 3 6" xfId="915"/>
    <cellStyle name="Comma 4 4 4" xfId="916"/>
    <cellStyle name="Comma 4 4 4 2" xfId="917"/>
    <cellStyle name="Comma 4 4 4 2 2" xfId="918"/>
    <cellStyle name="Comma 4 4 4 3" xfId="919"/>
    <cellStyle name="Comma 4 4 4 3 2" xfId="920"/>
    <cellStyle name="Comma 4 4 4 4" xfId="921"/>
    <cellStyle name="Comma 4 4 5" xfId="922"/>
    <cellStyle name="Comma 4 4 5 2" xfId="923"/>
    <cellStyle name="Comma 4 4 5 3" xfId="924"/>
    <cellStyle name="Comma 4 4 6" xfId="925"/>
    <cellStyle name="Comma 4 4 6 2" xfId="926"/>
    <cellStyle name="Comma 4 4 7" xfId="927"/>
    <cellStyle name="Comma 4 4 8" xfId="928"/>
    <cellStyle name="Comma 4 4 9" xfId="929"/>
    <cellStyle name="Comma 4 5" xfId="930"/>
    <cellStyle name="Comma 4 5 2" xfId="931"/>
    <cellStyle name="Comma 4 5 2 2" xfId="932"/>
    <cellStyle name="Comma 4 5 2 2 2" xfId="933"/>
    <cellStyle name="Comma 4 5 2 2 2 2" xfId="934"/>
    <cellStyle name="Comma 4 5 2 2 3" xfId="935"/>
    <cellStyle name="Comma 4 5 2 2 3 2" xfId="936"/>
    <cellStyle name="Comma 4 5 2 2 4" xfId="937"/>
    <cellStyle name="Comma 4 5 2 3" xfId="938"/>
    <cellStyle name="Comma 4 5 2 3 2" xfId="939"/>
    <cellStyle name="Comma 4 5 2 4" xfId="940"/>
    <cellStyle name="Comma 4 5 2 4 2" xfId="941"/>
    <cellStyle name="Comma 4 5 2 5" xfId="942"/>
    <cellStyle name="Comma 4 5 2 6" xfId="943"/>
    <cellStyle name="Comma 4 5 3" xfId="944"/>
    <cellStyle name="Comma 4 5 3 2" xfId="945"/>
    <cellStyle name="Comma 4 5 3 2 2" xfId="946"/>
    <cellStyle name="Comma 4 5 3 3" xfId="947"/>
    <cellStyle name="Comma 4 5 3 3 2" xfId="948"/>
    <cellStyle name="Comma 4 5 3 4" xfId="949"/>
    <cellStyle name="Comma 4 5 4" xfId="950"/>
    <cellStyle name="Comma 4 5 4 2" xfId="951"/>
    <cellStyle name="Comma 4 5 5" xfId="952"/>
    <cellStyle name="Comma 4 5 5 2" xfId="953"/>
    <cellStyle name="Comma 4 5 6" xfId="954"/>
    <cellStyle name="Comma 4 6" xfId="955"/>
    <cellStyle name="Comma 4 6 2" xfId="956"/>
    <cellStyle name="Comma 4 6 2 2" xfId="957"/>
    <cellStyle name="Comma 4 6 2 2 2" xfId="958"/>
    <cellStyle name="Comma 4 6 2 3" xfId="959"/>
    <cellStyle name="Comma 4 6 2 3 2" xfId="960"/>
    <cellStyle name="Comma 4 6 2 4" xfId="961"/>
    <cellStyle name="Comma 4 6 3" xfId="962"/>
    <cellStyle name="Comma 4 6 3 2" xfId="963"/>
    <cellStyle name="Comma 4 6 4" xfId="964"/>
    <cellStyle name="Comma 4 6 4 2" xfId="965"/>
    <cellStyle name="Comma 4 6 5" xfId="966"/>
    <cellStyle name="Comma 4 6 6" xfId="967"/>
    <cellStyle name="Comma 4 7" xfId="968"/>
    <cellStyle name="Comma 4 7 2" xfId="969"/>
    <cellStyle name="Comma 4 7 2 2" xfId="970"/>
    <cellStyle name="Comma 4 7 3" xfId="971"/>
    <cellStyle name="Comma 4 7 3 2" xfId="972"/>
    <cellStyle name="Comma 4 7 4" xfId="973"/>
    <cellStyle name="Comma 4 8" xfId="974"/>
    <cellStyle name="Comma 4 8 2" xfId="975"/>
    <cellStyle name="Comma 4 9" xfId="976"/>
    <cellStyle name="Comma 4 9 2" xfId="977"/>
    <cellStyle name="Comma 5" xfId="978"/>
    <cellStyle name="Comma 5 10" xfId="979"/>
    <cellStyle name="Comma 5 2" xfId="980"/>
    <cellStyle name="Comma 5 2 2" xfId="981"/>
    <cellStyle name="Comma 5 2 2 2" xfId="982"/>
    <cellStyle name="Comma 5 2 2 2 2" xfId="983"/>
    <cellStyle name="Comma 5 2 2 2 2 2" xfId="984"/>
    <cellStyle name="Comma 5 2 2 2 2 2 2" xfId="985"/>
    <cellStyle name="Comma 5 2 2 2 2 2 2 2" xfId="986"/>
    <cellStyle name="Comma 5 2 2 2 2 2 3" xfId="987"/>
    <cellStyle name="Comma 5 2 2 2 2 2 3 2" xfId="988"/>
    <cellStyle name="Comma 5 2 2 2 2 2 4" xfId="989"/>
    <cellStyle name="Comma 5 2 2 2 2 3" xfId="990"/>
    <cellStyle name="Comma 5 2 2 2 2 3 2" xfId="991"/>
    <cellStyle name="Comma 5 2 2 2 2 4" xfId="992"/>
    <cellStyle name="Comma 5 2 2 2 2 4 2" xfId="993"/>
    <cellStyle name="Comma 5 2 2 2 2 5" xfId="994"/>
    <cellStyle name="Comma 5 2 2 2 3" xfId="995"/>
    <cellStyle name="Comma 5 2 2 2 3 2" xfId="996"/>
    <cellStyle name="Comma 5 2 2 2 3 2 2" xfId="997"/>
    <cellStyle name="Comma 5 2 2 2 3 3" xfId="998"/>
    <cellStyle name="Comma 5 2 2 2 3 3 2" xfId="999"/>
    <cellStyle name="Comma 5 2 2 2 3 4" xfId="1000"/>
    <cellStyle name="Comma 5 2 2 2 4" xfId="1001"/>
    <cellStyle name="Comma 5 2 2 2 4 2" xfId="1002"/>
    <cellStyle name="Comma 5 2 2 2 5" xfId="1003"/>
    <cellStyle name="Comma 5 2 2 2 5 2" xfId="1004"/>
    <cellStyle name="Comma 5 2 2 2 6" xfId="1005"/>
    <cellStyle name="Comma 5 2 2 3" xfId="1006"/>
    <cellStyle name="Comma 5 2 2 3 2" xfId="1007"/>
    <cellStyle name="Comma 5 2 2 3 2 2" xfId="1008"/>
    <cellStyle name="Comma 5 2 2 3 2 2 2" xfId="1009"/>
    <cellStyle name="Comma 5 2 2 3 2 3" xfId="1010"/>
    <cellStyle name="Comma 5 2 2 3 2 3 2" xfId="1011"/>
    <cellStyle name="Comma 5 2 2 3 2 4" xfId="1012"/>
    <cellStyle name="Comma 5 2 2 3 3" xfId="1013"/>
    <cellStyle name="Comma 5 2 2 3 3 2" xfId="1014"/>
    <cellStyle name="Comma 5 2 2 3 4" xfId="1015"/>
    <cellStyle name="Comma 5 2 2 3 4 2" xfId="1016"/>
    <cellStyle name="Comma 5 2 2 3 5" xfId="1017"/>
    <cellStyle name="Comma 5 2 2 4" xfId="1018"/>
    <cellStyle name="Comma 5 2 2 4 2" xfId="1019"/>
    <cellStyle name="Comma 5 2 2 4 2 2" xfId="1020"/>
    <cellStyle name="Comma 5 2 2 4 3" xfId="1021"/>
    <cellStyle name="Comma 5 2 2 4 3 2" xfId="1022"/>
    <cellStyle name="Comma 5 2 2 4 4" xfId="1023"/>
    <cellStyle name="Comma 5 2 2 5" xfId="1024"/>
    <cellStyle name="Comma 5 2 2 5 2" xfId="1025"/>
    <cellStyle name="Comma 5 2 2 6" xfId="1026"/>
    <cellStyle name="Comma 5 2 2 6 2" xfId="1027"/>
    <cellStyle name="Comma 5 2 2 7" xfId="1028"/>
    <cellStyle name="Comma 5 2 2 8" xfId="1029"/>
    <cellStyle name="Comma 5 2 3" xfId="1030"/>
    <cellStyle name="Comma 5 2 3 2" xfId="1031"/>
    <cellStyle name="Comma 5 2 3 2 2" xfId="1032"/>
    <cellStyle name="Comma 5 2 3 2 2 2" xfId="1033"/>
    <cellStyle name="Comma 5 2 3 2 2 2 2" xfId="1034"/>
    <cellStyle name="Comma 5 2 3 2 2 3" xfId="1035"/>
    <cellStyle name="Comma 5 2 3 2 2 3 2" xfId="1036"/>
    <cellStyle name="Comma 5 2 3 2 2 4" xfId="1037"/>
    <cellStyle name="Comma 5 2 3 2 3" xfId="1038"/>
    <cellStyle name="Comma 5 2 3 2 3 2" xfId="1039"/>
    <cellStyle name="Comma 5 2 3 2 4" xfId="1040"/>
    <cellStyle name="Comma 5 2 3 2 4 2" xfId="1041"/>
    <cellStyle name="Comma 5 2 3 2 5" xfId="1042"/>
    <cellStyle name="Comma 5 2 3 3" xfId="1043"/>
    <cellStyle name="Comma 5 2 3 3 2" xfId="1044"/>
    <cellStyle name="Comma 5 2 3 3 2 2" xfId="1045"/>
    <cellStyle name="Comma 5 2 3 3 3" xfId="1046"/>
    <cellStyle name="Comma 5 2 3 3 3 2" xfId="1047"/>
    <cellStyle name="Comma 5 2 3 3 4" xfId="1048"/>
    <cellStyle name="Comma 5 2 3 4" xfId="1049"/>
    <cellStyle name="Comma 5 2 3 4 2" xfId="1050"/>
    <cellStyle name="Comma 5 2 3 5" xfId="1051"/>
    <cellStyle name="Comma 5 2 3 5 2" xfId="1052"/>
    <cellStyle name="Comma 5 2 3 6" xfId="1053"/>
    <cellStyle name="Comma 5 2 4" xfId="1054"/>
    <cellStyle name="Comma 5 2 4 2" xfId="1055"/>
    <cellStyle name="Comma 5 2 4 2 2" xfId="1056"/>
    <cellStyle name="Comma 5 2 4 2 2 2" xfId="1057"/>
    <cellStyle name="Comma 5 2 4 2 3" xfId="1058"/>
    <cellStyle name="Comma 5 2 4 2 3 2" xfId="1059"/>
    <cellStyle name="Comma 5 2 4 2 4" xfId="1060"/>
    <cellStyle name="Comma 5 2 4 3" xfId="1061"/>
    <cellStyle name="Comma 5 2 4 3 2" xfId="1062"/>
    <cellStyle name="Comma 5 2 4 4" xfId="1063"/>
    <cellStyle name="Comma 5 2 4 4 2" xfId="1064"/>
    <cellStyle name="Comma 5 2 4 5" xfId="1065"/>
    <cellStyle name="Comma 5 2 5" xfId="1066"/>
    <cellStyle name="Comma 5 2 5 2" xfId="1067"/>
    <cellStyle name="Comma 5 2 5 2 2" xfId="1068"/>
    <cellStyle name="Comma 5 2 5 3" xfId="1069"/>
    <cellStyle name="Comma 5 2 5 3 2" xfId="1070"/>
    <cellStyle name="Comma 5 2 5 4" xfId="1071"/>
    <cellStyle name="Comma 5 2 6" xfId="1072"/>
    <cellStyle name="Comma 5 2 6 2" xfId="1073"/>
    <cellStyle name="Comma 5 2 7" xfId="1074"/>
    <cellStyle name="Comma 5 2 7 2" xfId="1075"/>
    <cellStyle name="Comma 5 2 8" xfId="1076"/>
    <cellStyle name="Comma 5 2 9" xfId="1077"/>
    <cellStyle name="Comma 5 3" xfId="1078"/>
    <cellStyle name="Comma 5 3 2" xfId="1079"/>
    <cellStyle name="Comma 5 3 2 2" xfId="1080"/>
    <cellStyle name="Comma 5 3 2 2 2" xfId="1081"/>
    <cellStyle name="Comma 5 3 2 2 2 2" xfId="1082"/>
    <cellStyle name="Comma 5 3 2 2 2 2 2" xfId="1083"/>
    <cellStyle name="Comma 5 3 2 2 2 3" xfId="1084"/>
    <cellStyle name="Comma 5 3 2 2 2 3 2" xfId="1085"/>
    <cellStyle name="Comma 5 3 2 2 2 4" xfId="1086"/>
    <cellStyle name="Comma 5 3 2 2 3" xfId="1087"/>
    <cellStyle name="Comma 5 3 2 2 3 2" xfId="1088"/>
    <cellStyle name="Comma 5 3 2 2 4" xfId="1089"/>
    <cellStyle name="Comma 5 3 2 2 4 2" xfId="1090"/>
    <cellStyle name="Comma 5 3 2 2 5" xfId="1091"/>
    <cellStyle name="Comma 5 3 2 3" xfId="1092"/>
    <cellStyle name="Comma 5 3 2 3 2" xfId="1093"/>
    <cellStyle name="Comma 5 3 2 3 2 2" xfId="1094"/>
    <cellStyle name="Comma 5 3 2 3 3" xfId="1095"/>
    <cellStyle name="Comma 5 3 2 3 3 2" xfId="1096"/>
    <cellStyle name="Comma 5 3 2 3 4" xfId="1097"/>
    <cellStyle name="Comma 5 3 2 4" xfId="1098"/>
    <cellStyle name="Comma 5 3 2 4 2" xfId="1099"/>
    <cellStyle name="Comma 5 3 2 5" xfId="1100"/>
    <cellStyle name="Comma 5 3 2 5 2" xfId="1101"/>
    <cellStyle name="Comma 5 3 2 6" xfId="1102"/>
    <cellStyle name="Comma 5 3 3" xfId="1103"/>
    <cellStyle name="Comma 5 3 3 2" xfId="1104"/>
    <cellStyle name="Comma 5 3 3 2 2" xfId="1105"/>
    <cellStyle name="Comma 5 3 3 2 2 2" xfId="1106"/>
    <cellStyle name="Comma 5 3 3 2 3" xfId="1107"/>
    <cellStyle name="Comma 5 3 3 2 3 2" xfId="1108"/>
    <cellStyle name="Comma 5 3 3 2 4" xfId="1109"/>
    <cellStyle name="Comma 5 3 3 3" xfId="1110"/>
    <cellStyle name="Comma 5 3 3 3 2" xfId="1111"/>
    <cellStyle name="Comma 5 3 3 4" xfId="1112"/>
    <cellStyle name="Comma 5 3 3 4 2" xfId="1113"/>
    <cellStyle name="Comma 5 3 3 5" xfId="1114"/>
    <cellStyle name="Comma 5 3 4" xfId="1115"/>
    <cellStyle name="Comma 5 3 4 2" xfId="1116"/>
    <cellStyle name="Comma 5 3 4 2 2" xfId="1117"/>
    <cellStyle name="Comma 5 3 4 3" xfId="1118"/>
    <cellStyle name="Comma 5 3 4 3 2" xfId="1119"/>
    <cellStyle name="Comma 5 3 4 4" xfId="1120"/>
    <cellStyle name="Comma 5 3 5" xfId="1121"/>
    <cellStyle name="Comma 5 3 5 2" xfId="1122"/>
    <cellStyle name="Comma 5 3 6" xfId="1123"/>
    <cellStyle name="Comma 5 3 6 2" xfId="1124"/>
    <cellStyle name="Comma 5 3 7" xfId="1125"/>
    <cellStyle name="Comma 5 3 8" xfId="1126"/>
    <cellStyle name="Comma 5 4" xfId="1127"/>
    <cellStyle name="Comma 5 4 2" xfId="1128"/>
    <cellStyle name="Comma 5 4 2 2" xfId="1129"/>
    <cellStyle name="Comma 5 4 2 2 2" xfId="1130"/>
    <cellStyle name="Comma 5 4 2 2 2 2" xfId="1131"/>
    <cellStyle name="Comma 5 4 2 2 2 2 2" xfId="1132"/>
    <cellStyle name="Comma 5 4 2 2 2 3" xfId="1133"/>
    <cellStyle name="Comma 5 4 2 2 2 3 2" xfId="1134"/>
    <cellStyle name="Comma 5 4 2 2 2 4" xfId="1135"/>
    <cellStyle name="Comma 5 4 2 2 3" xfId="1136"/>
    <cellStyle name="Comma 5 4 2 2 3 2" xfId="1137"/>
    <cellStyle name="Comma 5 4 2 2 4" xfId="1138"/>
    <cellStyle name="Comma 5 4 2 2 4 2" xfId="1139"/>
    <cellStyle name="Comma 5 4 2 2 5" xfId="1140"/>
    <cellStyle name="Comma 5 4 2 3" xfId="1141"/>
    <cellStyle name="Comma 5 4 2 3 2" xfId="1142"/>
    <cellStyle name="Comma 5 4 2 3 2 2" xfId="1143"/>
    <cellStyle name="Comma 5 4 2 3 3" xfId="1144"/>
    <cellStyle name="Comma 5 4 2 3 3 2" xfId="1145"/>
    <cellStyle name="Comma 5 4 2 3 4" xfId="1146"/>
    <cellStyle name="Comma 5 4 2 4" xfId="1147"/>
    <cellStyle name="Comma 5 4 2 4 2" xfId="1148"/>
    <cellStyle name="Comma 5 4 2 5" xfId="1149"/>
    <cellStyle name="Comma 5 4 2 5 2" xfId="1150"/>
    <cellStyle name="Comma 5 4 2 6" xfId="1151"/>
    <cellStyle name="Comma 5 4 3" xfId="1152"/>
    <cellStyle name="Comma 5 4 3 2" xfId="1153"/>
    <cellStyle name="Comma 5 4 3 2 2" xfId="1154"/>
    <cellStyle name="Comma 5 4 3 2 2 2" xfId="1155"/>
    <cellStyle name="Comma 5 4 3 2 3" xfId="1156"/>
    <cellStyle name="Comma 5 4 3 2 3 2" xfId="1157"/>
    <cellStyle name="Comma 5 4 3 2 4" xfId="1158"/>
    <cellStyle name="Comma 5 4 3 3" xfId="1159"/>
    <cellStyle name="Comma 5 4 3 3 2" xfId="1160"/>
    <cellStyle name="Comma 5 4 3 4" xfId="1161"/>
    <cellStyle name="Comma 5 4 3 4 2" xfId="1162"/>
    <cellStyle name="Comma 5 4 3 5" xfId="1163"/>
    <cellStyle name="Comma 5 4 4" xfId="1164"/>
    <cellStyle name="Comma 5 4 4 2" xfId="1165"/>
    <cellStyle name="Comma 5 4 4 2 2" xfId="1166"/>
    <cellStyle name="Comma 5 4 4 3" xfId="1167"/>
    <cellStyle name="Comma 5 4 4 3 2" xfId="1168"/>
    <cellStyle name="Comma 5 4 4 4" xfId="1169"/>
    <cellStyle name="Comma 5 4 5" xfId="1170"/>
    <cellStyle name="Comma 5 4 5 2" xfId="1171"/>
    <cellStyle name="Comma 5 4 6" xfId="1172"/>
    <cellStyle name="Comma 5 4 6 2" xfId="1173"/>
    <cellStyle name="Comma 5 4 7" xfId="1174"/>
    <cellStyle name="Comma 5 5" xfId="1175"/>
    <cellStyle name="Comma 5 5 2" xfId="1176"/>
    <cellStyle name="Comma 5 5 2 2" xfId="1177"/>
    <cellStyle name="Comma 5 5 2 2 2" xfId="1178"/>
    <cellStyle name="Comma 5 5 2 2 2 2" xfId="1179"/>
    <cellStyle name="Comma 5 5 2 2 3" xfId="1180"/>
    <cellStyle name="Comma 5 5 2 2 3 2" xfId="1181"/>
    <cellStyle name="Comma 5 5 2 2 4" xfId="1182"/>
    <cellStyle name="Comma 5 5 2 3" xfId="1183"/>
    <cellStyle name="Comma 5 5 2 3 2" xfId="1184"/>
    <cellStyle name="Comma 5 5 2 4" xfId="1185"/>
    <cellStyle name="Comma 5 5 2 4 2" xfId="1186"/>
    <cellStyle name="Comma 5 5 2 5" xfId="1187"/>
    <cellStyle name="Comma 5 5 3" xfId="1188"/>
    <cellStyle name="Comma 5 5 3 2" xfId="1189"/>
    <cellStyle name="Comma 5 5 3 2 2" xfId="1190"/>
    <cellStyle name="Comma 5 5 3 3" xfId="1191"/>
    <cellStyle name="Comma 5 5 3 3 2" xfId="1192"/>
    <cellStyle name="Comma 5 5 3 4" xfId="1193"/>
    <cellStyle name="Comma 5 5 4" xfId="1194"/>
    <cellStyle name="Comma 5 5 4 2" xfId="1195"/>
    <cellStyle name="Comma 5 5 5" xfId="1196"/>
    <cellStyle name="Comma 5 5 5 2" xfId="1197"/>
    <cellStyle name="Comma 5 5 6" xfId="1198"/>
    <cellStyle name="Comma 5 6" xfId="1199"/>
    <cellStyle name="Comma 5 6 2" xfId="1200"/>
    <cellStyle name="Comma 5 6 2 2" xfId="1201"/>
    <cellStyle name="Comma 5 6 2 2 2" xfId="1202"/>
    <cellStyle name="Comma 5 6 2 3" xfId="1203"/>
    <cellStyle name="Comma 5 6 2 3 2" xfId="1204"/>
    <cellStyle name="Comma 5 6 2 4" xfId="1205"/>
    <cellStyle name="Comma 5 6 3" xfId="1206"/>
    <cellStyle name="Comma 5 6 3 2" xfId="1207"/>
    <cellStyle name="Comma 5 6 4" xfId="1208"/>
    <cellStyle name="Comma 5 6 4 2" xfId="1209"/>
    <cellStyle name="Comma 5 6 5" xfId="1210"/>
    <cellStyle name="Comma 5 7" xfId="1211"/>
    <cellStyle name="Comma 5 7 2" xfId="1212"/>
    <cellStyle name="Comma 5 7 2 2" xfId="1213"/>
    <cellStyle name="Comma 5 7 3" xfId="1214"/>
    <cellStyle name="Comma 5 7 3 2" xfId="1215"/>
    <cellStyle name="Comma 5 7 4" xfId="1216"/>
    <cellStyle name="Comma 5 8" xfId="1217"/>
    <cellStyle name="Comma 5 8 2" xfId="1218"/>
    <cellStyle name="Comma 5 9" xfId="1219"/>
    <cellStyle name="Comma 5 9 2" xfId="1220"/>
    <cellStyle name="Comma 6" xfId="1221"/>
    <cellStyle name="Comma 6 10" xfId="1222"/>
    <cellStyle name="Comma 6 2" xfId="1223"/>
    <cellStyle name="Comma 6 2 2" xfId="1224"/>
    <cellStyle name="Comma 6 2 2 2" xfId="1225"/>
    <cellStyle name="Comma 6 2 2 2 2" xfId="1226"/>
    <cellStyle name="Comma 6 2 2 2 2 2" xfId="1227"/>
    <cellStyle name="Comma 6 2 2 2 2 2 2" xfId="1228"/>
    <cellStyle name="Comma 6 2 2 2 2 2 2 2" xfId="1229"/>
    <cellStyle name="Comma 6 2 2 2 2 2 3" xfId="1230"/>
    <cellStyle name="Comma 6 2 2 2 2 2 3 2" xfId="1231"/>
    <cellStyle name="Comma 6 2 2 2 2 2 4" xfId="1232"/>
    <cellStyle name="Comma 6 2 2 2 2 3" xfId="1233"/>
    <cellStyle name="Comma 6 2 2 2 2 3 2" xfId="1234"/>
    <cellStyle name="Comma 6 2 2 2 2 4" xfId="1235"/>
    <cellStyle name="Comma 6 2 2 2 2 4 2" xfId="1236"/>
    <cellStyle name="Comma 6 2 2 2 2 5" xfId="1237"/>
    <cellStyle name="Comma 6 2 2 2 3" xfId="1238"/>
    <cellStyle name="Comma 6 2 2 2 3 2" xfId="1239"/>
    <cellStyle name="Comma 6 2 2 2 3 2 2" xfId="1240"/>
    <cellStyle name="Comma 6 2 2 2 3 3" xfId="1241"/>
    <cellStyle name="Comma 6 2 2 2 3 3 2" xfId="1242"/>
    <cellStyle name="Comma 6 2 2 2 3 4" xfId="1243"/>
    <cellStyle name="Comma 6 2 2 2 4" xfId="1244"/>
    <cellStyle name="Comma 6 2 2 2 4 2" xfId="1245"/>
    <cellStyle name="Comma 6 2 2 2 5" xfId="1246"/>
    <cellStyle name="Comma 6 2 2 2 5 2" xfId="1247"/>
    <cellStyle name="Comma 6 2 2 2 6" xfId="1248"/>
    <cellStyle name="Comma 6 2 2 3" xfId="1249"/>
    <cellStyle name="Comma 6 2 2 3 2" xfId="1250"/>
    <cellStyle name="Comma 6 2 2 3 2 2" xfId="1251"/>
    <cellStyle name="Comma 6 2 2 3 2 2 2" xfId="1252"/>
    <cellStyle name="Comma 6 2 2 3 2 3" xfId="1253"/>
    <cellStyle name="Comma 6 2 2 3 2 3 2" xfId="1254"/>
    <cellStyle name="Comma 6 2 2 3 2 4" xfId="1255"/>
    <cellStyle name="Comma 6 2 2 3 3" xfId="1256"/>
    <cellStyle name="Comma 6 2 2 3 3 2" xfId="1257"/>
    <cellStyle name="Comma 6 2 2 3 4" xfId="1258"/>
    <cellStyle name="Comma 6 2 2 3 4 2" xfId="1259"/>
    <cellStyle name="Comma 6 2 2 3 5" xfId="1260"/>
    <cellStyle name="Comma 6 2 2 4" xfId="1261"/>
    <cellStyle name="Comma 6 2 2 4 2" xfId="1262"/>
    <cellStyle name="Comma 6 2 2 4 2 2" xfId="1263"/>
    <cellStyle name="Comma 6 2 2 4 3" xfId="1264"/>
    <cellStyle name="Comma 6 2 2 4 3 2" xfId="1265"/>
    <cellStyle name="Comma 6 2 2 4 4" xfId="1266"/>
    <cellStyle name="Comma 6 2 2 5" xfId="1267"/>
    <cellStyle name="Comma 6 2 2 5 2" xfId="1268"/>
    <cellStyle name="Comma 6 2 2 6" xfId="1269"/>
    <cellStyle name="Comma 6 2 2 6 2" xfId="1270"/>
    <cellStyle name="Comma 6 2 2 7" xfId="1271"/>
    <cellStyle name="Comma 6 2 3" xfId="1272"/>
    <cellStyle name="Comma 6 2 3 2" xfId="1273"/>
    <cellStyle name="Comma 6 2 3 2 2" xfId="1274"/>
    <cellStyle name="Comma 6 2 3 2 2 2" xfId="1275"/>
    <cellStyle name="Comma 6 2 3 2 2 2 2" xfId="1276"/>
    <cellStyle name="Comma 6 2 3 2 2 3" xfId="1277"/>
    <cellStyle name="Comma 6 2 3 2 2 3 2" xfId="1278"/>
    <cellStyle name="Comma 6 2 3 2 2 4" xfId="1279"/>
    <cellStyle name="Comma 6 2 3 2 3" xfId="1280"/>
    <cellStyle name="Comma 6 2 3 2 3 2" xfId="1281"/>
    <cellStyle name="Comma 6 2 3 2 4" xfId="1282"/>
    <cellStyle name="Comma 6 2 3 2 4 2" xfId="1283"/>
    <cellStyle name="Comma 6 2 3 2 5" xfId="1284"/>
    <cellStyle name="Comma 6 2 3 3" xfId="1285"/>
    <cellStyle name="Comma 6 2 3 3 2" xfId="1286"/>
    <cellStyle name="Comma 6 2 3 3 2 2" xfId="1287"/>
    <cellStyle name="Comma 6 2 3 3 3" xfId="1288"/>
    <cellStyle name="Comma 6 2 3 3 3 2" xfId="1289"/>
    <cellStyle name="Comma 6 2 3 3 4" xfId="1290"/>
    <cellStyle name="Comma 6 2 3 4" xfId="1291"/>
    <cellStyle name="Comma 6 2 3 4 2" xfId="1292"/>
    <cellStyle name="Comma 6 2 3 5" xfId="1293"/>
    <cellStyle name="Comma 6 2 3 5 2" xfId="1294"/>
    <cellStyle name="Comma 6 2 3 6" xfId="1295"/>
    <cellStyle name="Comma 6 2 4" xfId="1296"/>
    <cellStyle name="Comma 6 2 4 2" xfId="1297"/>
    <cellStyle name="Comma 6 2 4 2 2" xfId="1298"/>
    <cellStyle name="Comma 6 2 4 2 2 2" xfId="1299"/>
    <cellStyle name="Comma 6 2 4 2 3" xfId="1300"/>
    <cellStyle name="Comma 6 2 4 2 3 2" xfId="1301"/>
    <cellStyle name="Comma 6 2 4 2 4" xfId="1302"/>
    <cellStyle name="Comma 6 2 4 3" xfId="1303"/>
    <cellStyle name="Comma 6 2 4 3 2" xfId="1304"/>
    <cellStyle name="Comma 6 2 4 4" xfId="1305"/>
    <cellStyle name="Comma 6 2 4 4 2" xfId="1306"/>
    <cellStyle name="Comma 6 2 4 5" xfId="1307"/>
    <cellStyle name="Comma 6 2 5" xfId="1308"/>
    <cellStyle name="Comma 6 2 5 2" xfId="1309"/>
    <cellStyle name="Comma 6 2 5 2 2" xfId="1310"/>
    <cellStyle name="Comma 6 2 5 3" xfId="1311"/>
    <cellStyle name="Comma 6 2 5 3 2" xfId="1312"/>
    <cellStyle name="Comma 6 2 5 4" xfId="1313"/>
    <cellStyle name="Comma 6 2 6" xfId="1314"/>
    <cellStyle name="Comma 6 2 6 2" xfId="1315"/>
    <cellStyle name="Comma 6 2 7" xfId="1316"/>
    <cellStyle name="Comma 6 2 7 2" xfId="1317"/>
    <cellStyle name="Comma 6 2 8" xfId="1318"/>
    <cellStyle name="Comma 6 3" xfId="1319"/>
    <cellStyle name="Comma 6 3 2" xfId="1320"/>
    <cellStyle name="Comma 6 3 2 2" xfId="1321"/>
    <cellStyle name="Comma 6 3 2 2 2" xfId="1322"/>
    <cellStyle name="Comma 6 3 2 2 2 2" xfId="1323"/>
    <cellStyle name="Comma 6 3 2 2 2 2 2" xfId="1324"/>
    <cellStyle name="Comma 6 3 2 2 2 3" xfId="1325"/>
    <cellStyle name="Comma 6 3 2 2 2 3 2" xfId="1326"/>
    <cellStyle name="Comma 6 3 2 2 2 4" xfId="1327"/>
    <cellStyle name="Comma 6 3 2 2 3" xfId="1328"/>
    <cellStyle name="Comma 6 3 2 2 3 2" xfId="1329"/>
    <cellStyle name="Comma 6 3 2 2 4" xfId="1330"/>
    <cellStyle name="Comma 6 3 2 2 4 2" xfId="1331"/>
    <cellStyle name="Comma 6 3 2 2 5" xfId="1332"/>
    <cellStyle name="Comma 6 3 2 3" xfId="1333"/>
    <cellStyle name="Comma 6 3 2 3 2" xfId="1334"/>
    <cellStyle name="Comma 6 3 2 3 2 2" xfId="1335"/>
    <cellStyle name="Comma 6 3 2 3 3" xfId="1336"/>
    <cellStyle name="Comma 6 3 2 3 3 2" xfId="1337"/>
    <cellStyle name="Comma 6 3 2 3 4" xfId="1338"/>
    <cellStyle name="Comma 6 3 2 4" xfId="1339"/>
    <cellStyle name="Comma 6 3 2 4 2" xfId="1340"/>
    <cellStyle name="Comma 6 3 2 5" xfId="1341"/>
    <cellStyle name="Comma 6 3 2 5 2" xfId="1342"/>
    <cellStyle name="Comma 6 3 2 6" xfId="1343"/>
    <cellStyle name="Comma 6 3 3" xfId="1344"/>
    <cellStyle name="Comma 6 3 3 2" xfId="1345"/>
    <cellStyle name="Comma 6 3 3 2 2" xfId="1346"/>
    <cellStyle name="Comma 6 3 3 2 2 2" xfId="1347"/>
    <cellStyle name="Comma 6 3 3 2 3" xfId="1348"/>
    <cellStyle name="Comma 6 3 3 2 3 2" xfId="1349"/>
    <cellStyle name="Comma 6 3 3 2 4" xfId="1350"/>
    <cellStyle name="Comma 6 3 3 3" xfId="1351"/>
    <cellStyle name="Comma 6 3 3 3 2" xfId="1352"/>
    <cellStyle name="Comma 6 3 3 4" xfId="1353"/>
    <cellStyle name="Comma 6 3 3 4 2" xfId="1354"/>
    <cellStyle name="Comma 6 3 3 5" xfId="1355"/>
    <cellStyle name="Comma 6 3 4" xfId="1356"/>
    <cellStyle name="Comma 6 3 4 2" xfId="1357"/>
    <cellStyle name="Comma 6 3 4 2 2" xfId="1358"/>
    <cellStyle name="Comma 6 3 4 3" xfId="1359"/>
    <cellStyle name="Comma 6 3 4 3 2" xfId="1360"/>
    <cellStyle name="Comma 6 3 4 4" xfId="1361"/>
    <cellStyle name="Comma 6 3 5" xfId="1362"/>
    <cellStyle name="Comma 6 3 5 2" xfId="1363"/>
    <cellStyle name="Comma 6 3 6" xfId="1364"/>
    <cellStyle name="Comma 6 3 6 2" xfId="1365"/>
    <cellStyle name="Comma 6 3 7" xfId="1366"/>
    <cellStyle name="Comma 6 4" xfId="1367"/>
    <cellStyle name="Comma 6 4 2" xfId="1368"/>
    <cellStyle name="Comma 6 4 2 2" xfId="1369"/>
    <cellStyle name="Comma 6 4 2 2 2" xfId="1370"/>
    <cellStyle name="Comma 6 4 2 2 2 2" xfId="1371"/>
    <cellStyle name="Comma 6 4 2 2 2 2 2" xfId="1372"/>
    <cellStyle name="Comma 6 4 2 2 2 3" xfId="1373"/>
    <cellStyle name="Comma 6 4 2 2 2 3 2" xfId="1374"/>
    <cellStyle name="Comma 6 4 2 2 2 4" xfId="1375"/>
    <cellStyle name="Comma 6 4 2 2 3" xfId="1376"/>
    <cellStyle name="Comma 6 4 2 2 3 2" xfId="1377"/>
    <cellStyle name="Comma 6 4 2 2 4" xfId="1378"/>
    <cellStyle name="Comma 6 4 2 2 4 2" xfId="1379"/>
    <cellStyle name="Comma 6 4 2 2 5" xfId="1380"/>
    <cellStyle name="Comma 6 4 2 3" xfId="1381"/>
    <cellStyle name="Comma 6 4 2 3 2" xfId="1382"/>
    <cellStyle name="Comma 6 4 2 3 2 2" xfId="1383"/>
    <cellStyle name="Comma 6 4 2 3 3" xfId="1384"/>
    <cellStyle name="Comma 6 4 2 3 3 2" xfId="1385"/>
    <cellStyle name="Comma 6 4 2 3 4" xfId="1386"/>
    <cellStyle name="Comma 6 4 2 4" xfId="1387"/>
    <cellStyle name="Comma 6 4 2 4 2" xfId="1388"/>
    <cellStyle name="Comma 6 4 2 5" xfId="1389"/>
    <cellStyle name="Comma 6 4 2 5 2" xfId="1390"/>
    <cellStyle name="Comma 6 4 2 6" xfId="1391"/>
    <cellStyle name="Comma 6 4 3" xfId="1392"/>
    <cellStyle name="Comma 6 4 3 2" xfId="1393"/>
    <cellStyle name="Comma 6 4 3 2 2" xfId="1394"/>
    <cellStyle name="Comma 6 4 3 2 2 2" xfId="1395"/>
    <cellStyle name="Comma 6 4 3 2 3" xfId="1396"/>
    <cellStyle name="Comma 6 4 3 2 3 2" xfId="1397"/>
    <cellStyle name="Comma 6 4 3 2 4" xfId="1398"/>
    <cellStyle name="Comma 6 4 3 3" xfId="1399"/>
    <cellStyle name="Comma 6 4 3 3 2" xfId="1400"/>
    <cellStyle name="Comma 6 4 3 4" xfId="1401"/>
    <cellStyle name="Comma 6 4 3 4 2" xfId="1402"/>
    <cellStyle name="Comma 6 4 3 5" xfId="1403"/>
    <cellStyle name="Comma 6 4 4" xfId="1404"/>
    <cellStyle name="Comma 6 4 4 2" xfId="1405"/>
    <cellStyle name="Comma 6 4 4 2 2" xfId="1406"/>
    <cellStyle name="Comma 6 4 4 3" xfId="1407"/>
    <cellStyle name="Comma 6 4 4 3 2" xfId="1408"/>
    <cellStyle name="Comma 6 4 4 4" xfId="1409"/>
    <cellStyle name="Comma 6 4 5" xfId="1410"/>
    <cellStyle name="Comma 6 4 5 2" xfId="1411"/>
    <cellStyle name="Comma 6 4 6" xfId="1412"/>
    <cellStyle name="Comma 6 4 6 2" xfId="1413"/>
    <cellStyle name="Comma 6 4 7" xfId="1414"/>
    <cellStyle name="Comma 6 5" xfId="1415"/>
    <cellStyle name="Comma 6 5 2" xfId="1416"/>
    <cellStyle name="Comma 6 5 2 2" xfId="1417"/>
    <cellStyle name="Comma 6 5 2 2 2" xfId="1418"/>
    <cellStyle name="Comma 6 5 2 2 2 2" xfId="1419"/>
    <cellStyle name="Comma 6 5 2 2 3" xfId="1420"/>
    <cellStyle name="Comma 6 5 2 2 3 2" xfId="1421"/>
    <cellStyle name="Comma 6 5 2 2 4" xfId="1422"/>
    <cellStyle name="Comma 6 5 2 3" xfId="1423"/>
    <cellStyle name="Comma 6 5 2 3 2" xfId="1424"/>
    <cellStyle name="Comma 6 5 2 4" xfId="1425"/>
    <cellStyle name="Comma 6 5 2 4 2" xfId="1426"/>
    <cellStyle name="Comma 6 5 2 5" xfId="1427"/>
    <cellStyle name="Comma 6 5 3" xfId="1428"/>
    <cellStyle name="Comma 6 5 3 2" xfId="1429"/>
    <cellStyle name="Comma 6 5 3 2 2" xfId="1430"/>
    <cellStyle name="Comma 6 5 3 3" xfId="1431"/>
    <cellStyle name="Comma 6 5 3 3 2" xfId="1432"/>
    <cellStyle name="Comma 6 5 3 4" xfId="1433"/>
    <cellStyle name="Comma 6 5 4" xfId="1434"/>
    <cellStyle name="Comma 6 5 4 2" xfId="1435"/>
    <cellStyle name="Comma 6 5 5" xfId="1436"/>
    <cellStyle name="Comma 6 5 5 2" xfId="1437"/>
    <cellStyle name="Comma 6 5 6" xfId="1438"/>
    <cellStyle name="Comma 6 6" xfId="1439"/>
    <cellStyle name="Comma 6 6 2" xfId="1440"/>
    <cellStyle name="Comma 6 6 2 2" xfId="1441"/>
    <cellStyle name="Comma 6 6 2 2 2" xfId="1442"/>
    <cellStyle name="Comma 6 6 2 3" xfId="1443"/>
    <cellStyle name="Comma 6 6 2 3 2" xfId="1444"/>
    <cellStyle name="Comma 6 6 2 4" xfId="1445"/>
    <cellStyle name="Comma 6 6 3" xfId="1446"/>
    <cellStyle name="Comma 6 6 3 2" xfId="1447"/>
    <cellStyle name="Comma 6 6 4" xfId="1448"/>
    <cellStyle name="Comma 6 6 4 2" xfId="1449"/>
    <cellStyle name="Comma 6 6 5" xfId="1450"/>
    <cellStyle name="Comma 6 7" xfId="1451"/>
    <cellStyle name="Comma 6 7 2" xfId="1452"/>
    <cellStyle name="Comma 6 7 2 2" xfId="1453"/>
    <cellStyle name="Comma 6 7 3" xfId="1454"/>
    <cellStyle name="Comma 6 7 3 2" xfId="1455"/>
    <cellStyle name="Comma 6 7 4" xfId="1456"/>
    <cellStyle name="Comma 6 8" xfId="1457"/>
    <cellStyle name="Comma 6 8 2" xfId="1458"/>
    <cellStyle name="Comma 6 9" xfId="1459"/>
    <cellStyle name="Comma 6 9 2" xfId="1460"/>
    <cellStyle name="Comma 7" xfId="1461"/>
    <cellStyle name="Comma 7 10" xfId="1462"/>
    <cellStyle name="Comma 7 2" xfId="1463"/>
    <cellStyle name="Comma 7 2 2" xfId="1464"/>
    <cellStyle name="Comma 7 2 2 2" xfId="1465"/>
    <cellStyle name="Comma 7 2 2 2 2" xfId="1466"/>
    <cellStyle name="Comma 7 2 2 2 2 2" xfId="1467"/>
    <cellStyle name="Comma 7 2 2 2 2 2 2" xfId="1468"/>
    <cellStyle name="Comma 7 2 2 2 2 2 2 2" xfId="1469"/>
    <cellStyle name="Comma 7 2 2 2 2 2 3" xfId="1470"/>
    <cellStyle name="Comma 7 2 2 2 2 2 3 2" xfId="1471"/>
    <cellStyle name="Comma 7 2 2 2 2 2 4" xfId="1472"/>
    <cellStyle name="Comma 7 2 2 2 2 3" xfId="1473"/>
    <cellStyle name="Comma 7 2 2 2 2 3 2" xfId="1474"/>
    <cellStyle name="Comma 7 2 2 2 2 4" xfId="1475"/>
    <cellStyle name="Comma 7 2 2 2 2 4 2" xfId="1476"/>
    <cellStyle name="Comma 7 2 2 2 2 5" xfId="1477"/>
    <cellStyle name="Comma 7 2 2 2 3" xfId="1478"/>
    <cellStyle name="Comma 7 2 2 2 3 2" xfId="1479"/>
    <cellStyle name="Comma 7 2 2 2 3 2 2" xfId="1480"/>
    <cellStyle name="Comma 7 2 2 2 3 3" xfId="1481"/>
    <cellStyle name="Comma 7 2 2 2 3 3 2" xfId="1482"/>
    <cellStyle name="Comma 7 2 2 2 3 4" xfId="1483"/>
    <cellStyle name="Comma 7 2 2 2 4" xfId="1484"/>
    <cellStyle name="Comma 7 2 2 2 4 2" xfId="1485"/>
    <cellStyle name="Comma 7 2 2 2 5" xfId="1486"/>
    <cellStyle name="Comma 7 2 2 2 5 2" xfId="1487"/>
    <cellStyle name="Comma 7 2 2 2 6" xfId="1488"/>
    <cellStyle name="Comma 7 2 2 3" xfId="1489"/>
    <cellStyle name="Comma 7 2 2 3 2" xfId="1490"/>
    <cellStyle name="Comma 7 2 2 3 2 2" xfId="1491"/>
    <cellStyle name="Comma 7 2 2 3 2 2 2" xfId="1492"/>
    <cellStyle name="Comma 7 2 2 3 2 3" xfId="1493"/>
    <cellStyle name="Comma 7 2 2 3 2 3 2" xfId="1494"/>
    <cellStyle name="Comma 7 2 2 3 2 4" xfId="1495"/>
    <cellStyle name="Comma 7 2 2 3 3" xfId="1496"/>
    <cellStyle name="Comma 7 2 2 3 3 2" xfId="1497"/>
    <cellStyle name="Comma 7 2 2 3 4" xfId="1498"/>
    <cellStyle name="Comma 7 2 2 3 4 2" xfId="1499"/>
    <cellStyle name="Comma 7 2 2 3 5" xfId="1500"/>
    <cellStyle name="Comma 7 2 2 4" xfId="1501"/>
    <cellStyle name="Comma 7 2 2 4 2" xfId="1502"/>
    <cellStyle name="Comma 7 2 2 4 2 2" xfId="1503"/>
    <cellStyle name="Comma 7 2 2 4 3" xfId="1504"/>
    <cellStyle name="Comma 7 2 2 4 3 2" xfId="1505"/>
    <cellStyle name="Comma 7 2 2 4 4" xfId="1506"/>
    <cellStyle name="Comma 7 2 2 5" xfId="1507"/>
    <cellStyle name="Comma 7 2 2 5 2" xfId="1508"/>
    <cellStyle name="Comma 7 2 2 6" xfId="1509"/>
    <cellStyle name="Comma 7 2 2 6 2" xfId="1510"/>
    <cellStyle name="Comma 7 2 2 7" xfId="1511"/>
    <cellStyle name="Comma 7 2 3" xfId="1512"/>
    <cellStyle name="Comma 7 2 3 2" xfId="1513"/>
    <cellStyle name="Comma 7 2 3 2 2" xfId="1514"/>
    <cellStyle name="Comma 7 2 3 2 2 2" xfId="1515"/>
    <cellStyle name="Comma 7 2 3 2 2 2 2" xfId="1516"/>
    <cellStyle name="Comma 7 2 3 2 2 3" xfId="1517"/>
    <cellStyle name="Comma 7 2 3 2 2 3 2" xfId="1518"/>
    <cellStyle name="Comma 7 2 3 2 2 4" xfId="1519"/>
    <cellStyle name="Comma 7 2 3 2 3" xfId="1520"/>
    <cellStyle name="Comma 7 2 3 2 3 2" xfId="1521"/>
    <cellStyle name="Comma 7 2 3 2 4" xfId="1522"/>
    <cellStyle name="Comma 7 2 3 2 4 2" xfId="1523"/>
    <cellStyle name="Comma 7 2 3 2 5" xfId="1524"/>
    <cellStyle name="Comma 7 2 3 3" xfId="1525"/>
    <cellStyle name="Comma 7 2 3 3 2" xfId="1526"/>
    <cellStyle name="Comma 7 2 3 3 2 2" xfId="1527"/>
    <cellStyle name="Comma 7 2 3 3 3" xfId="1528"/>
    <cellStyle name="Comma 7 2 3 3 3 2" xfId="1529"/>
    <cellStyle name="Comma 7 2 3 3 4" xfId="1530"/>
    <cellStyle name="Comma 7 2 3 4" xfId="1531"/>
    <cellStyle name="Comma 7 2 3 4 2" xfId="1532"/>
    <cellStyle name="Comma 7 2 3 5" xfId="1533"/>
    <cellStyle name="Comma 7 2 3 5 2" xfId="1534"/>
    <cellStyle name="Comma 7 2 3 6" xfId="1535"/>
    <cellStyle name="Comma 7 2 4" xfId="1536"/>
    <cellStyle name="Comma 7 2 4 2" xfId="1537"/>
    <cellStyle name="Comma 7 2 4 2 2" xfId="1538"/>
    <cellStyle name="Comma 7 2 4 2 2 2" xfId="1539"/>
    <cellStyle name="Comma 7 2 4 2 3" xfId="1540"/>
    <cellStyle name="Comma 7 2 4 2 3 2" xfId="1541"/>
    <cellStyle name="Comma 7 2 4 2 4" xfId="1542"/>
    <cellStyle name="Comma 7 2 4 3" xfId="1543"/>
    <cellStyle name="Comma 7 2 4 3 2" xfId="1544"/>
    <cellStyle name="Comma 7 2 4 4" xfId="1545"/>
    <cellStyle name="Comma 7 2 4 4 2" xfId="1546"/>
    <cellStyle name="Comma 7 2 4 5" xfId="1547"/>
    <cellStyle name="Comma 7 2 5" xfId="1548"/>
    <cellStyle name="Comma 7 2 5 2" xfId="1549"/>
    <cellStyle name="Comma 7 2 5 2 2" xfId="1550"/>
    <cellStyle name="Comma 7 2 5 3" xfId="1551"/>
    <cellStyle name="Comma 7 2 5 3 2" xfId="1552"/>
    <cellStyle name="Comma 7 2 5 4" xfId="1553"/>
    <cellStyle name="Comma 7 2 6" xfId="1554"/>
    <cellStyle name="Comma 7 2 6 2" xfId="1555"/>
    <cellStyle name="Comma 7 2 7" xfId="1556"/>
    <cellStyle name="Comma 7 2 7 2" xfId="1557"/>
    <cellStyle name="Comma 7 2 8" xfId="1558"/>
    <cellStyle name="Comma 7 2 9" xfId="1559"/>
    <cellStyle name="Comma 7 3" xfId="1560"/>
    <cellStyle name="Comma 7 3 2" xfId="1561"/>
    <cellStyle name="Comma 7 3 2 2" xfId="1562"/>
    <cellStyle name="Comma 7 3 2 2 2" xfId="1563"/>
    <cellStyle name="Comma 7 3 2 2 2 2" xfId="1564"/>
    <cellStyle name="Comma 7 3 2 2 2 2 2" xfId="1565"/>
    <cellStyle name="Comma 7 3 2 2 2 3" xfId="1566"/>
    <cellStyle name="Comma 7 3 2 2 2 3 2" xfId="1567"/>
    <cellStyle name="Comma 7 3 2 2 2 4" xfId="1568"/>
    <cellStyle name="Comma 7 3 2 2 3" xfId="1569"/>
    <cellStyle name="Comma 7 3 2 2 3 2" xfId="1570"/>
    <cellStyle name="Comma 7 3 2 2 4" xfId="1571"/>
    <cellStyle name="Comma 7 3 2 2 4 2" xfId="1572"/>
    <cellStyle name="Comma 7 3 2 2 5" xfId="1573"/>
    <cellStyle name="Comma 7 3 2 3" xfId="1574"/>
    <cellStyle name="Comma 7 3 2 3 2" xfId="1575"/>
    <cellStyle name="Comma 7 3 2 3 2 2" xfId="1576"/>
    <cellStyle name="Comma 7 3 2 3 3" xfId="1577"/>
    <cellStyle name="Comma 7 3 2 3 3 2" xfId="1578"/>
    <cellStyle name="Comma 7 3 2 3 4" xfId="1579"/>
    <cellStyle name="Comma 7 3 2 4" xfId="1580"/>
    <cellStyle name="Comma 7 3 2 4 2" xfId="1581"/>
    <cellStyle name="Comma 7 3 2 5" xfId="1582"/>
    <cellStyle name="Comma 7 3 2 5 2" xfId="1583"/>
    <cellStyle name="Comma 7 3 2 6" xfId="1584"/>
    <cellStyle name="Comma 7 3 3" xfId="1585"/>
    <cellStyle name="Comma 7 3 3 2" xfId="1586"/>
    <cellStyle name="Comma 7 3 3 2 2" xfId="1587"/>
    <cellStyle name="Comma 7 3 3 2 2 2" xfId="1588"/>
    <cellStyle name="Comma 7 3 3 2 3" xfId="1589"/>
    <cellStyle name="Comma 7 3 3 2 3 2" xfId="1590"/>
    <cellStyle name="Comma 7 3 3 2 4" xfId="1591"/>
    <cellStyle name="Comma 7 3 3 3" xfId="1592"/>
    <cellStyle name="Comma 7 3 3 3 2" xfId="1593"/>
    <cellStyle name="Comma 7 3 3 4" xfId="1594"/>
    <cellStyle name="Comma 7 3 3 4 2" xfId="1595"/>
    <cellStyle name="Comma 7 3 3 5" xfId="1596"/>
    <cellStyle name="Comma 7 3 4" xfId="1597"/>
    <cellStyle name="Comma 7 3 4 2" xfId="1598"/>
    <cellStyle name="Comma 7 3 4 2 2" xfId="1599"/>
    <cellStyle name="Comma 7 3 4 3" xfId="1600"/>
    <cellStyle name="Comma 7 3 4 3 2" xfId="1601"/>
    <cellStyle name="Comma 7 3 4 4" xfId="1602"/>
    <cellStyle name="Comma 7 3 5" xfId="1603"/>
    <cellStyle name="Comma 7 3 5 2" xfId="1604"/>
    <cellStyle name="Comma 7 3 6" xfId="1605"/>
    <cellStyle name="Comma 7 3 6 2" xfId="1606"/>
    <cellStyle name="Comma 7 3 7" xfId="1607"/>
    <cellStyle name="Comma 7 4" xfId="1608"/>
    <cellStyle name="Comma 7 4 2" xfId="1609"/>
    <cellStyle name="Comma 7 4 2 2" xfId="1610"/>
    <cellStyle name="Comma 7 4 2 2 2" xfId="1611"/>
    <cellStyle name="Comma 7 4 2 2 2 2" xfId="1612"/>
    <cellStyle name="Comma 7 4 2 2 2 2 2" xfId="1613"/>
    <cellStyle name="Comma 7 4 2 2 2 3" xfId="1614"/>
    <cellStyle name="Comma 7 4 2 2 2 3 2" xfId="1615"/>
    <cellStyle name="Comma 7 4 2 2 2 4" xfId="1616"/>
    <cellStyle name="Comma 7 4 2 2 3" xfId="1617"/>
    <cellStyle name="Comma 7 4 2 2 3 2" xfId="1618"/>
    <cellStyle name="Comma 7 4 2 2 4" xfId="1619"/>
    <cellStyle name="Comma 7 4 2 2 4 2" xfId="1620"/>
    <cellStyle name="Comma 7 4 2 2 5" xfId="1621"/>
    <cellStyle name="Comma 7 4 2 3" xfId="1622"/>
    <cellStyle name="Comma 7 4 2 3 2" xfId="1623"/>
    <cellStyle name="Comma 7 4 2 3 2 2" xfId="1624"/>
    <cellStyle name="Comma 7 4 2 3 3" xfId="1625"/>
    <cellStyle name="Comma 7 4 2 3 3 2" xfId="1626"/>
    <cellStyle name="Comma 7 4 2 3 4" xfId="1627"/>
    <cellStyle name="Comma 7 4 2 4" xfId="1628"/>
    <cellStyle name="Comma 7 4 2 4 2" xfId="1629"/>
    <cellStyle name="Comma 7 4 2 5" xfId="1630"/>
    <cellStyle name="Comma 7 4 2 5 2" xfId="1631"/>
    <cellStyle name="Comma 7 4 2 6" xfId="1632"/>
    <cellStyle name="Comma 7 4 3" xfId="1633"/>
    <cellStyle name="Comma 7 4 3 2" xfId="1634"/>
    <cellStyle name="Comma 7 4 3 2 2" xfId="1635"/>
    <cellStyle name="Comma 7 4 3 2 2 2" xfId="1636"/>
    <cellStyle name="Comma 7 4 3 2 3" xfId="1637"/>
    <cellStyle name="Comma 7 4 3 2 3 2" xfId="1638"/>
    <cellStyle name="Comma 7 4 3 2 4" xfId="1639"/>
    <cellStyle name="Comma 7 4 3 3" xfId="1640"/>
    <cellStyle name="Comma 7 4 3 3 2" xfId="1641"/>
    <cellStyle name="Comma 7 4 3 4" xfId="1642"/>
    <cellStyle name="Comma 7 4 3 4 2" xfId="1643"/>
    <cellStyle name="Comma 7 4 3 5" xfId="1644"/>
    <cellStyle name="Comma 7 4 4" xfId="1645"/>
    <cellStyle name="Comma 7 4 4 2" xfId="1646"/>
    <cellStyle name="Comma 7 4 4 2 2" xfId="1647"/>
    <cellStyle name="Comma 7 4 4 3" xfId="1648"/>
    <cellStyle name="Comma 7 4 4 3 2" xfId="1649"/>
    <cellStyle name="Comma 7 4 4 4" xfId="1650"/>
    <cellStyle name="Comma 7 4 5" xfId="1651"/>
    <cellStyle name="Comma 7 4 5 2" xfId="1652"/>
    <cellStyle name="Comma 7 4 6" xfId="1653"/>
    <cellStyle name="Comma 7 4 6 2" xfId="1654"/>
    <cellStyle name="Comma 7 4 7" xfId="1655"/>
    <cellStyle name="Comma 7 5" xfId="1656"/>
    <cellStyle name="Comma 7 5 2" xfId="1657"/>
    <cellStyle name="Comma 7 5 2 2" xfId="1658"/>
    <cellStyle name="Comma 7 5 2 2 2" xfId="1659"/>
    <cellStyle name="Comma 7 5 2 2 2 2" xfId="1660"/>
    <cellStyle name="Comma 7 5 2 2 3" xfId="1661"/>
    <cellStyle name="Comma 7 5 2 2 3 2" xfId="1662"/>
    <cellStyle name="Comma 7 5 2 2 4" xfId="1663"/>
    <cellStyle name="Comma 7 5 2 3" xfId="1664"/>
    <cellStyle name="Comma 7 5 2 3 2" xfId="1665"/>
    <cellStyle name="Comma 7 5 2 4" xfId="1666"/>
    <cellStyle name="Comma 7 5 2 4 2" xfId="1667"/>
    <cellStyle name="Comma 7 5 2 5" xfId="1668"/>
    <cellStyle name="Comma 7 5 3" xfId="1669"/>
    <cellStyle name="Comma 7 5 3 2" xfId="1670"/>
    <cellStyle name="Comma 7 5 3 2 2" xfId="1671"/>
    <cellStyle name="Comma 7 5 3 3" xfId="1672"/>
    <cellStyle name="Comma 7 5 3 3 2" xfId="1673"/>
    <cellStyle name="Comma 7 5 3 4" xfId="1674"/>
    <cellStyle name="Comma 7 5 4" xfId="1675"/>
    <cellStyle name="Comma 7 5 4 2" xfId="1676"/>
    <cellStyle name="Comma 7 5 5" xfId="1677"/>
    <cellStyle name="Comma 7 5 5 2" xfId="1678"/>
    <cellStyle name="Comma 7 5 6" xfId="1679"/>
    <cellStyle name="Comma 7 6" xfId="1680"/>
    <cellStyle name="Comma 7 6 2" xfId="1681"/>
    <cellStyle name="Comma 7 6 2 2" xfId="1682"/>
    <cellStyle name="Comma 7 6 2 2 2" xfId="1683"/>
    <cellStyle name="Comma 7 6 2 3" xfId="1684"/>
    <cellStyle name="Comma 7 6 2 3 2" xfId="1685"/>
    <cellStyle name="Comma 7 6 2 4" xfId="1686"/>
    <cellStyle name="Comma 7 6 3" xfId="1687"/>
    <cellStyle name="Comma 7 6 3 2" xfId="1688"/>
    <cellStyle name="Comma 7 6 4" xfId="1689"/>
    <cellStyle name="Comma 7 6 4 2" xfId="1690"/>
    <cellStyle name="Comma 7 6 5" xfId="1691"/>
    <cellStyle name="Comma 7 7" xfId="1692"/>
    <cellStyle name="Comma 7 7 2" xfId="1693"/>
    <cellStyle name="Comma 7 7 2 2" xfId="1694"/>
    <cellStyle name="Comma 7 7 3" xfId="1695"/>
    <cellStyle name="Comma 7 7 3 2" xfId="1696"/>
    <cellStyle name="Comma 7 7 4" xfId="1697"/>
    <cellStyle name="Comma 7 8" xfId="1698"/>
    <cellStyle name="Comma 7 8 2" xfId="1699"/>
    <cellStyle name="Comma 7 9" xfId="1700"/>
    <cellStyle name="Comma 7 9 2" xfId="1701"/>
    <cellStyle name="Comma 8" xfId="1702"/>
    <cellStyle name="Comma 8 2" xfId="1703"/>
    <cellStyle name="Comma 8 2 2" xfId="1704"/>
    <cellStyle name="Comma 8 2 2 2" xfId="1705"/>
    <cellStyle name="Comma 8 2 2 2 2" xfId="1706"/>
    <cellStyle name="Comma 8 2 2 2 2 2" xfId="1707"/>
    <cellStyle name="Comma 8 2 2 2 2 2 2" xfId="1708"/>
    <cellStyle name="Comma 8 2 2 2 2 3" xfId="1709"/>
    <cellStyle name="Comma 8 2 2 2 2 3 2" xfId="1710"/>
    <cellStyle name="Comma 8 2 2 2 2 4" xfId="1711"/>
    <cellStyle name="Comma 8 2 2 2 3" xfId="1712"/>
    <cellStyle name="Comma 8 2 2 2 3 2" xfId="1713"/>
    <cellStyle name="Comma 8 2 2 2 4" xfId="1714"/>
    <cellStyle name="Comma 8 2 2 2 4 2" xfId="1715"/>
    <cellStyle name="Comma 8 2 2 2 5" xfId="1716"/>
    <cellStyle name="Comma 8 2 2 3" xfId="1717"/>
    <cellStyle name="Comma 8 2 2 3 2" xfId="1718"/>
    <cellStyle name="Comma 8 2 2 3 2 2" xfId="1719"/>
    <cellStyle name="Comma 8 2 2 3 3" xfId="1720"/>
    <cellStyle name="Comma 8 2 2 3 3 2" xfId="1721"/>
    <cellStyle name="Comma 8 2 2 3 4" xfId="1722"/>
    <cellStyle name="Comma 8 2 2 4" xfId="1723"/>
    <cellStyle name="Comma 8 2 2 4 2" xfId="1724"/>
    <cellStyle name="Comma 8 2 2 5" xfId="1725"/>
    <cellStyle name="Comma 8 2 2 5 2" xfId="1726"/>
    <cellStyle name="Comma 8 2 2 6" xfId="1727"/>
    <cellStyle name="Comma 8 2 3" xfId="1728"/>
    <cellStyle name="Comma 8 2 3 2" xfId="1729"/>
    <cellStyle name="Comma 8 2 3 2 2" xfId="1730"/>
    <cellStyle name="Comma 8 2 3 2 2 2" xfId="1731"/>
    <cellStyle name="Comma 8 2 3 2 3" xfId="1732"/>
    <cellStyle name="Comma 8 2 3 2 3 2" xfId="1733"/>
    <cellStyle name="Comma 8 2 3 2 4" xfId="1734"/>
    <cellStyle name="Comma 8 2 3 3" xfId="1735"/>
    <cellStyle name="Comma 8 2 3 3 2" xfId="1736"/>
    <cellStyle name="Comma 8 2 3 4" xfId="1737"/>
    <cellStyle name="Comma 8 2 3 4 2" xfId="1738"/>
    <cellStyle name="Comma 8 2 3 5" xfId="1739"/>
    <cellStyle name="Comma 8 2 4" xfId="1740"/>
    <cellStyle name="Comma 8 2 4 2" xfId="1741"/>
    <cellStyle name="Comma 8 2 4 2 2" xfId="1742"/>
    <cellStyle name="Comma 8 2 4 3" xfId="1743"/>
    <cellStyle name="Comma 8 2 4 3 2" xfId="1744"/>
    <cellStyle name="Comma 8 2 4 4" xfId="1745"/>
    <cellStyle name="Comma 8 2 5" xfId="1746"/>
    <cellStyle name="Comma 8 2 5 2" xfId="1747"/>
    <cellStyle name="Comma 8 2 6" xfId="1748"/>
    <cellStyle name="Comma 8 2 6 2" xfId="1749"/>
    <cellStyle name="Comma 8 2 7" xfId="1750"/>
    <cellStyle name="Comma 8 2 8" xfId="1751"/>
    <cellStyle name="Comma 8 3" xfId="1752"/>
    <cellStyle name="Comma 8 3 2" xfId="1753"/>
    <cellStyle name="Comma 8 3 2 2" xfId="1754"/>
    <cellStyle name="Comma 8 3 2 2 2" xfId="1755"/>
    <cellStyle name="Comma 8 3 2 2 2 2" xfId="1756"/>
    <cellStyle name="Comma 8 3 2 2 2 2 2" xfId="1757"/>
    <cellStyle name="Comma 8 3 2 2 2 3" xfId="1758"/>
    <cellStyle name="Comma 8 3 2 2 2 3 2" xfId="1759"/>
    <cellStyle name="Comma 8 3 2 2 2 4" xfId="1760"/>
    <cellStyle name="Comma 8 3 2 2 3" xfId="1761"/>
    <cellStyle name="Comma 8 3 2 2 3 2" xfId="1762"/>
    <cellStyle name="Comma 8 3 2 2 4" xfId="1763"/>
    <cellStyle name="Comma 8 3 2 2 4 2" xfId="1764"/>
    <cellStyle name="Comma 8 3 2 2 5" xfId="1765"/>
    <cellStyle name="Comma 8 3 2 3" xfId="1766"/>
    <cellStyle name="Comma 8 3 2 3 2" xfId="1767"/>
    <cellStyle name="Comma 8 3 2 3 2 2" xfId="1768"/>
    <cellStyle name="Comma 8 3 2 3 3" xfId="1769"/>
    <cellStyle name="Comma 8 3 2 3 3 2" xfId="1770"/>
    <cellStyle name="Comma 8 3 2 3 4" xfId="1771"/>
    <cellStyle name="Comma 8 3 2 4" xfId="1772"/>
    <cellStyle name="Comma 8 3 2 4 2" xfId="1773"/>
    <cellStyle name="Comma 8 3 2 5" xfId="1774"/>
    <cellStyle name="Comma 8 3 2 5 2" xfId="1775"/>
    <cellStyle name="Comma 8 3 2 6" xfId="1776"/>
    <cellStyle name="Comma 8 3 3" xfId="1777"/>
    <cellStyle name="Comma 8 3 3 2" xfId="1778"/>
    <cellStyle name="Comma 8 3 3 2 2" xfId="1779"/>
    <cellStyle name="Comma 8 3 3 2 2 2" xfId="1780"/>
    <cellStyle name="Comma 8 3 3 2 3" xfId="1781"/>
    <cellStyle name="Comma 8 3 3 2 3 2" xfId="1782"/>
    <cellStyle name="Comma 8 3 3 2 4" xfId="1783"/>
    <cellStyle name="Comma 8 3 3 3" xfId="1784"/>
    <cellStyle name="Comma 8 3 3 3 2" xfId="1785"/>
    <cellStyle name="Comma 8 3 3 4" xfId="1786"/>
    <cellStyle name="Comma 8 3 3 4 2" xfId="1787"/>
    <cellStyle name="Comma 8 3 3 5" xfId="1788"/>
    <cellStyle name="Comma 8 3 4" xfId="1789"/>
    <cellStyle name="Comma 8 3 4 2" xfId="1790"/>
    <cellStyle name="Comma 8 3 4 2 2" xfId="1791"/>
    <cellStyle name="Comma 8 3 4 3" xfId="1792"/>
    <cellStyle name="Comma 8 3 4 3 2" xfId="1793"/>
    <cellStyle name="Comma 8 3 4 4" xfId="1794"/>
    <cellStyle name="Comma 8 3 5" xfId="1795"/>
    <cellStyle name="Comma 8 3 5 2" xfId="1796"/>
    <cellStyle name="Comma 8 3 6" xfId="1797"/>
    <cellStyle name="Comma 8 3 6 2" xfId="1798"/>
    <cellStyle name="Comma 8 3 7" xfId="1799"/>
    <cellStyle name="Comma 8 4" xfId="1800"/>
    <cellStyle name="Comma 8 4 2" xfId="1801"/>
    <cellStyle name="Comma 8 4 2 2" xfId="1802"/>
    <cellStyle name="Comma 8 4 2 2 2" xfId="1803"/>
    <cellStyle name="Comma 8 4 2 2 2 2" xfId="1804"/>
    <cellStyle name="Comma 8 4 2 2 3" xfId="1805"/>
    <cellStyle name="Comma 8 4 2 2 3 2" xfId="1806"/>
    <cellStyle name="Comma 8 4 2 2 4" xfId="1807"/>
    <cellStyle name="Comma 8 4 2 3" xfId="1808"/>
    <cellStyle name="Comma 8 4 2 3 2" xfId="1809"/>
    <cellStyle name="Comma 8 4 2 4" xfId="1810"/>
    <cellStyle name="Comma 8 4 2 4 2" xfId="1811"/>
    <cellStyle name="Comma 8 4 2 5" xfId="1812"/>
    <cellStyle name="Comma 8 4 3" xfId="1813"/>
    <cellStyle name="Comma 8 4 3 2" xfId="1814"/>
    <cellStyle name="Comma 8 4 3 2 2" xfId="1815"/>
    <cellStyle name="Comma 8 4 3 3" xfId="1816"/>
    <cellStyle name="Comma 8 4 3 3 2" xfId="1817"/>
    <cellStyle name="Comma 8 4 3 4" xfId="1818"/>
    <cellStyle name="Comma 8 4 4" xfId="1819"/>
    <cellStyle name="Comma 8 4 4 2" xfId="1820"/>
    <cellStyle name="Comma 8 4 5" xfId="1821"/>
    <cellStyle name="Comma 8 4 5 2" xfId="1822"/>
    <cellStyle name="Comma 8 4 6" xfId="1823"/>
    <cellStyle name="Comma 8 5" xfId="1824"/>
    <cellStyle name="Comma 8 5 2" xfId="1825"/>
    <cellStyle name="Comma 8 5 2 2" xfId="1826"/>
    <cellStyle name="Comma 8 5 2 2 2" xfId="1827"/>
    <cellStyle name="Comma 8 5 2 3" xfId="1828"/>
    <cellStyle name="Comma 8 5 2 3 2" xfId="1829"/>
    <cellStyle name="Comma 8 5 2 4" xfId="1830"/>
    <cellStyle name="Comma 8 5 3" xfId="1831"/>
    <cellStyle name="Comma 8 5 3 2" xfId="1832"/>
    <cellStyle name="Comma 8 5 4" xfId="1833"/>
    <cellStyle name="Comma 8 5 4 2" xfId="1834"/>
    <cellStyle name="Comma 8 5 5" xfId="1835"/>
    <cellStyle name="Comma 8 6" xfId="1836"/>
    <cellStyle name="Comma 8 6 2" xfId="1837"/>
    <cellStyle name="Comma 8 6 2 2" xfId="1838"/>
    <cellStyle name="Comma 8 6 3" xfId="1839"/>
    <cellStyle name="Comma 8 6 3 2" xfId="1840"/>
    <cellStyle name="Comma 8 6 4" xfId="1841"/>
    <cellStyle name="Comma 8 7" xfId="1842"/>
    <cellStyle name="Comma 8 7 2" xfId="1843"/>
    <cellStyle name="Comma 8 8" xfId="1844"/>
    <cellStyle name="Comma 8 8 2" xfId="1845"/>
    <cellStyle name="Comma 8 9" xfId="1846"/>
    <cellStyle name="Comma 9" xfId="1847"/>
    <cellStyle name="Comma 9 2" xfId="1848"/>
    <cellStyle name="Comma(2)" xfId="1849"/>
    <cellStyle name="Comma0" xfId="1850"/>
    <cellStyle name="Comma0 - Style2" xfId="1851"/>
    <cellStyle name="Comma1 - Style1" xfId="1852"/>
    <cellStyle name="Comments" xfId="1853"/>
    <cellStyle name="Currency 10" xfId="1854"/>
    <cellStyle name="Currency 10 2" xfId="1855"/>
    <cellStyle name="Currency 10 2 2" xfId="1856"/>
    <cellStyle name="Currency 10 2 2 2" xfId="1857"/>
    <cellStyle name="Currency 10 2 2 2 2" xfId="1858"/>
    <cellStyle name="Currency 10 2 2 2 2 2" xfId="1859"/>
    <cellStyle name="Currency 10 2 2 2 3" xfId="1860"/>
    <cellStyle name="Currency 10 2 2 2 3 2" xfId="1861"/>
    <cellStyle name="Currency 10 2 2 2 4" xfId="1862"/>
    <cellStyle name="Currency 10 2 2 3" xfId="1863"/>
    <cellStyle name="Currency 10 2 2 3 2" xfId="1864"/>
    <cellStyle name="Currency 10 2 2 4" xfId="1865"/>
    <cellStyle name="Currency 10 2 2 4 2" xfId="1866"/>
    <cellStyle name="Currency 10 2 2 5" xfId="1867"/>
    <cellStyle name="Currency 10 2 3" xfId="1868"/>
    <cellStyle name="Currency 10 2 3 2" xfId="1869"/>
    <cellStyle name="Currency 10 2 3 2 2" xfId="1870"/>
    <cellStyle name="Currency 10 2 3 3" xfId="1871"/>
    <cellStyle name="Currency 10 2 3 3 2" xfId="1872"/>
    <cellStyle name="Currency 10 2 3 4" xfId="1873"/>
    <cellStyle name="Currency 10 2 4" xfId="1874"/>
    <cellStyle name="Currency 10 2 4 2" xfId="1875"/>
    <cellStyle name="Currency 10 2 5" xfId="1876"/>
    <cellStyle name="Currency 10 2 5 2" xfId="1877"/>
    <cellStyle name="Currency 10 2 6" xfId="1878"/>
    <cellStyle name="Currency 10 3" xfId="1879"/>
    <cellStyle name="Currency 10 4" xfId="1880"/>
    <cellStyle name="Currency 10 5" xfId="1881"/>
    <cellStyle name="Currency 11" xfId="1882"/>
    <cellStyle name="Currency 11 2" xfId="1883"/>
    <cellStyle name="Currency 11 2 2" xfId="1884"/>
    <cellStyle name="Currency 11 3" xfId="1885"/>
    <cellStyle name="Currency 11 4" xfId="1886"/>
    <cellStyle name="Currency 11 5" xfId="1887"/>
    <cellStyle name="Currency 11 6" xfId="1888"/>
    <cellStyle name="Currency 12" xfId="1889"/>
    <cellStyle name="Currency 12 2" xfId="1890"/>
    <cellStyle name="Currency 12 2 2" xfId="1891"/>
    <cellStyle name="Currency 12 3" xfId="1892"/>
    <cellStyle name="Currency 12 4" xfId="1893"/>
    <cellStyle name="Currency 13" xfId="1894"/>
    <cellStyle name="Currency 14" xfId="1895"/>
    <cellStyle name="Currency 14 2" xfId="1896"/>
    <cellStyle name="Currency 15" xfId="1897"/>
    <cellStyle name="Currency 16" xfId="1898"/>
    <cellStyle name="Currency 17" xfId="1899"/>
    <cellStyle name="Currency 18" xfId="1900"/>
    <cellStyle name="Currency 19" xfId="1901"/>
    <cellStyle name="Currency 2" xfId="1902"/>
    <cellStyle name="Currency 2 2" xfId="1903"/>
    <cellStyle name="Currency 2 2 2" xfId="1904"/>
    <cellStyle name="Currency 2 2 2 2" xfId="1905"/>
    <cellStyle name="Currency 2 2 2 3" xfId="1906"/>
    <cellStyle name="Currency 2 2 2 4" xfId="1907"/>
    <cellStyle name="Currency 2 2 2 5" xfId="1908"/>
    <cellStyle name="Currency 2 2 2 6" xfId="1909"/>
    <cellStyle name="Currency 2 2 3" xfId="1910"/>
    <cellStyle name="Currency 2 2 3 2" xfId="1911"/>
    <cellStyle name="Currency 2 2 3 3" xfId="1912"/>
    <cellStyle name="Currency 2 2 3 4" xfId="1913"/>
    <cellStyle name="Currency 2 2 4" xfId="1914"/>
    <cellStyle name="Currency 2 2 4 2" xfId="1915"/>
    <cellStyle name="Currency 2 2 4 3" xfId="1916"/>
    <cellStyle name="Currency 2 2 5" xfId="1917"/>
    <cellStyle name="Currency 2 2 6" xfId="1918"/>
    <cellStyle name="Currency 2 2 7" xfId="1919"/>
    <cellStyle name="Currency 2 2 8" xfId="1920"/>
    <cellStyle name="Currency 2 3" xfId="1921"/>
    <cellStyle name="Currency 2 3 2" xfId="1922"/>
    <cellStyle name="Currency 2 3 2 2" xfId="1923"/>
    <cellStyle name="Currency 2 3 2 3" xfId="1924"/>
    <cellStyle name="Currency 2 3 2 4" xfId="1925"/>
    <cellStyle name="Currency 2 3 2 5" xfId="1926"/>
    <cellStyle name="Currency 2 3 2 6" xfId="1927"/>
    <cellStyle name="Currency 2 3 3" xfId="1928"/>
    <cellStyle name="Currency 2 3 3 2" xfId="1929"/>
    <cellStyle name="Currency 2 3 3 3" xfId="1930"/>
    <cellStyle name="Currency 2 3 3 4" xfId="1931"/>
    <cellStyle name="Currency 2 3 3 5" xfId="1932"/>
    <cellStyle name="Currency 2 3 4" xfId="1933"/>
    <cellStyle name="Currency 2 3 4 2" xfId="1934"/>
    <cellStyle name="Currency 2 3 4 3" xfId="1935"/>
    <cellStyle name="Currency 2 3 4 4" xfId="1936"/>
    <cellStyle name="Currency 2 3 5" xfId="1937"/>
    <cellStyle name="Currency 2 3 6" xfId="1938"/>
    <cellStyle name="Currency 2 3 7" xfId="1939"/>
    <cellStyle name="Currency 2 4" xfId="1940"/>
    <cellStyle name="Currency 2 4 2" xfId="1941"/>
    <cellStyle name="Currency 2 4 2 2" xfId="1942"/>
    <cellStyle name="Currency 2 4 2 3" xfId="1943"/>
    <cellStyle name="Currency 2 4 2 4" xfId="1944"/>
    <cellStyle name="Currency 2 4 2 5" xfId="1945"/>
    <cellStyle name="Currency 2 4 2 6" xfId="1946"/>
    <cellStyle name="Currency 2 4 3" xfId="1947"/>
    <cellStyle name="Currency 2 4 3 2" xfId="1948"/>
    <cellStyle name="Currency 2 4 3 3" xfId="1949"/>
    <cellStyle name="Currency 2 4 4" xfId="1950"/>
    <cellStyle name="Currency 2 4 4 2" xfId="1951"/>
    <cellStyle name="Currency 2 4 4 3" xfId="1952"/>
    <cellStyle name="Currency 2 4 5" xfId="1953"/>
    <cellStyle name="Currency 2 4 6" xfId="1954"/>
    <cellStyle name="Currency 2 4 7" xfId="1955"/>
    <cellStyle name="Currency 2 4 8" xfId="1956"/>
    <cellStyle name="Currency 2 4 9" xfId="1957"/>
    <cellStyle name="Currency 2 5" xfId="1958"/>
    <cellStyle name="Currency 2 5 2" xfId="1959"/>
    <cellStyle name="Currency 2 5 3" xfId="1960"/>
    <cellStyle name="Currency 2 6" xfId="1961"/>
    <cellStyle name="Currency 2 6 2" xfId="1962"/>
    <cellStyle name="Currency 2 6 3" xfId="1963"/>
    <cellStyle name="Currency 2 7" xfId="1964"/>
    <cellStyle name="Currency 3" xfId="1965"/>
    <cellStyle name="Currency 3 10" xfId="1966"/>
    <cellStyle name="Currency 3 2" xfId="1967"/>
    <cellStyle name="Currency 3 2 2" xfId="1968"/>
    <cellStyle name="Currency 3 2 2 2" xfId="1969"/>
    <cellStyle name="Currency 3 2 2 2 2" xfId="1970"/>
    <cellStyle name="Currency 3 2 2 2 2 2" xfId="1971"/>
    <cellStyle name="Currency 3 2 2 2 2 2 2" xfId="1972"/>
    <cellStyle name="Currency 3 2 2 2 2 2 2 2" xfId="1973"/>
    <cellStyle name="Currency 3 2 2 2 2 2 3" xfId="1974"/>
    <cellStyle name="Currency 3 2 2 2 2 2 3 2" xfId="1975"/>
    <cellStyle name="Currency 3 2 2 2 2 2 4" xfId="1976"/>
    <cellStyle name="Currency 3 2 2 2 2 3" xfId="1977"/>
    <cellStyle name="Currency 3 2 2 2 2 3 2" xfId="1978"/>
    <cellStyle name="Currency 3 2 2 2 2 4" xfId="1979"/>
    <cellStyle name="Currency 3 2 2 2 2 4 2" xfId="1980"/>
    <cellStyle name="Currency 3 2 2 2 2 5" xfId="1981"/>
    <cellStyle name="Currency 3 2 2 2 3" xfId="1982"/>
    <cellStyle name="Currency 3 2 2 2 3 2" xfId="1983"/>
    <cellStyle name="Currency 3 2 2 2 3 2 2" xfId="1984"/>
    <cellStyle name="Currency 3 2 2 2 3 3" xfId="1985"/>
    <cellStyle name="Currency 3 2 2 2 3 3 2" xfId="1986"/>
    <cellStyle name="Currency 3 2 2 2 3 4" xfId="1987"/>
    <cellStyle name="Currency 3 2 2 2 4" xfId="1988"/>
    <cellStyle name="Currency 3 2 2 2 4 2" xfId="1989"/>
    <cellStyle name="Currency 3 2 2 2 5" xfId="1990"/>
    <cellStyle name="Currency 3 2 2 2 5 2" xfId="1991"/>
    <cellStyle name="Currency 3 2 2 2 6" xfId="1992"/>
    <cellStyle name="Currency 3 2 2 3" xfId="1993"/>
    <cellStyle name="Currency 3 2 2 3 2" xfId="1994"/>
    <cellStyle name="Currency 3 2 2 3 2 2" xfId="1995"/>
    <cellStyle name="Currency 3 2 2 3 2 2 2" xfId="1996"/>
    <cellStyle name="Currency 3 2 2 3 2 3" xfId="1997"/>
    <cellStyle name="Currency 3 2 2 3 2 3 2" xfId="1998"/>
    <cellStyle name="Currency 3 2 2 3 2 4" xfId="1999"/>
    <cellStyle name="Currency 3 2 2 3 3" xfId="2000"/>
    <cellStyle name="Currency 3 2 2 3 3 2" xfId="2001"/>
    <cellStyle name="Currency 3 2 2 3 4" xfId="2002"/>
    <cellStyle name="Currency 3 2 2 3 4 2" xfId="2003"/>
    <cellStyle name="Currency 3 2 2 3 5" xfId="2004"/>
    <cellStyle name="Currency 3 2 2 4" xfId="2005"/>
    <cellStyle name="Currency 3 2 2 4 2" xfId="2006"/>
    <cellStyle name="Currency 3 2 2 4 2 2" xfId="2007"/>
    <cellStyle name="Currency 3 2 2 4 3" xfId="2008"/>
    <cellStyle name="Currency 3 2 2 4 3 2" xfId="2009"/>
    <cellStyle name="Currency 3 2 2 4 4" xfId="2010"/>
    <cellStyle name="Currency 3 2 2 5" xfId="2011"/>
    <cellStyle name="Currency 3 2 2 5 2" xfId="2012"/>
    <cellStyle name="Currency 3 2 2 6" xfId="2013"/>
    <cellStyle name="Currency 3 2 2 6 2" xfId="2014"/>
    <cellStyle name="Currency 3 2 2 7" xfId="2015"/>
    <cellStyle name="Currency 3 2 3" xfId="2016"/>
    <cellStyle name="Currency 3 2 3 2" xfId="2017"/>
    <cellStyle name="Currency 3 2 3 2 2" xfId="2018"/>
    <cellStyle name="Currency 3 2 3 2 2 2" xfId="2019"/>
    <cellStyle name="Currency 3 2 3 2 2 2 2" xfId="2020"/>
    <cellStyle name="Currency 3 2 3 2 2 3" xfId="2021"/>
    <cellStyle name="Currency 3 2 3 2 2 3 2" xfId="2022"/>
    <cellStyle name="Currency 3 2 3 2 2 4" xfId="2023"/>
    <cellStyle name="Currency 3 2 3 2 3" xfId="2024"/>
    <cellStyle name="Currency 3 2 3 2 3 2" xfId="2025"/>
    <cellStyle name="Currency 3 2 3 2 4" xfId="2026"/>
    <cellStyle name="Currency 3 2 3 2 4 2" xfId="2027"/>
    <cellStyle name="Currency 3 2 3 2 5" xfId="2028"/>
    <cellStyle name="Currency 3 2 3 3" xfId="2029"/>
    <cellStyle name="Currency 3 2 3 3 2" xfId="2030"/>
    <cellStyle name="Currency 3 2 3 3 2 2" xfId="2031"/>
    <cellStyle name="Currency 3 2 3 3 3" xfId="2032"/>
    <cellStyle name="Currency 3 2 3 3 3 2" xfId="2033"/>
    <cellStyle name="Currency 3 2 3 3 4" xfId="2034"/>
    <cellStyle name="Currency 3 2 3 4" xfId="2035"/>
    <cellStyle name="Currency 3 2 3 4 2" xfId="2036"/>
    <cellStyle name="Currency 3 2 3 5" xfId="2037"/>
    <cellStyle name="Currency 3 2 3 5 2" xfId="2038"/>
    <cellStyle name="Currency 3 2 3 6" xfId="2039"/>
    <cellStyle name="Currency 3 2 4" xfId="2040"/>
    <cellStyle name="Currency 3 2 4 2" xfId="2041"/>
    <cellStyle name="Currency 3 2 4 2 2" xfId="2042"/>
    <cellStyle name="Currency 3 2 4 2 2 2" xfId="2043"/>
    <cellStyle name="Currency 3 2 4 2 3" xfId="2044"/>
    <cellStyle name="Currency 3 2 4 2 3 2" xfId="2045"/>
    <cellStyle name="Currency 3 2 4 2 4" xfId="2046"/>
    <cellStyle name="Currency 3 2 4 3" xfId="2047"/>
    <cellStyle name="Currency 3 2 4 3 2" xfId="2048"/>
    <cellStyle name="Currency 3 2 4 4" xfId="2049"/>
    <cellStyle name="Currency 3 2 4 4 2" xfId="2050"/>
    <cellStyle name="Currency 3 2 4 5" xfId="2051"/>
    <cellStyle name="Currency 3 2 5" xfId="2052"/>
    <cellStyle name="Currency 3 2 5 2" xfId="2053"/>
    <cellStyle name="Currency 3 2 5 2 2" xfId="2054"/>
    <cellStyle name="Currency 3 2 5 3" xfId="2055"/>
    <cellStyle name="Currency 3 2 5 3 2" xfId="2056"/>
    <cellStyle name="Currency 3 2 5 4" xfId="2057"/>
    <cellStyle name="Currency 3 2 6" xfId="2058"/>
    <cellStyle name="Currency 3 2 6 2" xfId="2059"/>
    <cellStyle name="Currency 3 2 7" xfId="2060"/>
    <cellStyle name="Currency 3 2 7 2" xfId="2061"/>
    <cellStyle name="Currency 3 2 8" xfId="2062"/>
    <cellStyle name="Currency 3 3" xfId="2063"/>
    <cellStyle name="Currency 3 3 2" xfId="2064"/>
    <cellStyle name="Currency 3 3 2 2" xfId="2065"/>
    <cellStyle name="Currency 3 3 2 2 2" xfId="2066"/>
    <cellStyle name="Currency 3 3 2 2 2 2" xfId="2067"/>
    <cellStyle name="Currency 3 3 2 2 2 2 2" xfId="2068"/>
    <cellStyle name="Currency 3 3 2 2 2 3" xfId="2069"/>
    <cellStyle name="Currency 3 3 2 2 2 3 2" xfId="2070"/>
    <cellStyle name="Currency 3 3 2 2 2 4" xfId="2071"/>
    <cellStyle name="Currency 3 3 2 2 3" xfId="2072"/>
    <cellStyle name="Currency 3 3 2 2 3 2" xfId="2073"/>
    <cellStyle name="Currency 3 3 2 2 4" xfId="2074"/>
    <cellStyle name="Currency 3 3 2 2 4 2" xfId="2075"/>
    <cellStyle name="Currency 3 3 2 2 5" xfId="2076"/>
    <cellStyle name="Currency 3 3 2 3" xfId="2077"/>
    <cellStyle name="Currency 3 3 2 3 2" xfId="2078"/>
    <cellStyle name="Currency 3 3 2 3 2 2" xfId="2079"/>
    <cellStyle name="Currency 3 3 2 3 3" xfId="2080"/>
    <cellStyle name="Currency 3 3 2 3 3 2" xfId="2081"/>
    <cellStyle name="Currency 3 3 2 3 4" xfId="2082"/>
    <cellStyle name="Currency 3 3 2 4" xfId="2083"/>
    <cellStyle name="Currency 3 3 2 4 2" xfId="2084"/>
    <cellStyle name="Currency 3 3 2 5" xfId="2085"/>
    <cellStyle name="Currency 3 3 2 5 2" xfId="2086"/>
    <cellStyle name="Currency 3 3 2 6" xfId="2087"/>
    <cellStyle name="Currency 3 3 3" xfId="2088"/>
    <cellStyle name="Currency 3 3 3 2" xfId="2089"/>
    <cellStyle name="Currency 3 3 3 2 2" xfId="2090"/>
    <cellStyle name="Currency 3 3 3 2 2 2" xfId="2091"/>
    <cellStyle name="Currency 3 3 3 2 3" xfId="2092"/>
    <cellStyle name="Currency 3 3 3 2 3 2" xfId="2093"/>
    <cellStyle name="Currency 3 3 3 2 4" xfId="2094"/>
    <cellStyle name="Currency 3 3 3 3" xfId="2095"/>
    <cellStyle name="Currency 3 3 3 3 2" xfId="2096"/>
    <cellStyle name="Currency 3 3 3 4" xfId="2097"/>
    <cellStyle name="Currency 3 3 3 4 2" xfId="2098"/>
    <cellStyle name="Currency 3 3 3 5" xfId="2099"/>
    <cellStyle name="Currency 3 3 4" xfId="2100"/>
    <cellStyle name="Currency 3 3 4 2" xfId="2101"/>
    <cellStyle name="Currency 3 3 4 2 2" xfId="2102"/>
    <cellStyle name="Currency 3 3 4 3" xfId="2103"/>
    <cellStyle name="Currency 3 3 4 3 2" xfId="2104"/>
    <cellStyle name="Currency 3 3 4 4" xfId="2105"/>
    <cellStyle name="Currency 3 3 5" xfId="2106"/>
    <cellStyle name="Currency 3 3 5 2" xfId="2107"/>
    <cellStyle name="Currency 3 3 6" xfId="2108"/>
    <cellStyle name="Currency 3 3 6 2" xfId="2109"/>
    <cellStyle name="Currency 3 3 7" xfId="2110"/>
    <cellStyle name="Currency 3 4" xfId="2111"/>
    <cellStyle name="Currency 3 4 2" xfId="2112"/>
    <cellStyle name="Currency 3 4 2 2" xfId="2113"/>
    <cellStyle name="Currency 3 4 2 2 2" xfId="2114"/>
    <cellStyle name="Currency 3 4 2 2 2 2" xfId="2115"/>
    <cellStyle name="Currency 3 4 2 2 2 2 2" xfId="2116"/>
    <cellStyle name="Currency 3 4 2 2 2 3" xfId="2117"/>
    <cellStyle name="Currency 3 4 2 2 2 3 2" xfId="2118"/>
    <cellStyle name="Currency 3 4 2 2 2 4" xfId="2119"/>
    <cellStyle name="Currency 3 4 2 2 3" xfId="2120"/>
    <cellStyle name="Currency 3 4 2 2 3 2" xfId="2121"/>
    <cellStyle name="Currency 3 4 2 2 4" xfId="2122"/>
    <cellStyle name="Currency 3 4 2 2 4 2" xfId="2123"/>
    <cellStyle name="Currency 3 4 2 2 5" xfId="2124"/>
    <cellStyle name="Currency 3 4 2 3" xfId="2125"/>
    <cellStyle name="Currency 3 4 2 3 2" xfId="2126"/>
    <cellStyle name="Currency 3 4 2 3 2 2" xfId="2127"/>
    <cellStyle name="Currency 3 4 2 3 3" xfId="2128"/>
    <cellStyle name="Currency 3 4 2 3 3 2" xfId="2129"/>
    <cellStyle name="Currency 3 4 2 3 4" xfId="2130"/>
    <cellStyle name="Currency 3 4 2 4" xfId="2131"/>
    <cellStyle name="Currency 3 4 2 4 2" xfId="2132"/>
    <cellStyle name="Currency 3 4 2 5" xfId="2133"/>
    <cellStyle name="Currency 3 4 2 5 2" xfId="2134"/>
    <cellStyle name="Currency 3 4 2 6" xfId="2135"/>
    <cellStyle name="Currency 3 4 3" xfId="2136"/>
    <cellStyle name="Currency 3 4 3 2" xfId="2137"/>
    <cellStyle name="Currency 3 4 3 2 2" xfId="2138"/>
    <cellStyle name="Currency 3 4 3 2 2 2" xfId="2139"/>
    <cellStyle name="Currency 3 4 3 2 3" xfId="2140"/>
    <cellStyle name="Currency 3 4 3 2 3 2" xfId="2141"/>
    <cellStyle name="Currency 3 4 3 2 4" xfId="2142"/>
    <cellStyle name="Currency 3 4 3 3" xfId="2143"/>
    <cellStyle name="Currency 3 4 3 3 2" xfId="2144"/>
    <cellStyle name="Currency 3 4 3 4" xfId="2145"/>
    <cellStyle name="Currency 3 4 3 4 2" xfId="2146"/>
    <cellStyle name="Currency 3 4 3 5" xfId="2147"/>
    <cellStyle name="Currency 3 4 4" xfId="2148"/>
    <cellStyle name="Currency 3 4 4 2" xfId="2149"/>
    <cellStyle name="Currency 3 4 4 2 2" xfId="2150"/>
    <cellStyle name="Currency 3 4 4 3" xfId="2151"/>
    <cellStyle name="Currency 3 4 4 3 2" xfId="2152"/>
    <cellStyle name="Currency 3 4 4 4" xfId="2153"/>
    <cellStyle name="Currency 3 4 5" xfId="2154"/>
    <cellStyle name="Currency 3 4 5 2" xfId="2155"/>
    <cellStyle name="Currency 3 4 6" xfId="2156"/>
    <cellStyle name="Currency 3 4 6 2" xfId="2157"/>
    <cellStyle name="Currency 3 4 7" xfId="2158"/>
    <cellStyle name="Currency 3 5" xfId="2159"/>
    <cellStyle name="Currency 3 5 2" xfId="2160"/>
    <cellStyle name="Currency 3 5 2 2" xfId="2161"/>
    <cellStyle name="Currency 3 5 2 2 2" xfId="2162"/>
    <cellStyle name="Currency 3 5 2 2 2 2" xfId="2163"/>
    <cellStyle name="Currency 3 5 2 2 3" xfId="2164"/>
    <cellStyle name="Currency 3 5 2 2 3 2" xfId="2165"/>
    <cellStyle name="Currency 3 5 2 2 4" xfId="2166"/>
    <cellStyle name="Currency 3 5 2 3" xfId="2167"/>
    <cellStyle name="Currency 3 5 2 3 2" xfId="2168"/>
    <cellStyle name="Currency 3 5 2 4" xfId="2169"/>
    <cellStyle name="Currency 3 5 2 4 2" xfId="2170"/>
    <cellStyle name="Currency 3 5 2 5" xfId="2171"/>
    <cellStyle name="Currency 3 5 3" xfId="2172"/>
    <cellStyle name="Currency 3 5 3 2" xfId="2173"/>
    <cellStyle name="Currency 3 5 3 2 2" xfId="2174"/>
    <cellStyle name="Currency 3 5 3 3" xfId="2175"/>
    <cellStyle name="Currency 3 5 3 3 2" xfId="2176"/>
    <cellStyle name="Currency 3 5 3 4" xfId="2177"/>
    <cellStyle name="Currency 3 5 4" xfId="2178"/>
    <cellStyle name="Currency 3 5 4 2" xfId="2179"/>
    <cellStyle name="Currency 3 5 5" xfId="2180"/>
    <cellStyle name="Currency 3 5 5 2" xfId="2181"/>
    <cellStyle name="Currency 3 5 6" xfId="2182"/>
    <cellStyle name="Currency 3 5 7" xfId="2183"/>
    <cellStyle name="Currency 3 6" xfId="2184"/>
    <cellStyle name="Currency 3 6 2" xfId="2185"/>
    <cellStyle name="Currency 3 6 2 2" xfId="2186"/>
    <cellStyle name="Currency 3 6 2 2 2" xfId="2187"/>
    <cellStyle name="Currency 3 6 2 3" xfId="2188"/>
    <cellStyle name="Currency 3 6 2 3 2" xfId="2189"/>
    <cellStyle name="Currency 3 6 2 4" xfId="2190"/>
    <cellStyle name="Currency 3 6 3" xfId="2191"/>
    <cellStyle name="Currency 3 6 3 2" xfId="2192"/>
    <cellStyle name="Currency 3 6 4" xfId="2193"/>
    <cellStyle name="Currency 3 6 4 2" xfId="2194"/>
    <cellStyle name="Currency 3 6 5" xfId="2195"/>
    <cellStyle name="Currency 3 7" xfId="2196"/>
    <cellStyle name="Currency 3 7 2" xfId="2197"/>
    <cellStyle name="Currency 3 7 2 2" xfId="2198"/>
    <cellStyle name="Currency 3 7 3" xfId="2199"/>
    <cellStyle name="Currency 3 7 3 2" xfId="2200"/>
    <cellStyle name="Currency 3 7 4" xfId="2201"/>
    <cellStyle name="Currency 3 8" xfId="2202"/>
    <cellStyle name="Currency 3 8 2" xfId="2203"/>
    <cellStyle name="Currency 3 9" xfId="2204"/>
    <cellStyle name="Currency 3 9 2" xfId="2205"/>
    <cellStyle name="Currency 4" xfId="2206"/>
    <cellStyle name="Currency 4 10" xfId="2207"/>
    <cellStyle name="Currency 4 2" xfId="2208"/>
    <cellStyle name="Currency 4 2 2" xfId="2209"/>
    <cellStyle name="Currency 4 2 2 2" xfId="2210"/>
    <cellStyle name="Currency 4 2 2 2 2" xfId="2211"/>
    <cellStyle name="Currency 4 2 2 2 2 2" xfId="2212"/>
    <cellStyle name="Currency 4 2 2 2 2 2 2" xfId="2213"/>
    <cellStyle name="Currency 4 2 2 2 2 2 2 2" xfId="2214"/>
    <cellStyle name="Currency 4 2 2 2 2 2 3" xfId="2215"/>
    <cellStyle name="Currency 4 2 2 2 2 2 3 2" xfId="2216"/>
    <cellStyle name="Currency 4 2 2 2 2 2 4" xfId="2217"/>
    <cellStyle name="Currency 4 2 2 2 2 3" xfId="2218"/>
    <cellStyle name="Currency 4 2 2 2 2 3 2" xfId="2219"/>
    <cellStyle name="Currency 4 2 2 2 2 4" xfId="2220"/>
    <cellStyle name="Currency 4 2 2 2 2 4 2" xfId="2221"/>
    <cellStyle name="Currency 4 2 2 2 2 5" xfId="2222"/>
    <cellStyle name="Currency 4 2 2 2 3" xfId="2223"/>
    <cellStyle name="Currency 4 2 2 2 3 2" xfId="2224"/>
    <cellStyle name="Currency 4 2 2 2 3 2 2" xfId="2225"/>
    <cellStyle name="Currency 4 2 2 2 3 3" xfId="2226"/>
    <cellStyle name="Currency 4 2 2 2 3 3 2" xfId="2227"/>
    <cellStyle name="Currency 4 2 2 2 3 4" xfId="2228"/>
    <cellStyle name="Currency 4 2 2 2 4" xfId="2229"/>
    <cellStyle name="Currency 4 2 2 2 4 2" xfId="2230"/>
    <cellStyle name="Currency 4 2 2 2 5" xfId="2231"/>
    <cellStyle name="Currency 4 2 2 2 5 2" xfId="2232"/>
    <cellStyle name="Currency 4 2 2 2 6" xfId="2233"/>
    <cellStyle name="Currency 4 2 2 3" xfId="2234"/>
    <cellStyle name="Currency 4 2 2 3 2" xfId="2235"/>
    <cellStyle name="Currency 4 2 2 3 2 2" xfId="2236"/>
    <cellStyle name="Currency 4 2 2 3 2 2 2" xfId="2237"/>
    <cellStyle name="Currency 4 2 2 3 2 3" xfId="2238"/>
    <cellStyle name="Currency 4 2 2 3 2 3 2" xfId="2239"/>
    <cellStyle name="Currency 4 2 2 3 2 4" xfId="2240"/>
    <cellStyle name="Currency 4 2 2 3 3" xfId="2241"/>
    <cellStyle name="Currency 4 2 2 3 3 2" xfId="2242"/>
    <cellStyle name="Currency 4 2 2 3 4" xfId="2243"/>
    <cellStyle name="Currency 4 2 2 3 4 2" xfId="2244"/>
    <cellStyle name="Currency 4 2 2 3 5" xfId="2245"/>
    <cellStyle name="Currency 4 2 2 4" xfId="2246"/>
    <cellStyle name="Currency 4 2 2 4 2" xfId="2247"/>
    <cellStyle name="Currency 4 2 2 4 2 2" xfId="2248"/>
    <cellStyle name="Currency 4 2 2 4 3" xfId="2249"/>
    <cellStyle name="Currency 4 2 2 4 3 2" xfId="2250"/>
    <cellStyle name="Currency 4 2 2 4 4" xfId="2251"/>
    <cellStyle name="Currency 4 2 2 5" xfId="2252"/>
    <cellStyle name="Currency 4 2 2 5 2" xfId="2253"/>
    <cellStyle name="Currency 4 2 2 6" xfId="2254"/>
    <cellStyle name="Currency 4 2 2 6 2" xfId="2255"/>
    <cellStyle name="Currency 4 2 2 7" xfId="2256"/>
    <cellStyle name="Currency 4 2 3" xfId="2257"/>
    <cellStyle name="Currency 4 2 3 2" xfId="2258"/>
    <cellStyle name="Currency 4 2 3 2 2" xfId="2259"/>
    <cellStyle name="Currency 4 2 3 2 2 2" xfId="2260"/>
    <cellStyle name="Currency 4 2 3 2 2 2 2" xfId="2261"/>
    <cellStyle name="Currency 4 2 3 2 2 3" xfId="2262"/>
    <cellStyle name="Currency 4 2 3 2 2 3 2" xfId="2263"/>
    <cellStyle name="Currency 4 2 3 2 2 4" xfId="2264"/>
    <cellStyle name="Currency 4 2 3 2 3" xfId="2265"/>
    <cellStyle name="Currency 4 2 3 2 3 2" xfId="2266"/>
    <cellStyle name="Currency 4 2 3 2 4" xfId="2267"/>
    <cellStyle name="Currency 4 2 3 2 4 2" xfId="2268"/>
    <cellStyle name="Currency 4 2 3 2 5" xfId="2269"/>
    <cellStyle name="Currency 4 2 3 3" xfId="2270"/>
    <cellStyle name="Currency 4 2 3 3 2" xfId="2271"/>
    <cellStyle name="Currency 4 2 3 3 2 2" xfId="2272"/>
    <cellStyle name="Currency 4 2 3 3 3" xfId="2273"/>
    <cellStyle name="Currency 4 2 3 3 3 2" xfId="2274"/>
    <cellStyle name="Currency 4 2 3 3 4" xfId="2275"/>
    <cellStyle name="Currency 4 2 3 4" xfId="2276"/>
    <cellStyle name="Currency 4 2 3 4 2" xfId="2277"/>
    <cellStyle name="Currency 4 2 3 5" xfId="2278"/>
    <cellStyle name="Currency 4 2 3 5 2" xfId="2279"/>
    <cellStyle name="Currency 4 2 3 6" xfId="2280"/>
    <cellStyle name="Currency 4 2 4" xfId="2281"/>
    <cellStyle name="Currency 4 2 4 2" xfId="2282"/>
    <cellStyle name="Currency 4 2 4 2 2" xfId="2283"/>
    <cellStyle name="Currency 4 2 4 2 2 2" xfId="2284"/>
    <cellStyle name="Currency 4 2 4 2 3" xfId="2285"/>
    <cellStyle name="Currency 4 2 4 2 3 2" xfId="2286"/>
    <cellStyle name="Currency 4 2 4 2 4" xfId="2287"/>
    <cellStyle name="Currency 4 2 4 3" xfId="2288"/>
    <cellStyle name="Currency 4 2 4 3 2" xfId="2289"/>
    <cellStyle name="Currency 4 2 4 4" xfId="2290"/>
    <cellStyle name="Currency 4 2 4 4 2" xfId="2291"/>
    <cellStyle name="Currency 4 2 4 5" xfId="2292"/>
    <cellStyle name="Currency 4 2 5" xfId="2293"/>
    <cellStyle name="Currency 4 2 5 2" xfId="2294"/>
    <cellStyle name="Currency 4 2 5 2 2" xfId="2295"/>
    <cellStyle name="Currency 4 2 5 3" xfId="2296"/>
    <cellStyle name="Currency 4 2 5 3 2" xfId="2297"/>
    <cellStyle name="Currency 4 2 5 4" xfId="2298"/>
    <cellStyle name="Currency 4 2 6" xfId="2299"/>
    <cellStyle name="Currency 4 2 6 2" xfId="2300"/>
    <cellStyle name="Currency 4 2 7" xfId="2301"/>
    <cellStyle name="Currency 4 2 7 2" xfId="2302"/>
    <cellStyle name="Currency 4 2 8" xfId="2303"/>
    <cellStyle name="Currency 4 3" xfId="2304"/>
    <cellStyle name="Currency 4 3 2" xfId="2305"/>
    <cellStyle name="Currency 4 3 2 2" xfId="2306"/>
    <cellStyle name="Currency 4 3 2 2 2" xfId="2307"/>
    <cellStyle name="Currency 4 3 2 2 2 2" xfId="2308"/>
    <cellStyle name="Currency 4 3 2 2 2 2 2" xfId="2309"/>
    <cellStyle name="Currency 4 3 2 2 2 3" xfId="2310"/>
    <cellStyle name="Currency 4 3 2 2 2 3 2" xfId="2311"/>
    <cellStyle name="Currency 4 3 2 2 2 4" xfId="2312"/>
    <cellStyle name="Currency 4 3 2 2 3" xfId="2313"/>
    <cellStyle name="Currency 4 3 2 2 3 2" xfId="2314"/>
    <cellStyle name="Currency 4 3 2 2 4" xfId="2315"/>
    <cellStyle name="Currency 4 3 2 2 4 2" xfId="2316"/>
    <cellStyle name="Currency 4 3 2 2 5" xfId="2317"/>
    <cellStyle name="Currency 4 3 2 3" xfId="2318"/>
    <cellStyle name="Currency 4 3 2 3 2" xfId="2319"/>
    <cellStyle name="Currency 4 3 2 3 2 2" xfId="2320"/>
    <cellStyle name="Currency 4 3 2 3 3" xfId="2321"/>
    <cellStyle name="Currency 4 3 2 3 3 2" xfId="2322"/>
    <cellStyle name="Currency 4 3 2 3 4" xfId="2323"/>
    <cellStyle name="Currency 4 3 2 4" xfId="2324"/>
    <cellStyle name="Currency 4 3 2 4 2" xfId="2325"/>
    <cellStyle name="Currency 4 3 2 5" xfId="2326"/>
    <cellStyle name="Currency 4 3 2 5 2" xfId="2327"/>
    <cellStyle name="Currency 4 3 2 6" xfId="2328"/>
    <cellStyle name="Currency 4 3 3" xfId="2329"/>
    <cellStyle name="Currency 4 3 3 2" xfId="2330"/>
    <cellStyle name="Currency 4 3 3 2 2" xfId="2331"/>
    <cellStyle name="Currency 4 3 3 2 2 2" xfId="2332"/>
    <cellStyle name="Currency 4 3 3 2 3" xfId="2333"/>
    <cellStyle name="Currency 4 3 3 2 3 2" xfId="2334"/>
    <cellStyle name="Currency 4 3 3 2 4" xfId="2335"/>
    <cellStyle name="Currency 4 3 3 3" xfId="2336"/>
    <cellStyle name="Currency 4 3 3 3 2" xfId="2337"/>
    <cellStyle name="Currency 4 3 3 4" xfId="2338"/>
    <cellStyle name="Currency 4 3 3 4 2" xfId="2339"/>
    <cellStyle name="Currency 4 3 3 5" xfId="2340"/>
    <cellStyle name="Currency 4 3 4" xfId="2341"/>
    <cellStyle name="Currency 4 3 4 2" xfId="2342"/>
    <cellStyle name="Currency 4 3 4 2 2" xfId="2343"/>
    <cellStyle name="Currency 4 3 4 3" xfId="2344"/>
    <cellStyle name="Currency 4 3 4 3 2" xfId="2345"/>
    <cellStyle name="Currency 4 3 4 4" xfId="2346"/>
    <cellStyle name="Currency 4 3 5" xfId="2347"/>
    <cellStyle name="Currency 4 3 5 2" xfId="2348"/>
    <cellStyle name="Currency 4 3 6" xfId="2349"/>
    <cellStyle name="Currency 4 3 6 2" xfId="2350"/>
    <cellStyle name="Currency 4 3 7" xfId="2351"/>
    <cellStyle name="Currency 4 4" xfId="2352"/>
    <cellStyle name="Currency 4 4 2" xfId="2353"/>
    <cellStyle name="Currency 4 4 2 2" xfId="2354"/>
    <cellStyle name="Currency 4 4 2 2 2" xfId="2355"/>
    <cellStyle name="Currency 4 4 2 2 2 2" xfId="2356"/>
    <cellStyle name="Currency 4 4 2 2 2 2 2" xfId="2357"/>
    <cellStyle name="Currency 4 4 2 2 2 3" xfId="2358"/>
    <cellStyle name="Currency 4 4 2 2 2 3 2" xfId="2359"/>
    <cellStyle name="Currency 4 4 2 2 2 4" xfId="2360"/>
    <cellStyle name="Currency 4 4 2 2 3" xfId="2361"/>
    <cellStyle name="Currency 4 4 2 2 3 2" xfId="2362"/>
    <cellStyle name="Currency 4 4 2 2 4" xfId="2363"/>
    <cellStyle name="Currency 4 4 2 2 4 2" xfId="2364"/>
    <cellStyle name="Currency 4 4 2 2 5" xfId="2365"/>
    <cellStyle name="Currency 4 4 2 3" xfId="2366"/>
    <cellStyle name="Currency 4 4 2 3 2" xfId="2367"/>
    <cellStyle name="Currency 4 4 2 3 2 2" xfId="2368"/>
    <cellStyle name="Currency 4 4 2 3 3" xfId="2369"/>
    <cellStyle name="Currency 4 4 2 3 3 2" xfId="2370"/>
    <cellStyle name="Currency 4 4 2 3 4" xfId="2371"/>
    <cellStyle name="Currency 4 4 2 4" xfId="2372"/>
    <cellStyle name="Currency 4 4 2 4 2" xfId="2373"/>
    <cellStyle name="Currency 4 4 2 5" xfId="2374"/>
    <cellStyle name="Currency 4 4 2 5 2" xfId="2375"/>
    <cellStyle name="Currency 4 4 2 6" xfId="2376"/>
    <cellStyle name="Currency 4 4 3" xfId="2377"/>
    <cellStyle name="Currency 4 4 3 2" xfId="2378"/>
    <cellStyle name="Currency 4 4 3 2 2" xfId="2379"/>
    <cellStyle name="Currency 4 4 3 2 2 2" xfId="2380"/>
    <cellStyle name="Currency 4 4 3 2 3" xfId="2381"/>
    <cellStyle name="Currency 4 4 3 2 3 2" xfId="2382"/>
    <cellStyle name="Currency 4 4 3 2 4" xfId="2383"/>
    <cellStyle name="Currency 4 4 3 3" xfId="2384"/>
    <cellStyle name="Currency 4 4 3 3 2" xfId="2385"/>
    <cellStyle name="Currency 4 4 3 4" xfId="2386"/>
    <cellStyle name="Currency 4 4 3 4 2" xfId="2387"/>
    <cellStyle name="Currency 4 4 3 5" xfId="2388"/>
    <cellStyle name="Currency 4 4 4" xfId="2389"/>
    <cellStyle name="Currency 4 4 4 2" xfId="2390"/>
    <cellStyle name="Currency 4 4 4 2 2" xfId="2391"/>
    <cellStyle name="Currency 4 4 4 3" xfId="2392"/>
    <cellStyle name="Currency 4 4 4 3 2" xfId="2393"/>
    <cellStyle name="Currency 4 4 4 4" xfId="2394"/>
    <cellStyle name="Currency 4 4 5" xfId="2395"/>
    <cellStyle name="Currency 4 4 5 2" xfId="2396"/>
    <cellStyle name="Currency 4 4 6" xfId="2397"/>
    <cellStyle name="Currency 4 4 6 2" xfId="2398"/>
    <cellStyle name="Currency 4 4 7" xfId="2399"/>
    <cellStyle name="Currency 4 5" xfId="2400"/>
    <cellStyle name="Currency 4 5 2" xfId="2401"/>
    <cellStyle name="Currency 4 5 2 2" xfId="2402"/>
    <cellStyle name="Currency 4 5 2 2 2" xfId="2403"/>
    <cellStyle name="Currency 4 5 2 2 2 2" xfId="2404"/>
    <cellStyle name="Currency 4 5 2 2 3" xfId="2405"/>
    <cellStyle name="Currency 4 5 2 2 3 2" xfId="2406"/>
    <cellStyle name="Currency 4 5 2 2 4" xfId="2407"/>
    <cellStyle name="Currency 4 5 2 3" xfId="2408"/>
    <cellStyle name="Currency 4 5 2 3 2" xfId="2409"/>
    <cellStyle name="Currency 4 5 2 4" xfId="2410"/>
    <cellStyle name="Currency 4 5 2 4 2" xfId="2411"/>
    <cellStyle name="Currency 4 5 2 5" xfId="2412"/>
    <cellStyle name="Currency 4 5 3" xfId="2413"/>
    <cellStyle name="Currency 4 5 3 2" xfId="2414"/>
    <cellStyle name="Currency 4 5 3 2 2" xfId="2415"/>
    <cellStyle name="Currency 4 5 3 3" xfId="2416"/>
    <cellStyle name="Currency 4 5 3 3 2" xfId="2417"/>
    <cellStyle name="Currency 4 5 3 4" xfId="2418"/>
    <cellStyle name="Currency 4 5 4" xfId="2419"/>
    <cellStyle name="Currency 4 5 4 2" xfId="2420"/>
    <cellStyle name="Currency 4 5 5" xfId="2421"/>
    <cellStyle name="Currency 4 5 5 2" xfId="2422"/>
    <cellStyle name="Currency 4 5 6" xfId="2423"/>
    <cellStyle name="Currency 4 6" xfId="2424"/>
    <cellStyle name="Currency 4 6 2" xfId="2425"/>
    <cellStyle name="Currency 4 6 2 2" xfId="2426"/>
    <cellStyle name="Currency 4 6 2 2 2" xfId="2427"/>
    <cellStyle name="Currency 4 6 2 3" xfId="2428"/>
    <cellStyle name="Currency 4 6 2 3 2" xfId="2429"/>
    <cellStyle name="Currency 4 6 2 4" xfId="2430"/>
    <cellStyle name="Currency 4 6 3" xfId="2431"/>
    <cellStyle name="Currency 4 6 3 2" xfId="2432"/>
    <cellStyle name="Currency 4 6 4" xfId="2433"/>
    <cellStyle name="Currency 4 6 4 2" xfId="2434"/>
    <cellStyle name="Currency 4 6 5" xfId="2435"/>
    <cellStyle name="Currency 4 7" xfId="2436"/>
    <cellStyle name="Currency 4 7 2" xfId="2437"/>
    <cellStyle name="Currency 4 7 2 2" xfId="2438"/>
    <cellStyle name="Currency 4 7 3" xfId="2439"/>
    <cellStyle name="Currency 4 7 3 2" xfId="2440"/>
    <cellStyle name="Currency 4 7 4" xfId="2441"/>
    <cellStyle name="Currency 4 8" xfId="2442"/>
    <cellStyle name="Currency 4 8 2" xfId="2443"/>
    <cellStyle name="Currency 4 9" xfId="2444"/>
    <cellStyle name="Currency 4 9 2" xfId="2445"/>
    <cellStyle name="Currency 5" xfId="2446"/>
    <cellStyle name="Currency 5 2" xfId="2447"/>
    <cellStyle name="Currency 5 2 2" xfId="2448"/>
    <cellStyle name="Currency 5 2 2 2" xfId="2449"/>
    <cellStyle name="Currency 5 2 2 2 2" xfId="2450"/>
    <cellStyle name="Currency 5 2 2 2 2 2" xfId="2451"/>
    <cellStyle name="Currency 5 2 2 2 2 2 2" xfId="2452"/>
    <cellStyle name="Currency 5 2 2 2 2 3" xfId="2453"/>
    <cellStyle name="Currency 5 2 2 2 2 3 2" xfId="2454"/>
    <cellStyle name="Currency 5 2 2 2 2 4" xfId="2455"/>
    <cellStyle name="Currency 5 2 2 2 3" xfId="2456"/>
    <cellStyle name="Currency 5 2 2 2 3 2" xfId="2457"/>
    <cellStyle name="Currency 5 2 2 2 4" xfId="2458"/>
    <cellStyle name="Currency 5 2 2 2 4 2" xfId="2459"/>
    <cellStyle name="Currency 5 2 2 2 5" xfId="2460"/>
    <cellStyle name="Currency 5 2 2 3" xfId="2461"/>
    <cellStyle name="Currency 5 2 2 3 2" xfId="2462"/>
    <cellStyle name="Currency 5 2 2 3 2 2" xfId="2463"/>
    <cellStyle name="Currency 5 2 2 3 3" xfId="2464"/>
    <cellStyle name="Currency 5 2 2 3 3 2" xfId="2465"/>
    <cellStyle name="Currency 5 2 2 3 4" xfId="2466"/>
    <cellStyle name="Currency 5 2 2 4" xfId="2467"/>
    <cellStyle name="Currency 5 2 2 4 2" xfId="2468"/>
    <cellStyle name="Currency 5 2 2 5" xfId="2469"/>
    <cellStyle name="Currency 5 2 2 5 2" xfId="2470"/>
    <cellStyle name="Currency 5 2 2 6" xfId="2471"/>
    <cellStyle name="Currency 5 2 3" xfId="2472"/>
    <cellStyle name="Currency 5 2 3 2" xfId="2473"/>
    <cellStyle name="Currency 5 2 3 2 2" xfId="2474"/>
    <cellStyle name="Currency 5 2 3 2 2 2" xfId="2475"/>
    <cellStyle name="Currency 5 2 3 2 3" xfId="2476"/>
    <cellStyle name="Currency 5 2 3 2 3 2" xfId="2477"/>
    <cellStyle name="Currency 5 2 3 2 4" xfId="2478"/>
    <cellStyle name="Currency 5 2 3 3" xfId="2479"/>
    <cellStyle name="Currency 5 2 3 3 2" xfId="2480"/>
    <cellStyle name="Currency 5 2 3 4" xfId="2481"/>
    <cellStyle name="Currency 5 2 3 4 2" xfId="2482"/>
    <cellStyle name="Currency 5 2 3 5" xfId="2483"/>
    <cellStyle name="Currency 5 2 4" xfId="2484"/>
    <cellStyle name="Currency 5 2 4 2" xfId="2485"/>
    <cellStyle name="Currency 5 2 4 2 2" xfId="2486"/>
    <cellStyle name="Currency 5 2 4 3" xfId="2487"/>
    <cellStyle name="Currency 5 2 4 3 2" xfId="2488"/>
    <cellStyle name="Currency 5 2 4 4" xfId="2489"/>
    <cellStyle name="Currency 5 2 5" xfId="2490"/>
    <cellStyle name="Currency 5 2 5 2" xfId="2491"/>
    <cellStyle name="Currency 5 2 6" xfId="2492"/>
    <cellStyle name="Currency 5 2 6 2" xfId="2493"/>
    <cellStyle name="Currency 5 2 7" xfId="2494"/>
    <cellStyle name="Currency 5 3" xfId="2495"/>
    <cellStyle name="Currency 5 3 2" xfId="2496"/>
    <cellStyle name="Currency 5 3 2 2" xfId="2497"/>
    <cellStyle name="Currency 5 3 2 2 2" xfId="2498"/>
    <cellStyle name="Currency 5 3 2 2 2 2" xfId="2499"/>
    <cellStyle name="Currency 5 3 2 2 2 2 2" xfId="2500"/>
    <cellStyle name="Currency 5 3 2 2 2 3" xfId="2501"/>
    <cellStyle name="Currency 5 3 2 2 2 3 2" xfId="2502"/>
    <cellStyle name="Currency 5 3 2 2 2 4" xfId="2503"/>
    <cellStyle name="Currency 5 3 2 2 3" xfId="2504"/>
    <cellStyle name="Currency 5 3 2 2 3 2" xfId="2505"/>
    <cellStyle name="Currency 5 3 2 2 4" xfId="2506"/>
    <cellStyle name="Currency 5 3 2 2 4 2" xfId="2507"/>
    <cellStyle name="Currency 5 3 2 2 5" xfId="2508"/>
    <cellStyle name="Currency 5 3 2 3" xfId="2509"/>
    <cellStyle name="Currency 5 3 2 3 2" xfId="2510"/>
    <cellStyle name="Currency 5 3 2 3 2 2" xfId="2511"/>
    <cellStyle name="Currency 5 3 2 3 3" xfId="2512"/>
    <cellStyle name="Currency 5 3 2 3 3 2" xfId="2513"/>
    <cellStyle name="Currency 5 3 2 3 4" xfId="2514"/>
    <cellStyle name="Currency 5 3 2 4" xfId="2515"/>
    <cellStyle name="Currency 5 3 2 4 2" xfId="2516"/>
    <cellStyle name="Currency 5 3 2 5" xfId="2517"/>
    <cellStyle name="Currency 5 3 2 5 2" xfId="2518"/>
    <cellStyle name="Currency 5 3 2 6" xfId="2519"/>
    <cellStyle name="Currency 5 3 3" xfId="2520"/>
    <cellStyle name="Currency 5 3 3 2" xfId="2521"/>
    <cellStyle name="Currency 5 3 3 2 2" xfId="2522"/>
    <cellStyle name="Currency 5 3 3 2 2 2" xfId="2523"/>
    <cellStyle name="Currency 5 3 3 2 3" xfId="2524"/>
    <cellStyle name="Currency 5 3 3 2 3 2" xfId="2525"/>
    <cellStyle name="Currency 5 3 3 2 4" xfId="2526"/>
    <cellStyle name="Currency 5 3 3 3" xfId="2527"/>
    <cellStyle name="Currency 5 3 3 3 2" xfId="2528"/>
    <cellStyle name="Currency 5 3 3 4" xfId="2529"/>
    <cellStyle name="Currency 5 3 3 4 2" xfId="2530"/>
    <cellStyle name="Currency 5 3 3 5" xfId="2531"/>
    <cellStyle name="Currency 5 3 4" xfId="2532"/>
    <cellStyle name="Currency 5 3 4 2" xfId="2533"/>
    <cellStyle name="Currency 5 3 4 2 2" xfId="2534"/>
    <cellStyle name="Currency 5 3 4 3" xfId="2535"/>
    <cellStyle name="Currency 5 3 4 3 2" xfId="2536"/>
    <cellStyle name="Currency 5 3 4 4" xfId="2537"/>
    <cellStyle name="Currency 5 3 5" xfId="2538"/>
    <cellStyle name="Currency 5 3 5 2" xfId="2539"/>
    <cellStyle name="Currency 5 3 6" xfId="2540"/>
    <cellStyle name="Currency 5 3 6 2" xfId="2541"/>
    <cellStyle name="Currency 5 3 7" xfId="2542"/>
    <cellStyle name="Currency 5 4" xfId="2543"/>
    <cellStyle name="Currency 5 4 2" xfId="2544"/>
    <cellStyle name="Currency 5 4 2 2" xfId="2545"/>
    <cellStyle name="Currency 5 4 2 2 2" xfId="2546"/>
    <cellStyle name="Currency 5 4 2 2 2 2" xfId="2547"/>
    <cellStyle name="Currency 5 4 2 2 3" xfId="2548"/>
    <cellStyle name="Currency 5 4 2 2 3 2" xfId="2549"/>
    <cellStyle name="Currency 5 4 2 2 4" xfId="2550"/>
    <cellStyle name="Currency 5 4 2 3" xfId="2551"/>
    <cellStyle name="Currency 5 4 2 3 2" xfId="2552"/>
    <cellStyle name="Currency 5 4 2 4" xfId="2553"/>
    <cellStyle name="Currency 5 4 2 4 2" xfId="2554"/>
    <cellStyle name="Currency 5 4 2 5" xfId="2555"/>
    <cellStyle name="Currency 5 4 3" xfId="2556"/>
    <cellStyle name="Currency 5 4 3 2" xfId="2557"/>
    <cellStyle name="Currency 5 4 3 2 2" xfId="2558"/>
    <cellStyle name="Currency 5 4 3 3" xfId="2559"/>
    <cellStyle name="Currency 5 4 3 3 2" xfId="2560"/>
    <cellStyle name="Currency 5 4 3 4" xfId="2561"/>
    <cellStyle name="Currency 5 4 4" xfId="2562"/>
    <cellStyle name="Currency 5 4 4 2" xfId="2563"/>
    <cellStyle name="Currency 5 4 5" xfId="2564"/>
    <cellStyle name="Currency 5 4 5 2" xfId="2565"/>
    <cellStyle name="Currency 5 4 6" xfId="2566"/>
    <cellStyle name="Currency 5 5" xfId="2567"/>
    <cellStyle name="Currency 5 5 2" xfId="2568"/>
    <cellStyle name="Currency 5 5 2 2" xfId="2569"/>
    <cellStyle name="Currency 5 5 2 2 2" xfId="2570"/>
    <cellStyle name="Currency 5 5 2 3" xfId="2571"/>
    <cellStyle name="Currency 5 5 2 3 2" xfId="2572"/>
    <cellStyle name="Currency 5 5 2 4" xfId="2573"/>
    <cellStyle name="Currency 5 5 3" xfId="2574"/>
    <cellStyle name="Currency 5 5 3 2" xfId="2575"/>
    <cellStyle name="Currency 5 5 4" xfId="2576"/>
    <cellStyle name="Currency 5 5 4 2" xfId="2577"/>
    <cellStyle name="Currency 5 5 5" xfId="2578"/>
    <cellStyle name="Currency 5 6" xfId="2579"/>
    <cellStyle name="Currency 5 6 2" xfId="2580"/>
    <cellStyle name="Currency 5 6 2 2" xfId="2581"/>
    <cellStyle name="Currency 5 6 3" xfId="2582"/>
    <cellStyle name="Currency 5 6 3 2" xfId="2583"/>
    <cellStyle name="Currency 5 6 4" xfId="2584"/>
    <cellStyle name="Currency 5 7" xfId="2585"/>
    <cellStyle name="Currency 5 7 2" xfId="2586"/>
    <cellStyle name="Currency 5 8" xfId="2587"/>
    <cellStyle name="Currency 5 8 2" xfId="2588"/>
    <cellStyle name="Currency 5 9" xfId="2589"/>
    <cellStyle name="Currency 6" xfId="2590"/>
    <cellStyle name="Currency 6 2" xfId="2591"/>
    <cellStyle name="Currency 6 3" xfId="2592"/>
    <cellStyle name="Currency 6 4" xfId="2593"/>
    <cellStyle name="Currency 7" xfId="2594"/>
    <cellStyle name="Currency 7 2" xfId="2595"/>
    <cellStyle name="Currency 8" xfId="2596"/>
    <cellStyle name="Currency 8 2" xfId="2597"/>
    <cellStyle name="Currency 8 2 2" xfId="2598"/>
    <cellStyle name="Currency 8 2 2 2" xfId="2599"/>
    <cellStyle name="Currency 8 2 2 2 2" xfId="2600"/>
    <cellStyle name="Currency 8 2 2 2 2 2" xfId="2601"/>
    <cellStyle name="Currency 8 2 2 2 2 2 2" xfId="2602"/>
    <cellStyle name="Currency 8 2 2 2 2 3" xfId="2603"/>
    <cellStyle name="Currency 8 2 2 2 2 3 2" xfId="2604"/>
    <cellStyle name="Currency 8 2 2 2 2 4" xfId="2605"/>
    <cellStyle name="Currency 8 2 2 2 3" xfId="2606"/>
    <cellStyle name="Currency 8 2 2 2 3 2" xfId="2607"/>
    <cellStyle name="Currency 8 2 2 2 4" xfId="2608"/>
    <cellStyle name="Currency 8 2 2 2 4 2" xfId="2609"/>
    <cellStyle name="Currency 8 2 2 2 5" xfId="2610"/>
    <cellStyle name="Currency 8 2 2 3" xfId="2611"/>
    <cellStyle name="Currency 8 2 2 3 2" xfId="2612"/>
    <cellStyle name="Currency 8 2 2 3 2 2" xfId="2613"/>
    <cellStyle name="Currency 8 2 2 3 3" xfId="2614"/>
    <cellStyle name="Currency 8 2 2 3 3 2" xfId="2615"/>
    <cellStyle name="Currency 8 2 2 3 4" xfId="2616"/>
    <cellStyle name="Currency 8 2 2 4" xfId="2617"/>
    <cellStyle name="Currency 8 2 2 4 2" xfId="2618"/>
    <cellStyle name="Currency 8 2 2 5" xfId="2619"/>
    <cellStyle name="Currency 8 2 2 5 2" xfId="2620"/>
    <cellStyle name="Currency 8 2 2 6" xfId="2621"/>
    <cellStyle name="Currency 8 2 3" xfId="2622"/>
    <cellStyle name="Currency 8 2 3 2" xfId="2623"/>
    <cellStyle name="Currency 8 2 3 2 2" xfId="2624"/>
    <cellStyle name="Currency 8 2 3 2 2 2" xfId="2625"/>
    <cellStyle name="Currency 8 2 3 2 3" xfId="2626"/>
    <cellStyle name="Currency 8 2 3 2 3 2" xfId="2627"/>
    <cellStyle name="Currency 8 2 3 2 4" xfId="2628"/>
    <cellStyle name="Currency 8 2 3 3" xfId="2629"/>
    <cellStyle name="Currency 8 2 3 3 2" xfId="2630"/>
    <cellStyle name="Currency 8 2 3 4" xfId="2631"/>
    <cellStyle name="Currency 8 2 3 4 2" xfId="2632"/>
    <cellStyle name="Currency 8 2 3 5" xfId="2633"/>
    <cellStyle name="Currency 8 2 4" xfId="2634"/>
    <cellStyle name="Currency 8 2 4 2" xfId="2635"/>
    <cellStyle name="Currency 8 2 4 2 2" xfId="2636"/>
    <cellStyle name="Currency 8 2 4 3" xfId="2637"/>
    <cellStyle name="Currency 8 2 4 3 2" xfId="2638"/>
    <cellStyle name="Currency 8 2 4 4" xfId="2639"/>
    <cellStyle name="Currency 8 2 5" xfId="2640"/>
    <cellStyle name="Currency 8 2 5 2" xfId="2641"/>
    <cellStyle name="Currency 8 2 6" xfId="2642"/>
    <cellStyle name="Currency 8 2 6 2" xfId="2643"/>
    <cellStyle name="Currency 8 2 7" xfId="2644"/>
    <cellStyle name="Currency 8 3" xfId="2645"/>
    <cellStyle name="Currency 8 3 2" xfId="2646"/>
    <cellStyle name="Currency 8 3 2 2" xfId="2647"/>
    <cellStyle name="Currency 8 3 2 2 2" xfId="2648"/>
    <cellStyle name="Currency 8 3 2 2 2 2" xfId="2649"/>
    <cellStyle name="Currency 8 3 2 2 3" xfId="2650"/>
    <cellStyle name="Currency 8 3 2 2 3 2" xfId="2651"/>
    <cellStyle name="Currency 8 3 2 2 4" xfId="2652"/>
    <cellStyle name="Currency 8 3 2 3" xfId="2653"/>
    <cellStyle name="Currency 8 3 2 3 2" xfId="2654"/>
    <cellStyle name="Currency 8 3 2 4" xfId="2655"/>
    <cellStyle name="Currency 8 3 2 4 2" xfId="2656"/>
    <cellStyle name="Currency 8 3 2 5" xfId="2657"/>
    <cellStyle name="Currency 8 3 3" xfId="2658"/>
    <cellStyle name="Currency 8 3 3 2" xfId="2659"/>
    <cellStyle name="Currency 8 3 3 2 2" xfId="2660"/>
    <cellStyle name="Currency 8 3 3 3" xfId="2661"/>
    <cellStyle name="Currency 8 3 3 3 2" xfId="2662"/>
    <cellStyle name="Currency 8 3 3 4" xfId="2663"/>
    <cellStyle name="Currency 8 3 4" xfId="2664"/>
    <cellStyle name="Currency 8 3 4 2" xfId="2665"/>
    <cellStyle name="Currency 8 3 5" xfId="2666"/>
    <cellStyle name="Currency 8 3 5 2" xfId="2667"/>
    <cellStyle name="Currency 8 3 6" xfId="2668"/>
    <cellStyle name="Currency 8 3 7" xfId="2669"/>
    <cellStyle name="Currency 8 4" xfId="2670"/>
    <cellStyle name="Currency 8 4 2" xfId="2671"/>
    <cellStyle name="Currency 8 4 2 2" xfId="2672"/>
    <cellStyle name="Currency 8 4 2 2 2" xfId="2673"/>
    <cellStyle name="Currency 8 4 2 3" xfId="2674"/>
    <cellStyle name="Currency 8 4 2 3 2" xfId="2675"/>
    <cellStyle name="Currency 8 4 2 4" xfId="2676"/>
    <cellStyle name="Currency 8 4 3" xfId="2677"/>
    <cellStyle name="Currency 8 4 3 2" xfId="2678"/>
    <cellStyle name="Currency 8 4 4" xfId="2679"/>
    <cellStyle name="Currency 8 4 4 2" xfId="2680"/>
    <cellStyle name="Currency 8 4 5" xfId="2681"/>
    <cellStyle name="Currency 8 5" xfId="2682"/>
    <cellStyle name="Currency 8 5 2" xfId="2683"/>
    <cellStyle name="Currency 8 5 2 2" xfId="2684"/>
    <cellStyle name="Currency 8 5 3" xfId="2685"/>
    <cellStyle name="Currency 8 5 3 2" xfId="2686"/>
    <cellStyle name="Currency 8 5 4" xfId="2687"/>
    <cellStyle name="Currency 8 6" xfId="2688"/>
    <cellStyle name="Currency 8 6 2" xfId="2689"/>
    <cellStyle name="Currency 8 7" xfId="2690"/>
    <cellStyle name="Currency 8 7 2" xfId="2691"/>
    <cellStyle name="Currency 8 8" xfId="2692"/>
    <cellStyle name="Currency 9" xfId="2693"/>
    <cellStyle name="Currency 9 2" xfId="2694"/>
    <cellStyle name="Currency 9 2 2" xfId="2695"/>
    <cellStyle name="Currency 9 2 2 2" xfId="2696"/>
    <cellStyle name="Currency 9 2 2 2 2" xfId="2697"/>
    <cellStyle name="Currency 9 2 2 2 2 2" xfId="2698"/>
    <cellStyle name="Currency 9 2 2 2 3" xfId="2699"/>
    <cellStyle name="Currency 9 2 2 2 3 2" xfId="2700"/>
    <cellStyle name="Currency 9 2 2 2 4" xfId="2701"/>
    <cellStyle name="Currency 9 2 2 3" xfId="2702"/>
    <cellStyle name="Currency 9 2 2 3 2" xfId="2703"/>
    <cellStyle name="Currency 9 2 2 4" xfId="2704"/>
    <cellStyle name="Currency 9 2 2 4 2" xfId="2705"/>
    <cellStyle name="Currency 9 2 2 5" xfId="2706"/>
    <cellStyle name="Currency 9 2 3" xfId="2707"/>
    <cellStyle name="Currency 9 2 3 2" xfId="2708"/>
    <cellStyle name="Currency 9 2 3 2 2" xfId="2709"/>
    <cellStyle name="Currency 9 2 3 3" xfId="2710"/>
    <cellStyle name="Currency 9 2 3 3 2" xfId="2711"/>
    <cellStyle name="Currency 9 2 3 4" xfId="2712"/>
    <cellStyle name="Currency 9 2 4" xfId="2713"/>
    <cellStyle name="Currency 9 2 4 2" xfId="2714"/>
    <cellStyle name="Currency 9 2 5" xfId="2715"/>
    <cellStyle name="Currency 9 2 5 2" xfId="2716"/>
    <cellStyle name="Currency 9 2 6" xfId="2717"/>
    <cellStyle name="Currency 9 3" xfId="2718"/>
    <cellStyle name="Currency 9 3 2" xfId="2719"/>
    <cellStyle name="Currency 9 3 2 2" xfId="2720"/>
    <cellStyle name="Currency 9 3 2 2 2" xfId="2721"/>
    <cellStyle name="Currency 9 3 2 3" xfId="2722"/>
    <cellStyle name="Currency 9 3 2 3 2" xfId="2723"/>
    <cellStyle name="Currency 9 3 2 4" xfId="2724"/>
    <cellStyle name="Currency 9 3 3" xfId="2725"/>
    <cellStyle name="Currency 9 3 3 2" xfId="2726"/>
    <cellStyle name="Currency 9 3 4" xfId="2727"/>
    <cellStyle name="Currency 9 3 4 2" xfId="2728"/>
    <cellStyle name="Currency 9 3 5" xfId="2729"/>
    <cellStyle name="Currency 9 4" xfId="2730"/>
    <cellStyle name="Currency 9 4 2" xfId="2731"/>
    <cellStyle name="Currency 9 4 2 2" xfId="2732"/>
    <cellStyle name="Currency 9 4 3" xfId="2733"/>
    <cellStyle name="Currency 9 4 3 2" xfId="2734"/>
    <cellStyle name="Currency 9 4 4" xfId="2735"/>
    <cellStyle name="Currency 9 5" xfId="2736"/>
    <cellStyle name="Currency 9 5 2" xfId="2737"/>
    <cellStyle name="Currency 9 6" xfId="2738"/>
    <cellStyle name="Currency 9 6 2" xfId="2739"/>
    <cellStyle name="Currency 9 7" xfId="2740"/>
    <cellStyle name="Currency0" xfId="2741"/>
    <cellStyle name="Custom - Style1" xfId="2742"/>
    <cellStyle name="Custom - Style8" xfId="2743"/>
    <cellStyle name="Data   - Style2" xfId="2744"/>
    <cellStyle name="Data   - Style2 2" xfId="2745"/>
    <cellStyle name="Data   - Style2 2 2" xfId="15328"/>
    <cellStyle name="Data   - Style2 2 3" xfId="22755"/>
    <cellStyle name="Data   - Style2 2 4" xfId="22865"/>
    <cellStyle name="Data   - Style2 3" xfId="2746"/>
    <cellStyle name="Data   - Style2 3 2" xfId="15329"/>
    <cellStyle name="Data   - Style2 3 3" xfId="22758"/>
    <cellStyle name="Data   - Style2 3 4" xfId="22940"/>
    <cellStyle name="Data   - Style2 4" xfId="2747"/>
    <cellStyle name="Data   - Style2 4 2" xfId="15330"/>
    <cellStyle name="Data   - Style2 4 3" xfId="22756"/>
    <cellStyle name="Data   - Style2 4 4" xfId="22941"/>
    <cellStyle name="Data   - Style2 5" xfId="2748"/>
    <cellStyle name="Data   - Style2 5 2" xfId="15331"/>
    <cellStyle name="Data   - Style2 5 3" xfId="22757"/>
    <cellStyle name="Data   - Style2 5 4" xfId="22864"/>
    <cellStyle name="Data   - Style2 6" xfId="15327"/>
    <cellStyle name="Data   - Style2 7" xfId="22759"/>
    <cellStyle name="Data   - Style2 8" xfId="22866"/>
    <cellStyle name="Data Enter" xfId="2749"/>
    <cellStyle name="date" xfId="2750"/>
    <cellStyle name="Euro" xfId="2751"/>
    <cellStyle name="Euro 2" xfId="2752"/>
    <cellStyle name="Explanatory Text" xfId="2753" builtinId="53" customBuiltin="1"/>
    <cellStyle name="Explanatory Text 2" xfId="2754"/>
    <cellStyle name="Explanatory Text 3" xfId="2755"/>
    <cellStyle name="Explanatory Text 4" xfId="2756"/>
    <cellStyle name="F9ReportControlStyle_ctpInquire" xfId="2757"/>
    <cellStyle name="FactSheet" xfId="2758"/>
    <cellStyle name="fish" xfId="2759"/>
    <cellStyle name="Good" xfId="2760" builtinId="26" customBuiltin="1"/>
    <cellStyle name="Good 2" xfId="2761"/>
    <cellStyle name="Good 2 2" xfId="2762"/>
    <cellStyle name="Good 2 2 2" xfId="2763"/>
    <cellStyle name="Good 2 2 3" xfId="2764"/>
    <cellStyle name="Good 2 3" xfId="2765"/>
    <cellStyle name="Good 2 4" xfId="2766"/>
    <cellStyle name="Good 2 5" xfId="2767"/>
    <cellStyle name="Good 3" xfId="2768"/>
    <cellStyle name="Good 3 2" xfId="2769"/>
    <cellStyle name="Good 3 3" xfId="2770"/>
    <cellStyle name="Good 3 3 2" xfId="2771"/>
    <cellStyle name="Good 4" xfId="2772"/>
    <cellStyle name="Good 5" xfId="2773"/>
    <cellStyle name="Heading 1" xfId="2774" builtinId="16" customBuiltin="1"/>
    <cellStyle name="Heading 1 2" xfId="2775"/>
    <cellStyle name="Heading 1 2 2" xfId="2776"/>
    <cellStyle name="Heading 1 2 2 2" xfId="2777"/>
    <cellStyle name="Heading 1 2 3" xfId="2778"/>
    <cellStyle name="Heading 1 2 4" xfId="2779"/>
    <cellStyle name="Heading 1 2 4 2" xfId="2780"/>
    <cellStyle name="Heading 1 3" xfId="2781"/>
    <cellStyle name="Heading 1 3 2" xfId="2782"/>
    <cellStyle name="Heading 1 3 3" xfId="2783"/>
    <cellStyle name="Heading 1 3 4" xfId="2784"/>
    <cellStyle name="Heading 1 4" xfId="2785"/>
    <cellStyle name="Heading 1 4 2" xfId="2786"/>
    <cellStyle name="Heading 2" xfId="2787" builtinId="17" customBuiltin="1"/>
    <cellStyle name="Heading 2 2" xfId="2788"/>
    <cellStyle name="Heading 2 2 2" xfId="2789"/>
    <cellStyle name="Heading 2 2 3" xfId="2790"/>
    <cellStyle name="Heading 2 2 4" xfId="2791"/>
    <cellStyle name="Heading 2 2 4 2" xfId="2792"/>
    <cellStyle name="Heading 2 3" xfId="2793"/>
    <cellStyle name="Heading 2 3 2" xfId="2794"/>
    <cellStyle name="Heading 2 3 3" xfId="2795"/>
    <cellStyle name="Heading 2 3 4" xfId="2796"/>
    <cellStyle name="Heading 2 4" xfId="2797"/>
    <cellStyle name="Heading 2 4 2" xfId="2798"/>
    <cellStyle name="Heading 3" xfId="2799" builtinId="18" customBuiltin="1"/>
    <cellStyle name="Heading 3 2" xfId="2800"/>
    <cellStyle name="Heading 3 2 2" xfId="2801"/>
    <cellStyle name="Heading 3 2 2 2" xfId="2802"/>
    <cellStyle name="Heading 3 2 3" xfId="2803"/>
    <cellStyle name="Heading 3 2 4" xfId="2804"/>
    <cellStyle name="Heading 3 2 4 2" xfId="2805"/>
    <cellStyle name="Heading 3 3" xfId="2806"/>
    <cellStyle name="Heading 3 3 2" xfId="2807"/>
    <cellStyle name="Heading 3 3 3" xfId="2808"/>
    <cellStyle name="Heading 3 3 4" xfId="2809"/>
    <cellStyle name="Heading 3 4" xfId="2810"/>
    <cellStyle name="Heading 3 4 2" xfId="2811"/>
    <cellStyle name="Heading 4" xfId="2812" builtinId="19" customBuiltin="1"/>
    <cellStyle name="Heading 4 2" xfId="2813"/>
    <cellStyle name="Heading 4 2 2" xfId="2814"/>
    <cellStyle name="Heading 4 2 2 2" xfId="2815"/>
    <cellStyle name="Heading 4 2 2 3" xfId="2816"/>
    <cellStyle name="Heading 4 2 3" xfId="2817"/>
    <cellStyle name="Heading 4 2 3 2" xfId="2818"/>
    <cellStyle name="Heading 4 3" xfId="2819"/>
    <cellStyle name="Heading 4 3 2" xfId="2820"/>
    <cellStyle name="Heading 4 3 3" xfId="2821"/>
    <cellStyle name="Heading 4 4" xfId="2822"/>
    <cellStyle name="Hyperlink 2" xfId="2823"/>
    <cellStyle name="Hyperlink 2 2" xfId="2824"/>
    <cellStyle name="Hyperlink 2 2 2" xfId="2825"/>
    <cellStyle name="Hyperlink 2 2 3" xfId="2826"/>
    <cellStyle name="Hyperlink 2 2 4" xfId="2827"/>
    <cellStyle name="Hyperlink 2 2 5" xfId="2828"/>
    <cellStyle name="Hyperlink 2 2 6" xfId="2829"/>
    <cellStyle name="Hyperlink 2 3" xfId="2830"/>
    <cellStyle name="Hyperlink 2 3 2" xfId="2831"/>
    <cellStyle name="Hyperlink 2 3 3" xfId="2832"/>
    <cellStyle name="Hyperlink 2 4" xfId="2833"/>
    <cellStyle name="Hyperlink 3" xfId="2834"/>
    <cellStyle name="Hyperlink 3 2" xfId="2835"/>
    <cellStyle name="Hyperlink 3 2 2" xfId="2836"/>
    <cellStyle name="Hyperlink 3 3" xfId="2837"/>
    <cellStyle name="Hyperlink 3 4" xfId="2838"/>
    <cellStyle name="Hyperlink 4" xfId="2839"/>
    <cellStyle name="Hyperlink 4 2" xfId="2840"/>
    <cellStyle name="Hyperlink 5" xfId="2841"/>
    <cellStyle name="Input" xfId="2842" builtinId="20" customBuiltin="1"/>
    <cellStyle name="Input 2" xfId="2843"/>
    <cellStyle name="Input 2 2" xfId="2844"/>
    <cellStyle name="Input 2 2 2" xfId="2845"/>
    <cellStyle name="Input 2 2 2 2" xfId="2846"/>
    <cellStyle name="Input 2 2 2 2 2" xfId="2847"/>
    <cellStyle name="Input 2 2 2 2 2 2" xfId="15336"/>
    <cellStyle name="Input 2 2 2 2 2 3" xfId="22745"/>
    <cellStyle name="Input 2 2 2 2 2 4" xfId="22938"/>
    <cellStyle name="Input 2 2 2 2 3" xfId="2848"/>
    <cellStyle name="Input 2 2 2 2 3 2" xfId="15337"/>
    <cellStyle name="Input 2 2 2 2 3 3" xfId="22750"/>
    <cellStyle name="Input 2 2 2 2 3 4" xfId="22862"/>
    <cellStyle name="Input 2 2 2 2 4" xfId="2849"/>
    <cellStyle name="Input 2 2 2 2 4 2" xfId="15338"/>
    <cellStyle name="Input 2 2 2 2 4 3" xfId="22748"/>
    <cellStyle name="Input 2 2 2 2 4 4" xfId="22861"/>
    <cellStyle name="Input 2 2 2 2 5" xfId="2850"/>
    <cellStyle name="Input 2 2 2 2 5 2" xfId="15339"/>
    <cellStyle name="Input 2 2 2 2 5 3" xfId="22749"/>
    <cellStyle name="Input 2 2 2 2 5 4" xfId="22935"/>
    <cellStyle name="Input 2 2 2 2 6" xfId="15335"/>
    <cellStyle name="Input 2 2 2 2 7" xfId="22752"/>
    <cellStyle name="Input 2 2 2 2 8" xfId="22937"/>
    <cellStyle name="Input 2 2 2 3" xfId="2851"/>
    <cellStyle name="Input 2 2 2 3 2" xfId="15340"/>
    <cellStyle name="Input 2 2 2 3 3" xfId="22746"/>
    <cellStyle name="Input 2 2 2 3 4" xfId="22936"/>
    <cellStyle name="Input 2 2 2 4" xfId="15334"/>
    <cellStyle name="Input 2 2 2 5" xfId="22751"/>
    <cellStyle name="Input 2 2 2 6" xfId="22863"/>
    <cellStyle name="Input 2 2 3" xfId="2852"/>
    <cellStyle name="Input 2 2 3 2" xfId="2853"/>
    <cellStyle name="Input 2 2 3 2 2" xfId="15342"/>
    <cellStyle name="Input 2 2 3 2 3" xfId="22733"/>
    <cellStyle name="Input 2 2 3 2 4" xfId="22859"/>
    <cellStyle name="Input 2 2 3 3" xfId="2854"/>
    <cellStyle name="Input 2 2 3 3 2" xfId="15343"/>
    <cellStyle name="Input 2 2 3 3 3" xfId="22744"/>
    <cellStyle name="Input 2 2 3 3 4" xfId="22858"/>
    <cellStyle name="Input 2 2 3 4" xfId="2855"/>
    <cellStyle name="Input 2 2 3 4 2" xfId="15344"/>
    <cellStyle name="Input 2 2 3 4 3" xfId="22742"/>
    <cellStyle name="Input 2 2 3 4 4" xfId="22857"/>
    <cellStyle name="Input 2 2 3 5" xfId="2856"/>
    <cellStyle name="Input 2 2 3 5 2" xfId="15345"/>
    <cellStyle name="Input 2 2 3 5 3" xfId="22743"/>
    <cellStyle name="Input 2 2 3 5 4" xfId="22913"/>
    <cellStyle name="Input 2 2 3 6" xfId="15341"/>
    <cellStyle name="Input 2 2 3 7" xfId="22747"/>
    <cellStyle name="Input 2 2 3 8" xfId="22860"/>
    <cellStyle name="Input 2 2 4" xfId="2857"/>
    <cellStyle name="Input 2 2 4 2" xfId="15346"/>
    <cellStyle name="Input 2 2 4 3" xfId="22740"/>
    <cellStyle name="Input 2 2 4 4" xfId="22933"/>
    <cellStyle name="Input 2 2 5" xfId="2858"/>
    <cellStyle name="Input 2 2 5 2" xfId="15347"/>
    <cellStyle name="Input 2 2 5 3" xfId="22741"/>
    <cellStyle name="Input 2 2 5 4" xfId="22856"/>
    <cellStyle name="Input 2 2 6" xfId="15333"/>
    <cellStyle name="Input 2 2 7" xfId="22754"/>
    <cellStyle name="Input 2 2 8" xfId="22939"/>
    <cellStyle name="Input 2 3" xfId="2859"/>
    <cellStyle name="Input 2 3 2" xfId="2860"/>
    <cellStyle name="Input 2 3 2 2" xfId="2861"/>
    <cellStyle name="Input 2 3 2 2 2" xfId="15350"/>
    <cellStyle name="Input 2 3 2 2 3" xfId="22737"/>
    <cellStyle name="Input 2 3 2 2 4" xfId="22855"/>
    <cellStyle name="Input 2 3 2 3" xfId="2862"/>
    <cellStyle name="Input 2 3 2 3 2" xfId="15351"/>
    <cellStyle name="Input 2 3 2 3 3" xfId="22738"/>
    <cellStyle name="Input 2 3 2 3 4" xfId="22854"/>
    <cellStyle name="Input 2 3 2 4" xfId="2863"/>
    <cellStyle name="Input 2 3 2 4 2" xfId="15352"/>
    <cellStyle name="Input 2 3 2 4 3" xfId="22735"/>
    <cellStyle name="Input 2 3 2 4 4" xfId="22929"/>
    <cellStyle name="Input 2 3 2 5" xfId="2864"/>
    <cellStyle name="Input 2 3 2 5 2" xfId="15353"/>
    <cellStyle name="Input 2 3 2 5 3" xfId="22736"/>
    <cellStyle name="Input 2 3 2 5 4" xfId="22930"/>
    <cellStyle name="Input 2 3 2 6" xfId="15349"/>
    <cellStyle name="Input 2 3 2 7" xfId="22739"/>
    <cellStyle name="Input 2 3 2 8" xfId="22932"/>
    <cellStyle name="Input 2 3 3" xfId="2865"/>
    <cellStyle name="Input 2 3 3 2" xfId="15354"/>
    <cellStyle name="Input 2 3 3 3" xfId="22709"/>
    <cellStyle name="Input 2 3 3 4" xfId="22853"/>
    <cellStyle name="Input 2 3 4" xfId="2866"/>
    <cellStyle name="Input 2 3 4 2" xfId="15355"/>
    <cellStyle name="Input 2 3 4 3" xfId="22732"/>
    <cellStyle name="Input 2 3 4 4" xfId="22852"/>
    <cellStyle name="Input 2 3 5" xfId="15348"/>
    <cellStyle name="Input 2 3 6" xfId="22734"/>
    <cellStyle name="Input 2 3 7" xfId="22931"/>
    <cellStyle name="Input 2 4" xfId="2867"/>
    <cellStyle name="Input 2 4 2" xfId="2868"/>
    <cellStyle name="Input 2 4 2 2" xfId="15357"/>
    <cellStyle name="Input 2 4 2 3" xfId="22731"/>
    <cellStyle name="Input 2 4 2 4" xfId="22928"/>
    <cellStyle name="Input 2 4 3" xfId="2869"/>
    <cellStyle name="Input 2 4 3 2" xfId="15358"/>
    <cellStyle name="Input 2 4 3 3" xfId="22728"/>
    <cellStyle name="Input 2 4 3 4" xfId="22851"/>
    <cellStyle name="Input 2 4 4" xfId="2870"/>
    <cellStyle name="Input 2 4 4 2" xfId="15359"/>
    <cellStyle name="Input 2 4 4 3" xfId="22729"/>
    <cellStyle name="Input 2 4 4 4" xfId="22926"/>
    <cellStyle name="Input 2 4 5" xfId="2871"/>
    <cellStyle name="Input 2 4 5 2" xfId="15360"/>
    <cellStyle name="Input 2 4 5 3" xfId="22722"/>
    <cellStyle name="Input 2 4 5 4" xfId="22927"/>
    <cellStyle name="Input 2 4 6" xfId="15356"/>
    <cellStyle name="Input 2 4 7" xfId="22730"/>
    <cellStyle name="Input 2 4 8" xfId="22923"/>
    <cellStyle name="Input 2 5" xfId="2872"/>
    <cellStyle name="Input 2 5 2" xfId="15361"/>
    <cellStyle name="Input 2 5 3" xfId="22727"/>
    <cellStyle name="Input 2 5 4" xfId="22850"/>
    <cellStyle name="Input 2 6" xfId="15332"/>
    <cellStyle name="Input 2 7" xfId="22753"/>
    <cellStyle name="Input 2 8" xfId="22934"/>
    <cellStyle name="Input 3" xfId="2873"/>
    <cellStyle name="Input 3 2" xfId="2874"/>
    <cellStyle name="Input 3 2 2" xfId="2875"/>
    <cellStyle name="Input 3 2 2 2" xfId="2876"/>
    <cellStyle name="Input 3 2 2 2 2" xfId="15365"/>
    <cellStyle name="Input 3 2 2 2 3" xfId="22724"/>
    <cellStyle name="Input 3 2 2 2 4" xfId="22848"/>
    <cellStyle name="Input 3 2 2 3" xfId="2877"/>
    <cellStyle name="Input 3 2 2 3 2" xfId="15366"/>
    <cellStyle name="Input 3 2 2 3 3" xfId="22710"/>
    <cellStyle name="Input 3 2 2 3 4" xfId="22847"/>
    <cellStyle name="Input 3 2 2 4" xfId="2878"/>
    <cellStyle name="Input 3 2 2 4 2" xfId="15367"/>
    <cellStyle name="Input 3 2 2 4 3" xfId="22721"/>
    <cellStyle name="Input 3 2 2 4 4" xfId="22846"/>
    <cellStyle name="Input 3 2 2 5" xfId="2879"/>
    <cellStyle name="Input 3 2 2 5 2" xfId="15368"/>
    <cellStyle name="Input 3 2 2 5 3" xfId="22719"/>
    <cellStyle name="Input 3 2 2 5 4" xfId="22914"/>
    <cellStyle name="Input 3 2 2 6" xfId="15364"/>
    <cellStyle name="Input 3 2 2 7" xfId="22723"/>
    <cellStyle name="Input 3 2 2 8" xfId="22925"/>
    <cellStyle name="Input 3 2 3" xfId="2880"/>
    <cellStyle name="Input 3 2 3 2" xfId="15369"/>
    <cellStyle name="Input 3 2 3 3" xfId="22720"/>
    <cellStyle name="Input 3 2 3 4" xfId="22922"/>
    <cellStyle name="Input 3 2 4" xfId="15363"/>
    <cellStyle name="Input 3 2 5" xfId="22726"/>
    <cellStyle name="Input 3 2 6" xfId="22924"/>
    <cellStyle name="Input 3 3" xfId="2881"/>
    <cellStyle name="Input 3 3 2" xfId="2882"/>
    <cellStyle name="Input 3 3 2 2" xfId="15371"/>
    <cellStyle name="Input 3 3 2 3" xfId="22718"/>
    <cellStyle name="Input 3 3 2 4" xfId="22920"/>
    <cellStyle name="Input 3 3 3" xfId="2883"/>
    <cellStyle name="Input 3 3 3 2" xfId="15372"/>
    <cellStyle name="Input 3 3 3 3" xfId="22711"/>
    <cellStyle name="Input 3 3 3 4" xfId="22921"/>
    <cellStyle name="Input 3 3 4" xfId="2884"/>
    <cellStyle name="Input 3 3 4 2" xfId="15373"/>
    <cellStyle name="Input 3 3 4 3" xfId="22716"/>
    <cellStyle name="Input 3 3 4 4" xfId="22844"/>
    <cellStyle name="Input 3 3 5" xfId="2885"/>
    <cellStyle name="Input 3 3 5 2" xfId="15374"/>
    <cellStyle name="Input 3 3 5 3" xfId="22714"/>
    <cellStyle name="Input 3 3 5 4" xfId="22843"/>
    <cellStyle name="Input 3 3 6" xfId="15370"/>
    <cellStyle name="Input 3 3 7" xfId="22717"/>
    <cellStyle name="Input 3 3 8" xfId="22845"/>
    <cellStyle name="Input 3 4" xfId="2886"/>
    <cellStyle name="Input 3 4 2" xfId="2887"/>
    <cellStyle name="Input 3 4 2 2" xfId="15376"/>
    <cellStyle name="Input 3 4 2 3" xfId="22712"/>
    <cellStyle name="Input 3 4 2 4" xfId="22919"/>
    <cellStyle name="Input 3 4 3" xfId="2888"/>
    <cellStyle name="Input 3 4 3 2" xfId="15377"/>
    <cellStyle name="Input 3 4 3 3" xfId="22713"/>
    <cellStyle name="Input 3 4 3 4" xfId="22842"/>
    <cellStyle name="Input 3 4 4" xfId="2889"/>
    <cellStyle name="Input 3 4 4 2" xfId="15378"/>
    <cellStyle name="Input 3 4 4 3" xfId="22702"/>
    <cellStyle name="Input 3 4 4 4" xfId="22841"/>
    <cellStyle name="Input 3 4 5" xfId="2890"/>
    <cellStyle name="Input 3 4 5 2" xfId="15379"/>
    <cellStyle name="Input 3 4 5 3" xfId="22708"/>
    <cellStyle name="Input 3 4 5 4" xfId="22915"/>
    <cellStyle name="Input 3 4 6" xfId="15375"/>
    <cellStyle name="Input 3 4 7" xfId="22715"/>
    <cellStyle name="Input 3 4 8" xfId="22918"/>
    <cellStyle name="Input 3 5" xfId="15362"/>
    <cellStyle name="Input 3 6" xfId="22725"/>
    <cellStyle name="Input 3 7" xfId="22849"/>
    <cellStyle name="Input 4" xfId="2891"/>
    <cellStyle name="input(0)" xfId="2892"/>
    <cellStyle name="Input(2)" xfId="2893"/>
    <cellStyle name="Labels" xfId="2894"/>
    <cellStyle name="Labels - Style3" xfId="2895"/>
    <cellStyle name="Labels - Style3 2" xfId="2896"/>
    <cellStyle name="Labels - Style3 2 2" xfId="15381"/>
    <cellStyle name="Labels - Style3 2 3" xfId="22707"/>
    <cellStyle name="Labels - Style3 2 4" xfId="22839"/>
    <cellStyle name="Labels - Style3 3" xfId="2897"/>
    <cellStyle name="Labels - Style3 3 2" xfId="15382"/>
    <cellStyle name="Labels - Style3 3 3" xfId="22705"/>
    <cellStyle name="Labels - Style3 3 4" xfId="22916"/>
    <cellStyle name="Labels - Style3 4" xfId="2898"/>
    <cellStyle name="Labels - Style3 4 2" xfId="15383"/>
    <cellStyle name="Labels - Style3 4 3" xfId="22706"/>
    <cellStyle name="Labels - Style3 4 4" xfId="22917"/>
    <cellStyle name="Labels - Style3 5" xfId="2899"/>
    <cellStyle name="Labels - Style3 5 2" xfId="15384"/>
    <cellStyle name="Labels - Style3 5 3" xfId="22704"/>
    <cellStyle name="Labels - Style3 5 4" xfId="22838"/>
    <cellStyle name="Labels - Style3 6" xfId="15380"/>
    <cellStyle name="Labels - Style3 7" xfId="22703"/>
    <cellStyle name="Labels - Style3 8" xfId="22840"/>
    <cellStyle name="Labels 2" xfId="2900"/>
    <cellStyle name="Labels 2 2" xfId="2901"/>
    <cellStyle name="Labels 3" xfId="2902"/>
    <cellStyle name="Labels 4" xfId="2903"/>
    <cellStyle name="Labels 5" xfId="2904"/>
    <cellStyle name="Labels 6" xfId="2905"/>
    <cellStyle name="Labels 7" xfId="2906"/>
    <cellStyle name="Linked Cell" xfId="2907" builtinId="24" customBuiltin="1"/>
    <cellStyle name="Linked Cell 2" xfId="2908"/>
    <cellStyle name="Linked Cell 2 2" xfId="2909"/>
    <cellStyle name="Linked Cell 2 3" xfId="2910"/>
    <cellStyle name="Linked Cell 2 4" xfId="2911"/>
    <cellStyle name="Linked Cell 2 4 2" xfId="2912"/>
    <cellStyle name="Linked Cell 3" xfId="2913"/>
    <cellStyle name="Linked Cell 3 2" xfId="2914"/>
    <cellStyle name="Linked Cell 3 3" xfId="2915"/>
    <cellStyle name="Linked Cell 4" xfId="2916"/>
    <cellStyle name="Neutral" xfId="2917" builtinId="28" customBuiltin="1"/>
    <cellStyle name="Neutral 2" xfId="2918"/>
    <cellStyle name="Neutral 2 2" xfId="2919"/>
    <cellStyle name="Neutral 2 2 2" xfId="2920"/>
    <cellStyle name="Neutral 2 3" xfId="2921"/>
    <cellStyle name="Neutral 2 4" xfId="2922"/>
    <cellStyle name="Neutral 2 4 2" xfId="2923"/>
    <cellStyle name="Neutral 3" xfId="2924"/>
    <cellStyle name="Neutral 3 2" xfId="2925"/>
    <cellStyle name="Neutral 3 3" xfId="2926"/>
    <cellStyle name="Neutral 4" xfId="2927"/>
    <cellStyle name="New_normal" xfId="2928"/>
    <cellStyle name="Normal" xfId="0" builtinId="0"/>
    <cellStyle name="Normal - Style1" xfId="2929"/>
    <cellStyle name="Normal - Style2" xfId="2930"/>
    <cellStyle name="Normal - Style3" xfId="2931"/>
    <cellStyle name="Normal - Style4" xfId="2932"/>
    <cellStyle name="Normal - Style5" xfId="2933"/>
    <cellStyle name="Normal - Style6" xfId="2934"/>
    <cellStyle name="Normal - Style7" xfId="2935"/>
    <cellStyle name="Normal - Style8" xfId="2936"/>
    <cellStyle name="Normal 10" xfId="9260"/>
    <cellStyle name="Normal 10 10" xfId="2937"/>
    <cellStyle name="Normal 10 10 2" xfId="9261"/>
    <cellStyle name="Normal 10 10 2 2" xfId="21611"/>
    <cellStyle name="Normal 10 10 3" xfId="15385"/>
    <cellStyle name="Normal 10 2" xfId="2938"/>
    <cellStyle name="Normal 10 2 2" xfId="2939"/>
    <cellStyle name="Normal 10 2 2 2" xfId="2940"/>
    <cellStyle name="Normal 10 2 2 2 2" xfId="2941"/>
    <cellStyle name="Normal 10 2 2 2 2 2" xfId="2942"/>
    <cellStyle name="Normal 10 2 2 2 2 2 2" xfId="2943"/>
    <cellStyle name="Normal 10 2 2 2 2 2 2 2" xfId="2944"/>
    <cellStyle name="Normal 10 2 2 2 2 2 2 2 2" xfId="9267"/>
    <cellStyle name="Normal 10 2 2 2 2 2 2 2 2 2" xfId="21617"/>
    <cellStyle name="Normal 10 2 2 2 2 2 2 2 3" xfId="15391"/>
    <cellStyle name="Normal 10 2 2 2 2 2 2 3" xfId="9266"/>
    <cellStyle name="Normal 10 2 2 2 2 2 2 3 2" xfId="21616"/>
    <cellStyle name="Normal 10 2 2 2 2 2 2 4" xfId="15390"/>
    <cellStyle name="Normal 10 2 2 2 2 2 3" xfId="2945"/>
    <cellStyle name="Normal 10 2 2 2 2 2 3 2" xfId="2946"/>
    <cellStyle name="Normal 10 2 2 2 2 2 3 2 2" xfId="9269"/>
    <cellStyle name="Normal 10 2 2 2 2 2 3 2 2 2" xfId="21619"/>
    <cellStyle name="Normal 10 2 2 2 2 2 3 2 3" xfId="15393"/>
    <cellStyle name="Normal 10 2 2 2 2 2 3 3" xfId="9268"/>
    <cellStyle name="Normal 10 2 2 2 2 2 3 3 2" xfId="21618"/>
    <cellStyle name="Normal 10 2 2 2 2 2 3 4" xfId="15392"/>
    <cellStyle name="Normal 10 2 2 2 2 2 4" xfId="2947"/>
    <cellStyle name="Normal 10 2 2 2 2 2 4 2" xfId="9270"/>
    <cellStyle name="Normal 10 2 2 2 2 2 4 2 2" xfId="21620"/>
    <cellStyle name="Normal 10 2 2 2 2 2 4 3" xfId="15394"/>
    <cellStyle name="Normal 10 2 2 2 2 2 5" xfId="9265"/>
    <cellStyle name="Normal 10 2 2 2 2 2 5 2" xfId="21615"/>
    <cellStyle name="Normal 10 2 2 2 2 2 6" xfId="15389"/>
    <cellStyle name="Normal 10 2 2 2 2 3" xfId="2948"/>
    <cellStyle name="Normal 10 2 2 2 2 3 2" xfId="2949"/>
    <cellStyle name="Normal 10 2 2 2 2 3 2 2" xfId="9272"/>
    <cellStyle name="Normal 10 2 2 2 2 3 2 2 2" xfId="21622"/>
    <cellStyle name="Normal 10 2 2 2 2 3 2 3" xfId="15396"/>
    <cellStyle name="Normal 10 2 2 2 2 3 3" xfId="9271"/>
    <cellStyle name="Normal 10 2 2 2 2 3 3 2" xfId="21621"/>
    <cellStyle name="Normal 10 2 2 2 2 3 4" xfId="15395"/>
    <cellStyle name="Normal 10 2 2 2 2 4" xfId="2950"/>
    <cellStyle name="Normal 10 2 2 2 2 4 2" xfId="2951"/>
    <cellStyle name="Normal 10 2 2 2 2 4 2 2" xfId="9274"/>
    <cellStyle name="Normal 10 2 2 2 2 4 2 2 2" xfId="21624"/>
    <cellStyle name="Normal 10 2 2 2 2 4 2 3" xfId="15398"/>
    <cellStyle name="Normal 10 2 2 2 2 4 3" xfId="9273"/>
    <cellStyle name="Normal 10 2 2 2 2 4 3 2" xfId="21623"/>
    <cellStyle name="Normal 10 2 2 2 2 4 4" xfId="15397"/>
    <cellStyle name="Normal 10 2 2 2 2 5" xfId="2952"/>
    <cellStyle name="Normal 10 2 2 2 2 5 2" xfId="9275"/>
    <cellStyle name="Normal 10 2 2 2 2 5 2 2" xfId="21625"/>
    <cellStyle name="Normal 10 2 2 2 2 5 3" xfId="15399"/>
    <cellStyle name="Normal 10 2 2 2 2 6" xfId="9264"/>
    <cellStyle name="Normal 10 2 2 2 2 6 2" xfId="21614"/>
    <cellStyle name="Normal 10 2 2 2 2 7" xfId="15388"/>
    <cellStyle name="Normal 10 2 2 2 3" xfId="2953"/>
    <cellStyle name="Normal 10 2 2 2 3 2" xfId="2954"/>
    <cellStyle name="Normal 10 2 2 2 3 2 2" xfId="2955"/>
    <cellStyle name="Normal 10 2 2 2 3 2 2 2" xfId="9278"/>
    <cellStyle name="Normal 10 2 2 2 3 2 2 2 2" xfId="21628"/>
    <cellStyle name="Normal 10 2 2 2 3 2 2 3" xfId="15402"/>
    <cellStyle name="Normal 10 2 2 2 3 2 3" xfId="9277"/>
    <cellStyle name="Normal 10 2 2 2 3 2 3 2" xfId="21627"/>
    <cellStyle name="Normal 10 2 2 2 3 2 4" xfId="15401"/>
    <cellStyle name="Normal 10 2 2 2 3 3" xfId="2956"/>
    <cellStyle name="Normal 10 2 2 2 3 3 2" xfId="2957"/>
    <cellStyle name="Normal 10 2 2 2 3 3 2 2" xfId="9280"/>
    <cellStyle name="Normal 10 2 2 2 3 3 2 2 2" xfId="21630"/>
    <cellStyle name="Normal 10 2 2 2 3 3 2 3" xfId="15404"/>
    <cellStyle name="Normal 10 2 2 2 3 3 3" xfId="9279"/>
    <cellStyle name="Normal 10 2 2 2 3 3 3 2" xfId="21629"/>
    <cellStyle name="Normal 10 2 2 2 3 3 4" xfId="15403"/>
    <cellStyle name="Normal 10 2 2 2 3 4" xfId="2958"/>
    <cellStyle name="Normal 10 2 2 2 3 4 2" xfId="9281"/>
    <cellStyle name="Normal 10 2 2 2 3 4 2 2" xfId="21631"/>
    <cellStyle name="Normal 10 2 2 2 3 4 3" xfId="15405"/>
    <cellStyle name="Normal 10 2 2 2 3 5" xfId="9276"/>
    <cellStyle name="Normal 10 2 2 2 3 5 2" xfId="21626"/>
    <cellStyle name="Normal 10 2 2 2 3 6" xfId="15400"/>
    <cellStyle name="Normal 10 2 2 2 4" xfId="2959"/>
    <cellStyle name="Normal 10 2 2 2 4 2" xfId="2960"/>
    <cellStyle name="Normal 10 2 2 2 4 2 2" xfId="9283"/>
    <cellStyle name="Normal 10 2 2 2 4 2 2 2" xfId="21633"/>
    <cellStyle name="Normal 10 2 2 2 4 2 3" xfId="15407"/>
    <cellStyle name="Normal 10 2 2 2 4 3" xfId="9282"/>
    <cellStyle name="Normal 10 2 2 2 4 3 2" xfId="21632"/>
    <cellStyle name="Normal 10 2 2 2 4 4" xfId="15406"/>
    <cellStyle name="Normal 10 2 2 2 5" xfId="2961"/>
    <cellStyle name="Normal 10 2 2 2 5 2" xfId="2962"/>
    <cellStyle name="Normal 10 2 2 2 5 2 2" xfId="9285"/>
    <cellStyle name="Normal 10 2 2 2 5 2 2 2" xfId="21635"/>
    <cellStyle name="Normal 10 2 2 2 5 2 3" xfId="15409"/>
    <cellStyle name="Normal 10 2 2 2 5 3" xfId="9284"/>
    <cellStyle name="Normal 10 2 2 2 5 3 2" xfId="21634"/>
    <cellStyle name="Normal 10 2 2 2 5 4" xfId="15408"/>
    <cellStyle name="Normal 10 2 2 2 6" xfId="2963"/>
    <cellStyle name="Normal 10 2 2 2 6 2" xfId="9286"/>
    <cellStyle name="Normal 10 2 2 2 6 2 2" xfId="21636"/>
    <cellStyle name="Normal 10 2 2 2 6 3" xfId="15410"/>
    <cellStyle name="Normal 10 2 2 2 7" xfId="9263"/>
    <cellStyle name="Normal 10 2 2 2 7 2" xfId="21613"/>
    <cellStyle name="Normal 10 2 2 2 8" xfId="15387"/>
    <cellStyle name="Normal 10 2 2 3" xfId="2964"/>
    <cellStyle name="Normal 10 2 2 3 2" xfId="2965"/>
    <cellStyle name="Normal 10 2 2 3 2 2" xfId="2966"/>
    <cellStyle name="Normal 10 2 2 3 2 2 2" xfId="2967"/>
    <cellStyle name="Normal 10 2 2 3 2 2 2 2" xfId="9290"/>
    <cellStyle name="Normal 10 2 2 3 2 2 2 2 2" xfId="21640"/>
    <cellStyle name="Normal 10 2 2 3 2 2 2 3" xfId="15414"/>
    <cellStyle name="Normal 10 2 2 3 2 2 3" xfId="9289"/>
    <cellStyle name="Normal 10 2 2 3 2 2 3 2" xfId="21639"/>
    <cellStyle name="Normal 10 2 2 3 2 2 4" xfId="15413"/>
    <cellStyle name="Normal 10 2 2 3 2 3" xfId="2968"/>
    <cellStyle name="Normal 10 2 2 3 2 3 2" xfId="2969"/>
    <cellStyle name="Normal 10 2 2 3 2 3 2 2" xfId="9292"/>
    <cellStyle name="Normal 10 2 2 3 2 3 2 2 2" xfId="21642"/>
    <cellStyle name="Normal 10 2 2 3 2 3 2 3" xfId="15416"/>
    <cellStyle name="Normal 10 2 2 3 2 3 3" xfId="9291"/>
    <cellStyle name="Normal 10 2 2 3 2 3 3 2" xfId="21641"/>
    <cellStyle name="Normal 10 2 2 3 2 3 4" xfId="15415"/>
    <cellStyle name="Normal 10 2 2 3 2 4" xfId="2970"/>
    <cellStyle name="Normal 10 2 2 3 2 4 2" xfId="9293"/>
    <cellStyle name="Normal 10 2 2 3 2 4 2 2" xfId="21643"/>
    <cellStyle name="Normal 10 2 2 3 2 4 3" xfId="15417"/>
    <cellStyle name="Normal 10 2 2 3 2 5" xfId="9288"/>
    <cellStyle name="Normal 10 2 2 3 2 5 2" xfId="21638"/>
    <cellStyle name="Normal 10 2 2 3 2 6" xfId="15412"/>
    <cellStyle name="Normal 10 2 2 3 3" xfId="2971"/>
    <cellStyle name="Normal 10 2 2 3 3 2" xfId="2972"/>
    <cellStyle name="Normal 10 2 2 3 3 2 2" xfId="9295"/>
    <cellStyle name="Normal 10 2 2 3 3 2 2 2" xfId="21645"/>
    <cellStyle name="Normal 10 2 2 3 3 2 3" xfId="15419"/>
    <cellStyle name="Normal 10 2 2 3 3 3" xfId="9294"/>
    <cellStyle name="Normal 10 2 2 3 3 3 2" xfId="21644"/>
    <cellStyle name="Normal 10 2 2 3 3 4" xfId="15418"/>
    <cellStyle name="Normal 10 2 2 3 4" xfId="2973"/>
    <cellStyle name="Normal 10 2 2 3 4 2" xfId="2974"/>
    <cellStyle name="Normal 10 2 2 3 4 2 2" xfId="9297"/>
    <cellStyle name="Normal 10 2 2 3 4 2 2 2" xfId="21647"/>
    <cellStyle name="Normal 10 2 2 3 4 2 3" xfId="15421"/>
    <cellStyle name="Normal 10 2 2 3 4 3" xfId="9296"/>
    <cellStyle name="Normal 10 2 2 3 4 3 2" xfId="21646"/>
    <cellStyle name="Normal 10 2 2 3 4 4" xfId="15420"/>
    <cellStyle name="Normal 10 2 2 3 5" xfId="2975"/>
    <cellStyle name="Normal 10 2 2 3 5 2" xfId="9298"/>
    <cellStyle name="Normal 10 2 2 3 5 2 2" xfId="21648"/>
    <cellStyle name="Normal 10 2 2 3 5 3" xfId="15422"/>
    <cellStyle name="Normal 10 2 2 3 6" xfId="9287"/>
    <cellStyle name="Normal 10 2 2 3 6 2" xfId="21637"/>
    <cellStyle name="Normal 10 2 2 3 7" xfId="15411"/>
    <cellStyle name="Normal 10 2 2 4" xfId="2976"/>
    <cellStyle name="Normal 10 2 2 4 2" xfId="2977"/>
    <cellStyle name="Normal 10 2 2 4 2 2" xfId="2978"/>
    <cellStyle name="Normal 10 2 2 4 2 2 2" xfId="9301"/>
    <cellStyle name="Normal 10 2 2 4 2 2 2 2" xfId="21651"/>
    <cellStyle name="Normal 10 2 2 4 2 2 3" xfId="15425"/>
    <cellStyle name="Normal 10 2 2 4 2 3" xfId="9300"/>
    <cellStyle name="Normal 10 2 2 4 2 3 2" xfId="21650"/>
    <cellStyle name="Normal 10 2 2 4 2 4" xfId="15424"/>
    <cellStyle name="Normal 10 2 2 4 3" xfId="2979"/>
    <cellStyle name="Normal 10 2 2 4 3 2" xfId="2980"/>
    <cellStyle name="Normal 10 2 2 4 3 2 2" xfId="9303"/>
    <cellStyle name="Normal 10 2 2 4 3 2 2 2" xfId="21653"/>
    <cellStyle name="Normal 10 2 2 4 3 2 3" xfId="15427"/>
    <cellStyle name="Normal 10 2 2 4 3 3" xfId="9302"/>
    <cellStyle name="Normal 10 2 2 4 3 3 2" xfId="21652"/>
    <cellStyle name="Normal 10 2 2 4 3 4" xfId="15426"/>
    <cellStyle name="Normal 10 2 2 4 4" xfId="2981"/>
    <cellStyle name="Normal 10 2 2 4 4 2" xfId="9304"/>
    <cellStyle name="Normal 10 2 2 4 4 2 2" xfId="21654"/>
    <cellStyle name="Normal 10 2 2 4 4 3" xfId="15428"/>
    <cellStyle name="Normal 10 2 2 4 5" xfId="9299"/>
    <cellStyle name="Normal 10 2 2 4 5 2" xfId="21649"/>
    <cellStyle name="Normal 10 2 2 4 6" xfId="15423"/>
    <cellStyle name="Normal 10 2 2 5" xfId="2982"/>
    <cellStyle name="Normal 10 2 2 5 2" xfId="2983"/>
    <cellStyle name="Normal 10 2 2 5 2 2" xfId="9306"/>
    <cellStyle name="Normal 10 2 2 5 2 2 2" xfId="21656"/>
    <cellStyle name="Normal 10 2 2 5 2 3" xfId="15430"/>
    <cellStyle name="Normal 10 2 2 5 3" xfId="9305"/>
    <cellStyle name="Normal 10 2 2 5 3 2" xfId="21655"/>
    <cellStyle name="Normal 10 2 2 5 4" xfId="15429"/>
    <cellStyle name="Normal 10 2 2 6" xfId="2984"/>
    <cellStyle name="Normal 10 2 2 6 2" xfId="2985"/>
    <cellStyle name="Normal 10 2 2 6 2 2" xfId="9308"/>
    <cellStyle name="Normal 10 2 2 6 2 2 2" xfId="21658"/>
    <cellStyle name="Normal 10 2 2 6 2 3" xfId="15432"/>
    <cellStyle name="Normal 10 2 2 6 3" xfId="9307"/>
    <cellStyle name="Normal 10 2 2 6 3 2" xfId="21657"/>
    <cellStyle name="Normal 10 2 2 6 4" xfId="15431"/>
    <cellStyle name="Normal 10 2 2 7" xfId="2986"/>
    <cellStyle name="Normal 10 2 2 7 2" xfId="9309"/>
    <cellStyle name="Normal 10 2 2 7 2 2" xfId="21659"/>
    <cellStyle name="Normal 10 2 2 7 3" xfId="15433"/>
    <cellStyle name="Normal 10 2 2 8" xfId="9262"/>
    <cellStyle name="Normal 10 2 2 8 2" xfId="21612"/>
    <cellStyle name="Normal 10 2 2 9" xfId="15386"/>
    <cellStyle name="Normal 10 2 3" xfId="2987"/>
    <cellStyle name="Normal 10 2 3 2" xfId="2988"/>
    <cellStyle name="Normal 10 2 3 2 2" xfId="2989"/>
    <cellStyle name="Normal 10 2 3 2 2 2" xfId="2990"/>
    <cellStyle name="Normal 10 2 3 2 2 2 2" xfId="2991"/>
    <cellStyle name="Normal 10 2 3 2 2 2 2 2" xfId="9313"/>
    <cellStyle name="Normal 10 2 3 2 2 2 2 2 2" xfId="21663"/>
    <cellStyle name="Normal 10 2 3 2 2 2 2 3" xfId="15437"/>
    <cellStyle name="Normal 10 2 3 2 2 2 3" xfId="9312"/>
    <cellStyle name="Normal 10 2 3 2 2 2 3 2" xfId="21662"/>
    <cellStyle name="Normal 10 2 3 2 2 2 4" xfId="15436"/>
    <cellStyle name="Normal 10 2 3 2 2 3" xfId="2992"/>
    <cellStyle name="Normal 10 2 3 2 2 3 2" xfId="2993"/>
    <cellStyle name="Normal 10 2 3 2 2 3 2 2" xfId="9315"/>
    <cellStyle name="Normal 10 2 3 2 2 3 2 2 2" xfId="21665"/>
    <cellStyle name="Normal 10 2 3 2 2 3 2 3" xfId="15439"/>
    <cellStyle name="Normal 10 2 3 2 2 3 3" xfId="9314"/>
    <cellStyle name="Normal 10 2 3 2 2 3 3 2" xfId="21664"/>
    <cellStyle name="Normal 10 2 3 2 2 3 4" xfId="15438"/>
    <cellStyle name="Normal 10 2 3 2 2 4" xfId="2994"/>
    <cellStyle name="Normal 10 2 3 2 2 4 2" xfId="9316"/>
    <cellStyle name="Normal 10 2 3 2 2 4 2 2" xfId="21666"/>
    <cellStyle name="Normal 10 2 3 2 2 4 3" xfId="15440"/>
    <cellStyle name="Normal 10 2 3 2 2 5" xfId="9311"/>
    <cellStyle name="Normal 10 2 3 2 2 5 2" xfId="21661"/>
    <cellStyle name="Normal 10 2 3 2 2 6" xfId="15435"/>
    <cellStyle name="Normal 10 2 3 2 3" xfId="2995"/>
    <cellStyle name="Normal 10 2 3 2 3 2" xfId="2996"/>
    <cellStyle name="Normal 10 2 3 2 3 2 2" xfId="9318"/>
    <cellStyle name="Normal 10 2 3 2 3 2 2 2" xfId="21668"/>
    <cellStyle name="Normal 10 2 3 2 3 2 3" xfId="15442"/>
    <cellStyle name="Normal 10 2 3 2 3 3" xfId="9317"/>
    <cellStyle name="Normal 10 2 3 2 3 3 2" xfId="21667"/>
    <cellStyle name="Normal 10 2 3 2 3 4" xfId="15441"/>
    <cellStyle name="Normal 10 2 3 2 4" xfId="2997"/>
    <cellStyle name="Normal 10 2 3 2 4 2" xfId="2998"/>
    <cellStyle name="Normal 10 2 3 2 4 2 2" xfId="9320"/>
    <cellStyle name="Normal 10 2 3 2 4 2 2 2" xfId="21670"/>
    <cellStyle name="Normal 10 2 3 2 4 2 3" xfId="15444"/>
    <cellStyle name="Normal 10 2 3 2 4 3" xfId="9319"/>
    <cellStyle name="Normal 10 2 3 2 4 3 2" xfId="21669"/>
    <cellStyle name="Normal 10 2 3 2 4 4" xfId="15443"/>
    <cellStyle name="Normal 10 2 3 2 5" xfId="2999"/>
    <cellStyle name="Normal 10 2 3 2 5 2" xfId="9321"/>
    <cellStyle name="Normal 10 2 3 2 5 2 2" xfId="21671"/>
    <cellStyle name="Normal 10 2 3 2 5 3" xfId="15445"/>
    <cellStyle name="Normal 10 2 3 2 6" xfId="9310"/>
    <cellStyle name="Normal 10 2 3 2 6 2" xfId="21660"/>
    <cellStyle name="Normal 10 2 3 2 7" xfId="15434"/>
    <cellStyle name="Normal 10 2 3 3" xfId="3000"/>
    <cellStyle name="Normal 10 2 3 3 2" xfId="3001"/>
    <cellStyle name="Normal 10 2 3 3 2 2" xfId="3002"/>
    <cellStyle name="Normal 10 2 3 3 2 2 2" xfId="9324"/>
    <cellStyle name="Normal 10 2 3 3 2 2 2 2" xfId="21674"/>
    <cellStyle name="Normal 10 2 3 3 2 2 3" xfId="15448"/>
    <cellStyle name="Normal 10 2 3 3 2 3" xfId="9323"/>
    <cellStyle name="Normal 10 2 3 3 2 3 2" xfId="21673"/>
    <cellStyle name="Normal 10 2 3 3 2 4" xfId="15447"/>
    <cellStyle name="Normal 10 2 3 3 3" xfId="3003"/>
    <cellStyle name="Normal 10 2 3 3 3 2" xfId="3004"/>
    <cellStyle name="Normal 10 2 3 3 3 2 2" xfId="9326"/>
    <cellStyle name="Normal 10 2 3 3 3 2 2 2" xfId="21676"/>
    <cellStyle name="Normal 10 2 3 3 3 2 3" xfId="15450"/>
    <cellStyle name="Normal 10 2 3 3 3 3" xfId="9325"/>
    <cellStyle name="Normal 10 2 3 3 3 3 2" xfId="21675"/>
    <cellStyle name="Normal 10 2 3 3 3 4" xfId="15449"/>
    <cellStyle name="Normal 10 2 3 3 4" xfId="3005"/>
    <cellStyle name="Normal 10 2 3 3 4 2" xfId="9327"/>
    <cellStyle name="Normal 10 2 3 3 4 2 2" xfId="21677"/>
    <cellStyle name="Normal 10 2 3 3 4 3" xfId="15451"/>
    <cellStyle name="Normal 10 2 3 3 5" xfId="9322"/>
    <cellStyle name="Normal 10 2 3 3 5 2" xfId="21672"/>
    <cellStyle name="Normal 10 2 3 3 6" xfId="15446"/>
    <cellStyle name="Normal 10 2 3 4" xfId="3006"/>
    <cellStyle name="Normal 10 2 3 4 2" xfId="3007"/>
    <cellStyle name="Normal 10 2 3 4 2 2" xfId="9328"/>
    <cellStyle name="Normal 10 2 3 4 2 2 2" xfId="21678"/>
    <cellStyle name="Normal 10 2 3 4 2 3" xfId="15452"/>
    <cellStyle name="Normal 10 2 3 5" xfId="3008"/>
    <cellStyle name="Normal 10 2 3 5 2" xfId="3009"/>
    <cellStyle name="Normal 10 2 3 5 2 2" xfId="9330"/>
    <cellStyle name="Normal 10 2 3 5 2 2 2" xfId="21680"/>
    <cellStyle name="Normal 10 2 3 5 2 3" xfId="15454"/>
    <cellStyle name="Normal 10 2 3 5 3" xfId="9329"/>
    <cellStyle name="Normal 10 2 3 5 3 2" xfId="21679"/>
    <cellStyle name="Normal 10 2 3 5 4" xfId="15453"/>
    <cellStyle name="Normal 10 2 3 6" xfId="3010"/>
    <cellStyle name="Normal 10 2 3 6 2" xfId="9331"/>
    <cellStyle name="Normal 10 2 3 6 2 2" xfId="21681"/>
    <cellStyle name="Normal 10 2 3 6 3" xfId="15455"/>
    <cellStyle name="Normal 10 2 4" xfId="3011"/>
    <cellStyle name="Normal 10 2 4 2" xfId="3012"/>
    <cellStyle name="Normal 10 2 4 2 2" xfId="3013"/>
    <cellStyle name="Normal 10 2 4 2 2 2" xfId="3014"/>
    <cellStyle name="Normal 10 2 4 2 2 2 2" xfId="9333"/>
    <cellStyle name="Normal 10 2 4 2 2 2 2 2" xfId="21683"/>
    <cellStyle name="Normal 10 2 4 2 2 2 3" xfId="15457"/>
    <cellStyle name="Normal 10 2 4 2 2 3" xfId="9332"/>
    <cellStyle name="Normal 10 2 4 2 2 3 2" xfId="21682"/>
    <cellStyle name="Normal 10 2 4 2 2 4" xfId="15456"/>
    <cellStyle name="Normal 10 2 4 2 3" xfId="3015"/>
    <cellStyle name="Normal 10 2 4 2 3 2" xfId="3016"/>
    <cellStyle name="Normal 10 2 4 2 3 2 2" xfId="9335"/>
    <cellStyle name="Normal 10 2 4 2 3 2 2 2" xfId="21685"/>
    <cellStyle name="Normal 10 2 4 2 3 2 3" xfId="15459"/>
    <cellStyle name="Normal 10 2 4 2 3 3" xfId="9334"/>
    <cellStyle name="Normal 10 2 4 2 3 3 2" xfId="21684"/>
    <cellStyle name="Normal 10 2 4 2 3 4" xfId="15458"/>
    <cellStyle name="Normal 10 2 4 2 4" xfId="3017"/>
    <cellStyle name="Normal 10 2 4 2 4 2" xfId="9336"/>
    <cellStyle name="Normal 10 2 4 2 4 2 2" xfId="21686"/>
    <cellStyle name="Normal 10 2 4 2 4 3" xfId="15460"/>
    <cellStyle name="Normal 10 2 4 3" xfId="3018"/>
    <cellStyle name="Normal 10 2 4 3 2" xfId="3019"/>
    <cellStyle name="Normal 10 2 4 3 2 2" xfId="9338"/>
    <cellStyle name="Normal 10 2 4 3 2 2 2" xfId="21688"/>
    <cellStyle name="Normal 10 2 4 3 2 3" xfId="15462"/>
    <cellStyle name="Normal 10 2 4 3 3" xfId="9337"/>
    <cellStyle name="Normal 10 2 4 3 3 2" xfId="21687"/>
    <cellStyle name="Normal 10 2 4 3 4" xfId="15461"/>
    <cellStyle name="Normal 10 2 4 4" xfId="3020"/>
    <cellStyle name="Normal 10 2 4 4 2" xfId="3021"/>
    <cellStyle name="Normal 10 2 4 4 2 2" xfId="9340"/>
    <cellStyle name="Normal 10 2 4 4 2 2 2" xfId="21690"/>
    <cellStyle name="Normal 10 2 4 4 2 3" xfId="15464"/>
    <cellStyle name="Normal 10 2 4 4 3" xfId="9339"/>
    <cellStyle name="Normal 10 2 4 4 3 2" xfId="21689"/>
    <cellStyle name="Normal 10 2 4 4 4" xfId="15463"/>
    <cellStyle name="Normal 10 2 4 5" xfId="3022"/>
    <cellStyle name="Normal 10 2 4 5 2" xfId="9341"/>
    <cellStyle name="Normal 10 2 4 5 2 2" xfId="21691"/>
    <cellStyle name="Normal 10 2 4 5 3" xfId="15465"/>
    <cellStyle name="Normal 10 2 5" xfId="3023"/>
    <cellStyle name="Normal 10 2 5 2" xfId="3024"/>
    <cellStyle name="Normal 10 2 5 2 2" xfId="3025"/>
    <cellStyle name="Normal 10 2 5 2 2 2" xfId="9343"/>
    <cellStyle name="Normal 10 2 5 2 2 2 2" xfId="21693"/>
    <cellStyle name="Normal 10 2 5 2 2 3" xfId="15467"/>
    <cellStyle name="Normal 10 2 5 2 3" xfId="9342"/>
    <cellStyle name="Normal 10 2 5 2 3 2" xfId="21692"/>
    <cellStyle name="Normal 10 2 5 2 4" xfId="15466"/>
    <cellStyle name="Normal 10 2 5 3" xfId="3026"/>
    <cellStyle name="Normal 10 2 5 3 2" xfId="3027"/>
    <cellStyle name="Normal 10 2 5 3 2 2" xfId="9345"/>
    <cellStyle name="Normal 10 2 5 3 2 2 2" xfId="21695"/>
    <cellStyle name="Normal 10 2 5 3 2 3" xfId="15469"/>
    <cellStyle name="Normal 10 2 5 3 3" xfId="9344"/>
    <cellStyle name="Normal 10 2 5 3 3 2" xfId="21694"/>
    <cellStyle name="Normal 10 2 5 3 4" xfId="15468"/>
    <cellStyle name="Normal 10 2 5 4" xfId="3028"/>
    <cellStyle name="Normal 10 2 5 4 2" xfId="9346"/>
    <cellStyle name="Normal 10 2 5 4 2 2" xfId="21696"/>
    <cellStyle name="Normal 10 2 5 4 3" xfId="15470"/>
    <cellStyle name="Normal 10 2 6" xfId="3029"/>
    <cellStyle name="Normal 10 2 6 2" xfId="3030"/>
    <cellStyle name="Normal 10 2 6 2 2" xfId="9347"/>
    <cellStyle name="Normal 10 2 6 2 2 2" xfId="21697"/>
    <cellStyle name="Normal 10 2 6 2 3" xfId="15471"/>
    <cellStyle name="Normal 10 2 7" xfId="3031"/>
    <cellStyle name="Normal 10 2 7 2" xfId="3032"/>
    <cellStyle name="Normal 10 2 7 2 2" xfId="9349"/>
    <cellStyle name="Normal 10 2 7 2 2 2" xfId="21699"/>
    <cellStyle name="Normal 10 2 7 2 3" xfId="15473"/>
    <cellStyle name="Normal 10 2 7 3" xfId="9348"/>
    <cellStyle name="Normal 10 2 7 3 2" xfId="21698"/>
    <cellStyle name="Normal 10 2 7 4" xfId="15472"/>
    <cellStyle name="Normal 10 2 8" xfId="3033"/>
    <cellStyle name="Normal 10 2 8 2" xfId="9350"/>
    <cellStyle name="Normal 10 2 8 2 2" xfId="21700"/>
    <cellStyle name="Normal 10 2 8 3" xfId="15474"/>
    <cellStyle name="Normal 10 3" xfId="3034"/>
    <cellStyle name="Normal 10 3 2" xfId="3035"/>
    <cellStyle name="Normal 10 3 2 2" xfId="3036"/>
    <cellStyle name="Normal 10 3 2 2 2" xfId="3037"/>
    <cellStyle name="Normal 10 3 2 2 2 2" xfId="3038"/>
    <cellStyle name="Normal 10 3 2 2 2 2 2" xfId="3039"/>
    <cellStyle name="Normal 10 3 2 2 2 2 2 2" xfId="9355"/>
    <cellStyle name="Normal 10 3 2 2 2 2 2 2 2" xfId="21705"/>
    <cellStyle name="Normal 10 3 2 2 2 2 2 3" xfId="15478"/>
    <cellStyle name="Normal 10 3 2 2 2 2 3" xfId="9354"/>
    <cellStyle name="Normal 10 3 2 2 2 2 3 2" xfId="21704"/>
    <cellStyle name="Normal 10 3 2 2 2 2 4" xfId="15477"/>
    <cellStyle name="Normal 10 3 2 2 2 3" xfId="3040"/>
    <cellStyle name="Normal 10 3 2 2 2 3 2" xfId="3041"/>
    <cellStyle name="Normal 10 3 2 2 2 3 2 2" xfId="9357"/>
    <cellStyle name="Normal 10 3 2 2 2 3 2 2 2" xfId="21707"/>
    <cellStyle name="Normal 10 3 2 2 2 3 2 3" xfId="15480"/>
    <cellStyle name="Normal 10 3 2 2 2 3 3" xfId="9356"/>
    <cellStyle name="Normal 10 3 2 2 2 3 3 2" xfId="21706"/>
    <cellStyle name="Normal 10 3 2 2 2 3 4" xfId="15479"/>
    <cellStyle name="Normal 10 3 2 2 2 4" xfId="3042"/>
    <cellStyle name="Normal 10 3 2 2 2 4 2" xfId="9358"/>
    <cellStyle name="Normal 10 3 2 2 2 4 2 2" xfId="21708"/>
    <cellStyle name="Normal 10 3 2 2 2 4 3" xfId="15481"/>
    <cellStyle name="Normal 10 3 2 2 2 5" xfId="9353"/>
    <cellStyle name="Normal 10 3 2 2 2 5 2" xfId="21703"/>
    <cellStyle name="Normal 10 3 2 2 2 6" xfId="15476"/>
    <cellStyle name="Normal 10 3 2 2 3" xfId="3043"/>
    <cellStyle name="Normal 10 3 2 2 3 2" xfId="3044"/>
    <cellStyle name="Normal 10 3 2 2 3 2 2" xfId="9360"/>
    <cellStyle name="Normal 10 3 2 2 3 2 2 2" xfId="21710"/>
    <cellStyle name="Normal 10 3 2 2 3 2 3" xfId="15483"/>
    <cellStyle name="Normal 10 3 2 2 3 3" xfId="9359"/>
    <cellStyle name="Normal 10 3 2 2 3 3 2" xfId="21709"/>
    <cellStyle name="Normal 10 3 2 2 3 4" xfId="15482"/>
    <cellStyle name="Normal 10 3 2 2 4" xfId="3045"/>
    <cellStyle name="Normal 10 3 2 2 4 2" xfId="3046"/>
    <cellStyle name="Normal 10 3 2 2 4 2 2" xfId="9362"/>
    <cellStyle name="Normal 10 3 2 2 4 2 2 2" xfId="21712"/>
    <cellStyle name="Normal 10 3 2 2 4 2 3" xfId="15485"/>
    <cellStyle name="Normal 10 3 2 2 4 3" xfId="9361"/>
    <cellStyle name="Normal 10 3 2 2 4 3 2" xfId="21711"/>
    <cellStyle name="Normal 10 3 2 2 4 4" xfId="15484"/>
    <cellStyle name="Normal 10 3 2 2 5" xfId="3047"/>
    <cellStyle name="Normal 10 3 2 2 5 2" xfId="9363"/>
    <cellStyle name="Normal 10 3 2 2 5 2 2" xfId="21713"/>
    <cellStyle name="Normal 10 3 2 2 5 3" xfId="15486"/>
    <cellStyle name="Normal 10 3 2 2 6" xfId="9352"/>
    <cellStyle name="Normal 10 3 2 2 6 2" xfId="21702"/>
    <cellStyle name="Normal 10 3 2 2 7" xfId="15475"/>
    <cellStyle name="Normal 10 3 2 3" xfId="3048"/>
    <cellStyle name="Normal 10 3 2 3 2" xfId="3049"/>
    <cellStyle name="Normal 10 3 2 3 2 2" xfId="3050"/>
    <cellStyle name="Normal 10 3 2 3 2 2 2" xfId="9366"/>
    <cellStyle name="Normal 10 3 2 3 2 2 2 2" xfId="21716"/>
    <cellStyle name="Normal 10 3 2 3 2 2 3" xfId="15489"/>
    <cellStyle name="Normal 10 3 2 3 2 3" xfId="9365"/>
    <cellStyle name="Normal 10 3 2 3 2 3 2" xfId="21715"/>
    <cellStyle name="Normal 10 3 2 3 2 4" xfId="15488"/>
    <cellStyle name="Normal 10 3 2 3 3" xfId="3051"/>
    <cellStyle name="Normal 10 3 2 3 3 2" xfId="3052"/>
    <cellStyle name="Normal 10 3 2 3 3 2 2" xfId="9368"/>
    <cellStyle name="Normal 10 3 2 3 3 2 2 2" xfId="21718"/>
    <cellStyle name="Normal 10 3 2 3 3 2 3" xfId="15491"/>
    <cellStyle name="Normal 10 3 2 3 3 3" xfId="9367"/>
    <cellStyle name="Normal 10 3 2 3 3 3 2" xfId="21717"/>
    <cellStyle name="Normal 10 3 2 3 3 4" xfId="15490"/>
    <cellStyle name="Normal 10 3 2 3 4" xfId="3053"/>
    <cellStyle name="Normal 10 3 2 3 4 2" xfId="9369"/>
    <cellStyle name="Normal 10 3 2 3 4 2 2" xfId="21719"/>
    <cellStyle name="Normal 10 3 2 3 4 3" xfId="15492"/>
    <cellStyle name="Normal 10 3 2 3 5" xfId="9364"/>
    <cellStyle name="Normal 10 3 2 3 5 2" xfId="21714"/>
    <cellStyle name="Normal 10 3 2 3 6" xfId="15487"/>
    <cellStyle name="Normal 10 3 2 4" xfId="3054"/>
    <cellStyle name="Normal 10 3 2 4 2" xfId="3055"/>
    <cellStyle name="Normal 10 3 2 4 2 2" xfId="9371"/>
    <cellStyle name="Normal 10 3 2 4 2 2 2" xfId="21721"/>
    <cellStyle name="Normal 10 3 2 4 2 3" xfId="15494"/>
    <cellStyle name="Normal 10 3 2 4 3" xfId="9370"/>
    <cellStyle name="Normal 10 3 2 4 3 2" xfId="21720"/>
    <cellStyle name="Normal 10 3 2 4 4" xfId="15493"/>
    <cellStyle name="Normal 10 3 2 5" xfId="3056"/>
    <cellStyle name="Normal 10 3 2 5 2" xfId="3057"/>
    <cellStyle name="Normal 10 3 2 5 2 2" xfId="9373"/>
    <cellStyle name="Normal 10 3 2 5 2 2 2" xfId="21723"/>
    <cellStyle name="Normal 10 3 2 5 2 3" xfId="15496"/>
    <cellStyle name="Normal 10 3 2 5 3" xfId="9372"/>
    <cellStyle name="Normal 10 3 2 5 3 2" xfId="21722"/>
    <cellStyle name="Normal 10 3 2 5 4" xfId="15495"/>
    <cellStyle name="Normal 10 3 2 6" xfId="3058"/>
    <cellStyle name="Normal 10 3 2 6 2" xfId="9374"/>
    <cellStyle name="Normal 10 3 2 6 2 2" xfId="21724"/>
    <cellStyle name="Normal 10 3 2 6 3" xfId="15497"/>
    <cellStyle name="Normal 10 3 2 7" xfId="3059"/>
    <cellStyle name="Normal 10 3 2 7 2" xfId="15498"/>
    <cellStyle name="Normal 10 3 2 8" xfId="9351"/>
    <cellStyle name="Normal 10 3 2 8 2" xfId="21701"/>
    <cellStyle name="Normal 10 3 3" xfId="3060"/>
    <cellStyle name="Normal 10 3 3 2" xfId="3061"/>
    <cellStyle name="Normal 10 3 3 2 2" xfId="3062"/>
    <cellStyle name="Normal 10 3 3 2 2 2" xfId="3063"/>
    <cellStyle name="Normal 10 3 3 2 2 2 2" xfId="9378"/>
    <cellStyle name="Normal 10 3 3 2 2 2 2 2" xfId="21728"/>
    <cellStyle name="Normal 10 3 3 2 2 2 3" xfId="15502"/>
    <cellStyle name="Normal 10 3 3 2 2 3" xfId="9377"/>
    <cellStyle name="Normal 10 3 3 2 2 3 2" xfId="21727"/>
    <cellStyle name="Normal 10 3 3 2 2 4" xfId="15501"/>
    <cellStyle name="Normal 10 3 3 2 3" xfId="3064"/>
    <cellStyle name="Normal 10 3 3 2 3 2" xfId="3065"/>
    <cellStyle name="Normal 10 3 3 2 3 2 2" xfId="9380"/>
    <cellStyle name="Normal 10 3 3 2 3 2 2 2" xfId="21730"/>
    <cellStyle name="Normal 10 3 3 2 3 2 3" xfId="15504"/>
    <cellStyle name="Normal 10 3 3 2 3 3" xfId="9379"/>
    <cellStyle name="Normal 10 3 3 2 3 3 2" xfId="21729"/>
    <cellStyle name="Normal 10 3 3 2 3 4" xfId="15503"/>
    <cellStyle name="Normal 10 3 3 2 4" xfId="3066"/>
    <cellStyle name="Normal 10 3 3 2 4 2" xfId="9381"/>
    <cellStyle name="Normal 10 3 3 2 4 2 2" xfId="21731"/>
    <cellStyle name="Normal 10 3 3 2 4 3" xfId="15505"/>
    <cellStyle name="Normal 10 3 3 2 5" xfId="9376"/>
    <cellStyle name="Normal 10 3 3 2 5 2" xfId="21726"/>
    <cellStyle name="Normal 10 3 3 2 6" xfId="15500"/>
    <cellStyle name="Normal 10 3 3 3" xfId="3067"/>
    <cellStyle name="Normal 10 3 3 3 2" xfId="3068"/>
    <cellStyle name="Normal 10 3 3 3 2 2" xfId="9383"/>
    <cellStyle name="Normal 10 3 3 3 2 2 2" xfId="21733"/>
    <cellStyle name="Normal 10 3 3 3 2 3" xfId="15507"/>
    <cellStyle name="Normal 10 3 3 3 3" xfId="9382"/>
    <cellStyle name="Normal 10 3 3 3 3 2" xfId="21732"/>
    <cellStyle name="Normal 10 3 3 3 4" xfId="15506"/>
    <cellStyle name="Normal 10 3 3 4" xfId="3069"/>
    <cellStyle name="Normal 10 3 3 4 2" xfId="3070"/>
    <cellStyle name="Normal 10 3 3 4 2 2" xfId="9385"/>
    <cellStyle name="Normal 10 3 3 4 2 2 2" xfId="21735"/>
    <cellStyle name="Normal 10 3 3 4 2 3" xfId="15509"/>
    <cellStyle name="Normal 10 3 3 4 3" xfId="9384"/>
    <cellStyle name="Normal 10 3 3 4 3 2" xfId="21734"/>
    <cellStyle name="Normal 10 3 3 4 4" xfId="15508"/>
    <cellStyle name="Normal 10 3 3 5" xfId="3071"/>
    <cellStyle name="Normal 10 3 3 5 2" xfId="9386"/>
    <cellStyle name="Normal 10 3 3 5 2 2" xfId="21736"/>
    <cellStyle name="Normal 10 3 3 5 3" xfId="15510"/>
    <cellStyle name="Normal 10 3 3 6" xfId="9375"/>
    <cellStyle name="Normal 10 3 3 6 2" xfId="21725"/>
    <cellStyle name="Normal 10 3 3 7" xfId="15499"/>
    <cellStyle name="Normal 10 3 4" xfId="3072"/>
    <cellStyle name="Normal 10 3 4 2" xfId="3073"/>
    <cellStyle name="Normal 10 3 4 2 2" xfId="3074"/>
    <cellStyle name="Normal 10 3 4 2 2 2" xfId="9389"/>
    <cellStyle name="Normal 10 3 4 2 2 2 2" xfId="21739"/>
    <cellStyle name="Normal 10 3 4 2 2 3" xfId="15513"/>
    <cellStyle name="Normal 10 3 4 2 3" xfId="9388"/>
    <cellStyle name="Normal 10 3 4 2 3 2" xfId="21738"/>
    <cellStyle name="Normal 10 3 4 2 4" xfId="15512"/>
    <cellStyle name="Normal 10 3 4 3" xfId="3075"/>
    <cellStyle name="Normal 10 3 4 3 2" xfId="3076"/>
    <cellStyle name="Normal 10 3 4 3 2 2" xfId="9391"/>
    <cellStyle name="Normal 10 3 4 3 2 2 2" xfId="21741"/>
    <cellStyle name="Normal 10 3 4 3 2 3" xfId="15515"/>
    <cellStyle name="Normal 10 3 4 3 3" xfId="9390"/>
    <cellStyle name="Normal 10 3 4 3 3 2" xfId="21740"/>
    <cellStyle name="Normal 10 3 4 3 4" xfId="15514"/>
    <cellStyle name="Normal 10 3 4 4" xfId="3077"/>
    <cellStyle name="Normal 10 3 4 4 2" xfId="9392"/>
    <cellStyle name="Normal 10 3 4 4 2 2" xfId="21742"/>
    <cellStyle name="Normal 10 3 4 4 3" xfId="15516"/>
    <cellStyle name="Normal 10 3 4 5" xfId="9387"/>
    <cellStyle name="Normal 10 3 4 5 2" xfId="21737"/>
    <cellStyle name="Normal 10 3 4 6" xfId="15511"/>
    <cellStyle name="Normal 10 3 5" xfId="3078"/>
    <cellStyle name="Normal 10 3 5 2" xfId="3079"/>
    <cellStyle name="Normal 10 3 5 2 2" xfId="9394"/>
    <cellStyle name="Normal 10 3 5 2 2 2" xfId="21744"/>
    <cellStyle name="Normal 10 3 5 2 3" xfId="15518"/>
    <cellStyle name="Normal 10 3 5 3" xfId="9393"/>
    <cellStyle name="Normal 10 3 5 3 2" xfId="21743"/>
    <cellStyle name="Normal 10 3 5 4" xfId="15517"/>
    <cellStyle name="Normal 10 3 6" xfId="3080"/>
    <cellStyle name="Normal 10 3 6 2" xfId="3081"/>
    <cellStyle name="Normal 10 3 6 2 2" xfId="9395"/>
    <cellStyle name="Normal 10 3 6 2 2 2" xfId="21745"/>
    <cellStyle name="Normal 10 3 6 2 3" xfId="15519"/>
    <cellStyle name="Normal 10 3 7" xfId="3082"/>
    <cellStyle name="Normal 10 3 7 2" xfId="9396"/>
    <cellStyle name="Normal 10 3 7 2 2" xfId="21746"/>
    <cellStyle name="Normal 10 3 7 3" xfId="15520"/>
    <cellStyle name="Normal 10 3 8" xfId="3083"/>
    <cellStyle name="Normal 10 4" xfId="3084"/>
    <cellStyle name="Normal 10 4 2" xfId="3085"/>
    <cellStyle name="Normal 10 4 2 2" xfId="3086"/>
    <cellStyle name="Normal 10 4 2 2 2" xfId="3087"/>
    <cellStyle name="Normal 10 4 2 2 2 2" xfId="3088"/>
    <cellStyle name="Normal 10 4 2 2 2 2 2" xfId="3089"/>
    <cellStyle name="Normal 10 4 2 2 2 2 2 2" xfId="9402"/>
    <cellStyle name="Normal 10 4 2 2 2 2 2 2 2" xfId="21752"/>
    <cellStyle name="Normal 10 4 2 2 2 2 2 3" xfId="15526"/>
    <cellStyle name="Normal 10 4 2 2 2 2 3" xfId="9401"/>
    <cellStyle name="Normal 10 4 2 2 2 2 3 2" xfId="21751"/>
    <cellStyle name="Normal 10 4 2 2 2 2 4" xfId="15525"/>
    <cellStyle name="Normal 10 4 2 2 2 3" xfId="3090"/>
    <cellStyle name="Normal 10 4 2 2 2 3 2" xfId="3091"/>
    <cellStyle name="Normal 10 4 2 2 2 3 2 2" xfId="9404"/>
    <cellStyle name="Normal 10 4 2 2 2 3 2 2 2" xfId="21754"/>
    <cellStyle name="Normal 10 4 2 2 2 3 2 3" xfId="15528"/>
    <cellStyle name="Normal 10 4 2 2 2 3 3" xfId="9403"/>
    <cellStyle name="Normal 10 4 2 2 2 3 3 2" xfId="21753"/>
    <cellStyle name="Normal 10 4 2 2 2 3 4" xfId="15527"/>
    <cellStyle name="Normal 10 4 2 2 2 4" xfId="3092"/>
    <cellStyle name="Normal 10 4 2 2 2 4 2" xfId="9405"/>
    <cellStyle name="Normal 10 4 2 2 2 4 2 2" xfId="21755"/>
    <cellStyle name="Normal 10 4 2 2 2 4 3" xfId="15529"/>
    <cellStyle name="Normal 10 4 2 2 2 5" xfId="9400"/>
    <cellStyle name="Normal 10 4 2 2 2 5 2" xfId="21750"/>
    <cellStyle name="Normal 10 4 2 2 2 6" xfId="15524"/>
    <cellStyle name="Normal 10 4 2 2 3" xfId="3093"/>
    <cellStyle name="Normal 10 4 2 2 3 2" xfId="3094"/>
    <cellStyle name="Normal 10 4 2 2 3 2 2" xfId="9407"/>
    <cellStyle name="Normal 10 4 2 2 3 2 2 2" xfId="21757"/>
    <cellStyle name="Normal 10 4 2 2 3 2 3" xfId="15531"/>
    <cellStyle name="Normal 10 4 2 2 3 3" xfId="9406"/>
    <cellStyle name="Normal 10 4 2 2 3 3 2" xfId="21756"/>
    <cellStyle name="Normal 10 4 2 2 3 4" xfId="15530"/>
    <cellStyle name="Normal 10 4 2 2 4" xfId="3095"/>
    <cellStyle name="Normal 10 4 2 2 4 2" xfId="3096"/>
    <cellStyle name="Normal 10 4 2 2 4 2 2" xfId="9409"/>
    <cellStyle name="Normal 10 4 2 2 4 2 2 2" xfId="21759"/>
    <cellStyle name="Normal 10 4 2 2 4 2 3" xfId="15533"/>
    <cellStyle name="Normal 10 4 2 2 4 3" xfId="9408"/>
    <cellStyle name="Normal 10 4 2 2 4 3 2" xfId="21758"/>
    <cellStyle name="Normal 10 4 2 2 4 4" xfId="15532"/>
    <cellStyle name="Normal 10 4 2 2 5" xfId="3097"/>
    <cellStyle name="Normal 10 4 2 2 5 2" xfId="9410"/>
    <cellStyle name="Normal 10 4 2 2 5 2 2" xfId="21760"/>
    <cellStyle name="Normal 10 4 2 2 5 3" xfId="15534"/>
    <cellStyle name="Normal 10 4 2 2 6" xfId="9399"/>
    <cellStyle name="Normal 10 4 2 2 6 2" xfId="21749"/>
    <cellStyle name="Normal 10 4 2 2 7" xfId="15523"/>
    <cellStyle name="Normal 10 4 2 3" xfId="3098"/>
    <cellStyle name="Normal 10 4 2 3 2" xfId="3099"/>
    <cellStyle name="Normal 10 4 2 3 2 2" xfId="3100"/>
    <cellStyle name="Normal 10 4 2 3 2 2 2" xfId="9413"/>
    <cellStyle name="Normal 10 4 2 3 2 2 2 2" xfId="21763"/>
    <cellStyle name="Normal 10 4 2 3 2 2 3" xfId="15537"/>
    <cellStyle name="Normal 10 4 2 3 2 3" xfId="9412"/>
    <cellStyle name="Normal 10 4 2 3 2 3 2" xfId="21762"/>
    <cellStyle name="Normal 10 4 2 3 2 4" xfId="15536"/>
    <cellStyle name="Normal 10 4 2 3 3" xfId="3101"/>
    <cellStyle name="Normal 10 4 2 3 3 2" xfId="3102"/>
    <cellStyle name="Normal 10 4 2 3 3 2 2" xfId="9415"/>
    <cellStyle name="Normal 10 4 2 3 3 2 2 2" xfId="21765"/>
    <cellStyle name="Normal 10 4 2 3 3 2 3" xfId="15539"/>
    <cellStyle name="Normal 10 4 2 3 3 3" xfId="9414"/>
    <cellStyle name="Normal 10 4 2 3 3 3 2" xfId="21764"/>
    <cellStyle name="Normal 10 4 2 3 3 4" xfId="15538"/>
    <cellStyle name="Normal 10 4 2 3 4" xfId="3103"/>
    <cellStyle name="Normal 10 4 2 3 4 2" xfId="9416"/>
    <cellStyle name="Normal 10 4 2 3 4 2 2" xfId="21766"/>
    <cellStyle name="Normal 10 4 2 3 4 3" xfId="15540"/>
    <cellStyle name="Normal 10 4 2 3 5" xfId="9411"/>
    <cellStyle name="Normal 10 4 2 3 5 2" xfId="21761"/>
    <cellStyle name="Normal 10 4 2 3 6" xfId="15535"/>
    <cellStyle name="Normal 10 4 2 4" xfId="3104"/>
    <cellStyle name="Normal 10 4 2 4 2" xfId="3105"/>
    <cellStyle name="Normal 10 4 2 4 2 2" xfId="9418"/>
    <cellStyle name="Normal 10 4 2 4 2 2 2" xfId="21768"/>
    <cellStyle name="Normal 10 4 2 4 2 3" xfId="15542"/>
    <cellStyle name="Normal 10 4 2 4 3" xfId="9417"/>
    <cellStyle name="Normal 10 4 2 4 3 2" xfId="21767"/>
    <cellStyle name="Normal 10 4 2 4 4" xfId="15541"/>
    <cellStyle name="Normal 10 4 2 5" xfId="3106"/>
    <cellStyle name="Normal 10 4 2 5 2" xfId="3107"/>
    <cellStyle name="Normal 10 4 2 5 2 2" xfId="9420"/>
    <cellStyle name="Normal 10 4 2 5 2 2 2" xfId="21770"/>
    <cellStyle name="Normal 10 4 2 5 2 3" xfId="15544"/>
    <cellStyle name="Normal 10 4 2 5 3" xfId="9419"/>
    <cellStyle name="Normal 10 4 2 5 3 2" xfId="21769"/>
    <cellStyle name="Normal 10 4 2 5 4" xfId="15543"/>
    <cellStyle name="Normal 10 4 2 6" xfId="3108"/>
    <cellStyle name="Normal 10 4 2 6 2" xfId="9421"/>
    <cellStyle name="Normal 10 4 2 6 2 2" xfId="21771"/>
    <cellStyle name="Normal 10 4 2 6 3" xfId="15545"/>
    <cellStyle name="Normal 10 4 2 7" xfId="9398"/>
    <cellStyle name="Normal 10 4 2 7 2" xfId="21748"/>
    <cellStyle name="Normal 10 4 2 8" xfId="15522"/>
    <cellStyle name="Normal 10 4 3" xfId="3109"/>
    <cellStyle name="Normal 10 4 3 2" xfId="3110"/>
    <cellStyle name="Normal 10 4 3 2 2" xfId="3111"/>
    <cellStyle name="Normal 10 4 3 2 2 2" xfId="3112"/>
    <cellStyle name="Normal 10 4 3 2 2 2 2" xfId="9425"/>
    <cellStyle name="Normal 10 4 3 2 2 2 2 2" xfId="21775"/>
    <cellStyle name="Normal 10 4 3 2 2 2 3" xfId="15549"/>
    <cellStyle name="Normal 10 4 3 2 2 3" xfId="9424"/>
    <cellStyle name="Normal 10 4 3 2 2 3 2" xfId="21774"/>
    <cellStyle name="Normal 10 4 3 2 2 4" xfId="15548"/>
    <cellStyle name="Normal 10 4 3 2 3" xfId="3113"/>
    <cellStyle name="Normal 10 4 3 2 3 2" xfId="3114"/>
    <cellStyle name="Normal 10 4 3 2 3 2 2" xfId="9427"/>
    <cellStyle name="Normal 10 4 3 2 3 2 2 2" xfId="21777"/>
    <cellStyle name="Normal 10 4 3 2 3 2 3" xfId="15551"/>
    <cellStyle name="Normal 10 4 3 2 3 3" xfId="9426"/>
    <cellStyle name="Normal 10 4 3 2 3 3 2" xfId="21776"/>
    <cellStyle name="Normal 10 4 3 2 3 4" xfId="15550"/>
    <cellStyle name="Normal 10 4 3 2 4" xfId="3115"/>
    <cellStyle name="Normal 10 4 3 2 4 2" xfId="9428"/>
    <cellStyle name="Normal 10 4 3 2 4 2 2" xfId="21778"/>
    <cellStyle name="Normal 10 4 3 2 4 3" xfId="15552"/>
    <cellStyle name="Normal 10 4 3 2 5" xfId="9423"/>
    <cellStyle name="Normal 10 4 3 2 5 2" xfId="21773"/>
    <cellStyle name="Normal 10 4 3 2 6" xfId="15547"/>
    <cellStyle name="Normal 10 4 3 3" xfId="3116"/>
    <cellStyle name="Normal 10 4 3 3 2" xfId="3117"/>
    <cellStyle name="Normal 10 4 3 3 2 2" xfId="9430"/>
    <cellStyle name="Normal 10 4 3 3 2 2 2" xfId="21780"/>
    <cellStyle name="Normal 10 4 3 3 2 3" xfId="15554"/>
    <cellStyle name="Normal 10 4 3 3 3" xfId="9429"/>
    <cellStyle name="Normal 10 4 3 3 3 2" xfId="21779"/>
    <cellStyle name="Normal 10 4 3 3 4" xfId="15553"/>
    <cellStyle name="Normal 10 4 3 4" xfId="3118"/>
    <cellStyle name="Normal 10 4 3 4 2" xfId="3119"/>
    <cellStyle name="Normal 10 4 3 4 2 2" xfId="9432"/>
    <cellStyle name="Normal 10 4 3 4 2 2 2" xfId="21782"/>
    <cellStyle name="Normal 10 4 3 4 2 3" xfId="15556"/>
    <cellStyle name="Normal 10 4 3 4 3" xfId="9431"/>
    <cellStyle name="Normal 10 4 3 4 3 2" xfId="21781"/>
    <cellStyle name="Normal 10 4 3 4 4" xfId="15555"/>
    <cellStyle name="Normal 10 4 3 5" xfId="3120"/>
    <cellStyle name="Normal 10 4 3 5 2" xfId="9433"/>
    <cellStyle name="Normal 10 4 3 5 2 2" xfId="21783"/>
    <cellStyle name="Normal 10 4 3 5 3" xfId="15557"/>
    <cellStyle name="Normal 10 4 3 6" xfId="9422"/>
    <cellStyle name="Normal 10 4 3 6 2" xfId="21772"/>
    <cellStyle name="Normal 10 4 3 7" xfId="15546"/>
    <cellStyle name="Normal 10 4 4" xfId="3121"/>
    <cellStyle name="Normal 10 4 4 2" xfId="3122"/>
    <cellStyle name="Normal 10 4 4 2 2" xfId="3123"/>
    <cellStyle name="Normal 10 4 4 2 2 2" xfId="9436"/>
    <cellStyle name="Normal 10 4 4 2 2 2 2" xfId="21786"/>
    <cellStyle name="Normal 10 4 4 2 2 3" xfId="15560"/>
    <cellStyle name="Normal 10 4 4 2 3" xfId="9435"/>
    <cellStyle name="Normal 10 4 4 2 3 2" xfId="21785"/>
    <cellStyle name="Normal 10 4 4 2 4" xfId="15559"/>
    <cellStyle name="Normal 10 4 4 3" xfId="3124"/>
    <cellStyle name="Normal 10 4 4 3 2" xfId="3125"/>
    <cellStyle name="Normal 10 4 4 3 2 2" xfId="9438"/>
    <cellStyle name="Normal 10 4 4 3 2 2 2" xfId="21788"/>
    <cellStyle name="Normal 10 4 4 3 2 3" xfId="15562"/>
    <cellStyle name="Normal 10 4 4 3 3" xfId="9437"/>
    <cellStyle name="Normal 10 4 4 3 3 2" xfId="21787"/>
    <cellStyle name="Normal 10 4 4 3 4" xfId="15561"/>
    <cellStyle name="Normal 10 4 4 4" xfId="3126"/>
    <cellStyle name="Normal 10 4 4 4 2" xfId="9439"/>
    <cellStyle name="Normal 10 4 4 4 2 2" xfId="21789"/>
    <cellStyle name="Normal 10 4 4 4 3" xfId="15563"/>
    <cellStyle name="Normal 10 4 4 5" xfId="9434"/>
    <cellStyle name="Normal 10 4 4 5 2" xfId="21784"/>
    <cellStyle name="Normal 10 4 4 6" xfId="15558"/>
    <cellStyle name="Normal 10 4 5" xfId="3127"/>
    <cellStyle name="Normal 10 4 5 2" xfId="3128"/>
    <cellStyle name="Normal 10 4 5 2 2" xfId="9441"/>
    <cellStyle name="Normal 10 4 5 2 2 2" xfId="21791"/>
    <cellStyle name="Normal 10 4 5 2 3" xfId="15565"/>
    <cellStyle name="Normal 10 4 5 3" xfId="9440"/>
    <cellStyle name="Normal 10 4 5 3 2" xfId="21790"/>
    <cellStyle name="Normal 10 4 5 4" xfId="15564"/>
    <cellStyle name="Normal 10 4 6" xfId="3129"/>
    <cellStyle name="Normal 10 4 6 2" xfId="3130"/>
    <cellStyle name="Normal 10 4 6 2 2" xfId="9443"/>
    <cellStyle name="Normal 10 4 6 2 2 2" xfId="21793"/>
    <cellStyle name="Normal 10 4 6 2 3" xfId="15567"/>
    <cellStyle name="Normal 10 4 6 3" xfId="9442"/>
    <cellStyle name="Normal 10 4 6 3 2" xfId="21792"/>
    <cellStyle name="Normal 10 4 6 4" xfId="15566"/>
    <cellStyle name="Normal 10 4 7" xfId="3131"/>
    <cellStyle name="Normal 10 4 7 2" xfId="9444"/>
    <cellStyle name="Normal 10 4 7 2 2" xfId="21794"/>
    <cellStyle name="Normal 10 4 7 3" xfId="15568"/>
    <cellStyle name="Normal 10 4 8" xfId="9397"/>
    <cellStyle name="Normal 10 4 8 2" xfId="21747"/>
    <cellStyle name="Normal 10 4 9" xfId="15521"/>
    <cellStyle name="Normal 10 5" xfId="3132"/>
    <cellStyle name="Normal 10 5 2" xfId="3133"/>
    <cellStyle name="Normal 10 5 2 2" xfId="3134"/>
    <cellStyle name="Normal 10 5 2 2 2" xfId="3135"/>
    <cellStyle name="Normal 10 5 2 2 2 2" xfId="3136"/>
    <cellStyle name="Normal 10 5 2 2 2 2 2" xfId="9449"/>
    <cellStyle name="Normal 10 5 2 2 2 2 2 2" xfId="21799"/>
    <cellStyle name="Normal 10 5 2 2 2 2 3" xfId="15573"/>
    <cellStyle name="Normal 10 5 2 2 2 3" xfId="9448"/>
    <cellStyle name="Normal 10 5 2 2 2 3 2" xfId="21798"/>
    <cellStyle name="Normal 10 5 2 2 2 4" xfId="15572"/>
    <cellStyle name="Normal 10 5 2 2 3" xfId="3137"/>
    <cellStyle name="Normal 10 5 2 2 3 2" xfId="3138"/>
    <cellStyle name="Normal 10 5 2 2 3 2 2" xfId="9451"/>
    <cellStyle name="Normal 10 5 2 2 3 2 2 2" xfId="21801"/>
    <cellStyle name="Normal 10 5 2 2 3 2 3" xfId="15575"/>
    <cellStyle name="Normal 10 5 2 2 3 3" xfId="9450"/>
    <cellStyle name="Normal 10 5 2 2 3 3 2" xfId="21800"/>
    <cellStyle name="Normal 10 5 2 2 3 4" xfId="15574"/>
    <cellStyle name="Normal 10 5 2 2 4" xfId="3139"/>
    <cellStyle name="Normal 10 5 2 2 4 2" xfId="9452"/>
    <cellStyle name="Normal 10 5 2 2 4 2 2" xfId="21802"/>
    <cellStyle name="Normal 10 5 2 2 4 3" xfId="15576"/>
    <cellStyle name="Normal 10 5 2 2 5" xfId="9447"/>
    <cellStyle name="Normal 10 5 2 2 5 2" xfId="21797"/>
    <cellStyle name="Normal 10 5 2 2 6" xfId="15571"/>
    <cellStyle name="Normal 10 5 2 3" xfId="3140"/>
    <cellStyle name="Normal 10 5 2 3 2" xfId="3141"/>
    <cellStyle name="Normal 10 5 2 3 2 2" xfId="9454"/>
    <cellStyle name="Normal 10 5 2 3 2 2 2" xfId="21804"/>
    <cellStyle name="Normal 10 5 2 3 2 3" xfId="15578"/>
    <cellStyle name="Normal 10 5 2 3 3" xfId="9453"/>
    <cellStyle name="Normal 10 5 2 3 3 2" xfId="21803"/>
    <cellStyle name="Normal 10 5 2 3 4" xfId="15577"/>
    <cellStyle name="Normal 10 5 2 4" xfId="3142"/>
    <cellStyle name="Normal 10 5 2 4 2" xfId="3143"/>
    <cellStyle name="Normal 10 5 2 4 2 2" xfId="9456"/>
    <cellStyle name="Normal 10 5 2 4 2 2 2" xfId="21806"/>
    <cellStyle name="Normal 10 5 2 4 2 3" xfId="15580"/>
    <cellStyle name="Normal 10 5 2 4 3" xfId="9455"/>
    <cellStyle name="Normal 10 5 2 4 3 2" xfId="21805"/>
    <cellStyle name="Normal 10 5 2 4 4" xfId="15579"/>
    <cellStyle name="Normal 10 5 2 5" xfId="3144"/>
    <cellStyle name="Normal 10 5 2 5 2" xfId="9457"/>
    <cellStyle name="Normal 10 5 2 5 2 2" xfId="21807"/>
    <cellStyle name="Normal 10 5 2 5 3" xfId="15581"/>
    <cellStyle name="Normal 10 5 2 6" xfId="9446"/>
    <cellStyle name="Normal 10 5 2 6 2" xfId="21796"/>
    <cellStyle name="Normal 10 5 2 7" xfId="15570"/>
    <cellStyle name="Normal 10 5 3" xfId="3145"/>
    <cellStyle name="Normal 10 5 3 2" xfId="3146"/>
    <cellStyle name="Normal 10 5 3 2 2" xfId="3147"/>
    <cellStyle name="Normal 10 5 3 2 2 2" xfId="9460"/>
    <cellStyle name="Normal 10 5 3 2 2 2 2" xfId="21810"/>
    <cellStyle name="Normal 10 5 3 2 2 3" xfId="15584"/>
    <cellStyle name="Normal 10 5 3 2 3" xfId="9459"/>
    <cellStyle name="Normal 10 5 3 2 3 2" xfId="21809"/>
    <cellStyle name="Normal 10 5 3 2 4" xfId="15583"/>
    <cellStyle name="Normal 10 5 3 3" xfId="3148"/>
    <cellStyle name="Normal 10 5 3 3 2" xfId="3149"/>
    <cellStyle name="Normal 10 5 3 3 2 2" xfId="9462"/>
    <cellStyle name="Normal 10 5 3 3 2 2 2" xfId="21812"/>
    <cellStyle name="Normal 10 5 3 3 2 3" xfId="15586"/>
    <cellStyle name="Normal 10 5 3 3 3" xfId="9461"/>
    <cellStyle name="Normal 10 5 3 3 3 2" xfId="21811"/>
    <cellStyle name="Normal 10 5 3 3 4" xfId="15585"/>
    <cellStyle name="Normal 10 5 3 4" xfId="3150"/>
    <cellStyle name="Normal 10 5 3 4 2" xfId="9463"/>
    <cellStyle name="Normal 10 5 3 4 2 2" xfId="21813"/>
    <cellStyle name="Normal 10 5 3 4 3" xfId="15587"/>
    <cellStyle name="Normal 10 5 3 5" xfId="9458"/>
    <cellStyle name="Normal 10 5 3 5 2" xfId="21808"/>
    <cellStyle name="Normal 10 5 3 6" xfId="15582"/>
    <cellStyle name="Normal 10 5 4" xfId="3151"/>
    <cellStyle name="Normal 10 5 4 2" xfId="3152"/>
    <cellStyle name="Normal 10 5 4 2 2" xfId="9465"/>
    <cellStyle name="Normal 10 5 4 2 2 2" xfId="21815"/>
    <cellStyle name="Normal 10 5 4 2 3" xfId="15589"/>
    <cellStyle name="Normal 10 5 4 3" xfId="9464"/>
    <cellStyle name="Normal 10 5 4 3 2" xfId="21814"/>
    <cellStyle name="Normal 10 5 4 4" xfId="15588"/>
    <cellStyle name="Normal 10 5 5" xfId="3153"/>
    <cellStyle name="Normal 10 5 5 2" xfId="3154"/>
    <cellStyle name="Normal 10 5 5 2 2" xfId="9467"/>
    <cellStyle name="Normal 10 5 5 2 2 2" xfId="21817"/>
    <cellStyle name="Normal 10 5 5 2 3" xfId="15591"/>
    <cellStyle name="Normal 10 5 5 3" xfId="9466"/>
    <cellStyle name="Normal 10 5 5 3 2" xfId="21816"/>
    <cellStyle name="Normal 10 5 5 4" xfId="15590"/>
    <cellStyle name="Normal 10 5 6" xfId="3155"/>
    <cellStyle name="Normal 10 5 6 2" xfId="9468"/>
    <cellStyle name="Normal 10 5 6 2 2" xfId="21818"/>
    <cellStyle name="Normal 10 5 6 3" xfId="15592"/>
    <cellStyle name="Normal 10 5 7" xfId="9445"/>
    <cellStyle name="Normal 10 5 7 2" xfId="21795"/>
    <cellStyle name="Normal 10 5 8" xfId="15569"/>
    <cellStyle name="Normal 10 6" xfId="3156"/>
    <cellStyle name="Normal 10 6 2" xfId="3157"/>
    <cellStyle name="Normal 10 6 2 2" xfId="3158"/>
    <cellStyle name="Normal 10 6 2 2 2" xfId="3159"/>
    <cellStyle name="Normal 10 6 2 2 2 2" xfId="9472"/>
    <cellStyle name="Normal 10 6 2 2 2 2 2" xfId="21822"/>
    <cellStyle name="Normal 10 6 2 2 2 3" xfId="15596"/>
    <cellStyle name="Normal 10 6 2 2 3" xfId="9471"/>
    <cellStyle name="Normal 10 6 2 2 3 2" xfId="21821"/>
    <cellStyle name="Normal 10 6 2 2 4" xfId="15595"/>
    <cellStyle name="Normal 10 6 2 3" xfId="3160"/>
    <cellStyle name="Normal 10 6 2 3 2" xfId="3161"/>
    <cellStyle name="Normal 10 6 2 3 2 2" xfId="9474"/>
    <cellStyle name="Normal 10 6 2 3 2 2 2" xfId="21824"/>
    <cellStyle name="Normal 10 6 2 3 2 3" xfId="15598"/>
    <cellStyle name="Normal 10 6 2 3 3" xfId="9473"/>
    <cellStyle name="Normal 10 6 2 3 3 2" xfId="21823"/>
    <cellStyle name="Normal 10 6 2 3 4" xfId="15597"/>
    <cellStyle name="Normal 10 6 2 4" xfId="3162"/>
    <cellStyle name="Normal 10 6 2 4 2" xfId="9475"/>
    <cellStyle name="Normal 10 6 2 4 2 2" xfId="21825"/>
    <cellStyle name="Normal 10 6 2 4 3" xfId="15599"/>
    <cellStyle name="Normal 10 6 2 5" xfId="9470"/>
    <cellStyle name="Normal 10 6 2 5 2" xfId="21820"/>
    <cellStyle name="Normal 10 6 2 6" xfId="15594"/>
    <cellStyle name="Normal 10 6 3" xfId="3163"/>
    <cellStyle name="Normal 10 6 3 2" xfId="3164"/>
    <cellStyle name="Normal 10 6 3 2 2" xfId="9477"/>
    <cellStyle name="Normal 10 6 3 2 2 2" xfId="21827"/>
    <cellStyle name="Normal 10 6 3 2 3" xfId="15601"/>
    <cellStyle name="Normal 10 6 3 3" xfId="9476"/>
    <cellStyle name="Normal 10 6 3 3 2" xfId="21826"/>
    <cellStyle name="Normal 10 6 3 4" xfId="15600"/>
    <cellStyle name="Normal 10 6 4" xfId="3165"/>
    <cellStyle name="Normal 10 6 4 2" xfId="3166"/>
    <cellStyle name="Normal 10 6 4 2 2" xfId="9479"/>
    <cellStyle name="Normal 10 6 4 2 2 2" xfId="21829"/>
    <cellStyle name="Normal 10 6 4 2 3" xfId="15603"/>
    <cellStyle name="Normal 10 6 4 3" xfId="9478"/>
    <cellStyle name="Normal 10 6 4 3 2" xfId="21828"/>
    <cellStyle name="Normal 10 6 4 4" xfId="15602"/>
    <cellStyle name="Normal 10 6 5" xfId="3167"/>
    <cellStyle name="Normal 10 6 5 2" xfId="9480"/>
    <cellStyle name="Normal 10 6 5 2 2" xfId="21830"/>
    <cellStyle name="Normal 10 6 5 3" xfId="15604"/>
    <cellStyle name="Normal 10 6 6" xfId="9469"/>
    <cellStyle name="Normal 10 6 6 2" xfId="21819"/>
    <cellStyle name="Normal 10 6 7" xfId="15593"/>
    <cellStyle name="Normal 10 7" xfId="3168"/>
    <cellStyle name="Normal 10 7 2" xfId="3169"/>
    <cellStyle name="Normal 10 7 2 2" xfId="3170"/>
    <cellStyle name="Normal 10 7 2 2 2" xfId="9483"/>
    <cellStyle name="Normal 10 7 2 2 2 2" xfId="21833"/>
    <cellStyle name="Normal 10 7 2 2 3" xfId="15607"/>
    <cellStyle name="Normal 10 7 2 3" xfId="9482"/>
    <cellStyle name="Normal 10 7 2 3 2" xfId="21832"/>
    <cellStyle name="Normal 10 7 2 4" xfId="15606"/>
    <cellStyle name="Normal 10 7 3" xfId="3171"/>
    <cellStyle name="Normal 10 7 3 2" xfId="3172"/>
    <cellStyle name="Normal 10 7 3 2 2" xfId="9485"/>
    <cellStyle name="Normal 10 7 3 2 2 2" xfId="21835"/>
    <cellStyle name="Normal 10 7 3 2 3" xfId="15609"/>
    <cellStyle name="Normal 10 7 3 3" xfId="9484"/>
    <cellStyle name="Normal 10 7 3 3 2" xfId="21834"/>
    <cellStyle name="Normal 10 7 3 4" xfId="15608"/>
    <cellStyle name="Normal 10 7 4" xfId="3173"/>
    <cellStyle name="Normal 10 7 4 2" xfId="9486"/>
    <cellStyle name="Normal 10 7 4 2 2" xfId="21836"/>
    <cellStyle name="Normal 10 7 4 3" xfId="15610"/>
    <cellStyle name="Normal 10 7 5" xfId="9481"/>
    <cellStyle name="Normal 10 7 5 2" xfId="21831"/>
    <cellStyle name="Normal 10 7 6" xfId="15605"/>
    <cellStyle name="Normal 10 8" xfId="3174"/>
    <cellStyle name="Normal 10 8 2" xfId="3175"/>
    <cellStyle name="Normal 10 8 2 2" xfId="9487"/>
    <cellStyle name="Normal 10 8 2 2 2" xfId="21837"/>
    <cellStyle name="Normal 10 8 2 3" xfId="15611"/>
    <cellStyle name="Normal 10 9" xfId="3176"/>
    <cellStyle name="Normal 10 9 2" xfId="3177"/>
    <cellStyle name="Normal 10 9 2 2" xfId="9488"/>
    <cellStyle name="Normal 10 9 2 2 2" xfId="21838"/>
    <cellStyle name="Normal 10 9 2 3" xfId="15612"/>
    <cellStyle name="Normal 10_2112 DF Schedule" xfId="9489"/>
    <cellStyle name="Normal 100" xfId="3178"/>
    <cellStyle name="Normal 100 2" xfId="3179"/>
    <cellStyle name="Normal 100 2 2" xfId="9490"/>
    <cellStyle name="Normal 100 2 2 2" xfId="21839"/>
    <cellStyle name="Normal 100 2 3" xfId="15613"/>
    <cellStyle name="Normal 100 3" xfId="3180"/>
    <cellStyle name="Normal 101" xfId="3181"/>
    <cellStyle name="Normal 101 2" xfId="3182"/>
    <cellStyle name="Normal 101 2 2" xfId="9491"/>
    <cellStyle name="Normal 101 2 2 2" xfId="21840"/>
    <cellStyle name="Normal 101 2 3" xfId="15614"/>
    <cellStyle name="Normal 102" xfId="3183"/>
    <cellStyle name="Normal 102 2" xfId="3184"/>
    <cellStyle name="Normal 102 2 2" xfId="9492"/>
    <cellStyle name="Normal 102 2 2 2" xfId="21841"/>
    <cellStyle name="Normal 102 2 3" xfId="15615"/>
    <cellStyle name="Normal 103" xfId="3185"/>
    <cellStyle name="Normal 103 2" xfId="3186"/>
    <cellStyle name="Normal 103 2 2" xfId="9493"/>
    <cellStyle name="Normal 103 2 2 2" xfId="21842"/>
    <cellStyle name="Normal 103 2 3" xfId="15616"/>
    <cellStyle name="Normal 104" xfId="3187"/>
    <cellStyle name="Normal 104 2" xfId="3188"/>
    <cellStyle name="Normal 104 2 2" xfId="9494"/>
    <cellStyle name="Normal 104 2 2 2" xfId="21843"/>
    <cellStyle name="Normal 104 2 3" xfId="15617"/>
    <cellStyle name="Normal 105" xfId="3189"/>
    <cellStyle name="Normal 105 2" xfId="3190"/>
    <cellStyle name="Normal 105 2 2" xfId="9495"/>
    <cellStyle name="Normal 105 2 2 2" xfId="21844"/>
    <cellStyle name="Normal 105 2 3" xfId="15618"/>
    <cellStyle name="Normal 106" xfId="3191"/>
    <cellStyle name="Normal 107" xfId="3192"/>
    <cellStyle name="Normal 107 2" xfId="3193"/>
    <cellStyle name="Normal 107 2 2" xfId="9496"/>
    <cellStyle name="Normal 107 2 2 2" xfId="21845"/>
    <cellStyle name="Normal 107 2 3" xfId="15619"/>
    <cellStyle name="Normal 108" xfId="3194"/>
    <cellStyle name="Normal 108 2" xfId="3195"/>
    <cellStyle name="Normal 108 2 2" xfId="9497"/>
    <cellStyle name="Normal 108 2 2 2" xfId="21846"/>
    <cellStyle name="Normal 108 2 3" xfId="15620"/>
    <cellStyle name="Normal 109" xfId="3196"/>
    <cellStyle name="Normal 109 2" xfId="3197"/>
    <cellStyle name="Normal 109 2 2" xfId="3198"/>
    <cellStyle name="Normal 109 3" xfId="3199"/>
    <cellStyle name="Normal 109 3 2" xfId="9498"/>
    <cellStyle name="Normal 109 3 2 2" xfId="21847"/>
    <cellStyle name="Normal 109 3 3" xfId="15621"/>
    <cellStyle name="Normal 109 4" xfId="3200"/>
    <cellStyle name="Normal 11" xfId="9499"/>
    <cellStyle name="Normal 11 10" xfId="3201"/>
    <cellStyle name="Normal 11 10 2" xfId="9500"/>
    <cellStyle name="Normal 11 10 2 2" xfId="21848"/>
    <cellStyle name="Normal 11 10 3" xfId="15622"/>
    <cellStyle name="Normal 11 11" xfId="3202"/>
    <cellStyle name="Normal 11 11 2" xfId="9501"/>
    <cellStyle name="Normal 11 11 2 2" xfId="21849"/>
    <cellStyle name="Normal 11 11 3" xfId="15623"/>
    <cellStyle name="Normal 11 12" xfId="3203"/>
    <cellStyle name="Normal 11 2" xfId="3204"/>
    <cellStyle name="Normal 11 2 2" xfId="3205"/>
    <cellStyle name="Normal 11 2 2 2" xfId="3206"/>
    <cellStyle name="Normal 11 2 2 2 2" xfId="3207"/>
    <cellStyle name="Normal 11 2 2 2 2 2" xfId="3208"/>
    <cellStyle name="Normal 11 2 2 2 2 2 2" xfId="3209"/>
    <cellStyle name="Normal 11 2 2 2 2 2 2 2" xfId="3210"/>
    <cellStyle name="Normal 11 2 2 2 2 2 2 2 2" xfId="9505"/>
    <cellStyle name="Normal 11 2 2 2 2 2 2 2 2 2" xfId="21853"/>
    <cellStyle name="Normal 11 2 2 2 2 2 2 2 3" xfId="15627"/>
    <cellStyle name="Normal 11 2 2 2 2 2 2 3" xfId="9504"/>
    <cellStyle name="Normal 11 2 2 2 2 2 2 3 2" xfId="21852"/>
    <cellStyle name="Normal 11 2 2 2 2 2 2 4" xfId="15626"/>
    <cellStyle name="Normal 11 2 2 2 2 2 3" xfId="3211"/>
    <cellStyle name="Normal 11 2 2 2 2 2 3 2" xfId="3212"/>
    <cellStyle name="Normal 11 2 2 2 2 2 3 2 2" xfId="9507"/>
    <cellStyle name="Normal 11 2 2 2 2 2 3 2 2 2" xfId="21855"/>
    <cellStyle name="Normal 11 2 2 2 2 2 3 2 3" xfId="15629"/>
    <cellStyle name="Normal 11 2 2 2 2 2 3 3" xfId="9506"/>
    <cellStyle name="Normal 11 2 2 2 2 2 3 3 2" xfId="21854"/>
    <cellStyle name="Normal 11 2 2 2 2 2 3 4" xfId="15628"/>
    <cellStyle name="Normal 11 2 2 2 2 2 4" xfId="3213"/>
    <cellStyle name="Normal 11 2 2 2 2 2 4 2" xfId="9508"/>
    <cellStyle name="Normal 11 2 2 2 2 2 4 2 2" xfId="21856"/>
    <cellStyle name="Normal 11 2 2 2 2 2 4 3" xfId="15630"/>
    <cellStyle name="Normal 11 2 2 2 2 2 5" xfId="9503"/>
    <cellStyle name="Normal 11 2 2 2 2 2 5 2" xfId="21851"/>
    <cellStyle name="Normal 11 2 2 2 2 2 6" xfId="15625"/>
    <cellStyle name="Normal 11 2 2 2 2 3" xfId="3214"/>
    <cellStyle name="Normal 11 2 2 2 2 3 2" xfId="3215"/>
    <cellStyle name="Normal 11 2 2 2 2 3 2 2" xfId="9510"/>
    <cellStyle name="Normal 11 2 2 2 2 3 2 2 2" xfId="21858"/>
    <cellStyle name="Normal 11 2 2 2 2 3 2 3" xfId="15632"/>
    <cellStyle name="Normal 11 2 2 2 2 3 3" xfId="9509"/>
    <cellStyle name="Normal 11 2 2 2 2 3 3 2" xfId="21857"/>
    <cellStyle name="Normal 11 2 2 2 2 3 4" xfId="15631"/>
    <cellStyle name="Normal 11 2 2 2 2 4" xfId="3216"/>
    <cellStyle name="Normal 11 2 2 2 2 4 2" xfId="3217"/>
    <cellStyle name="Normal 11 2 2 2 2 4 2 2" xfId="9512"/>
    <cellStyle name="Normal 11 2 2 2 2 4 2 2 2" xfId="21860"/>
    <cellStyle name="Normal 11 2 2 2 2 4 2 3" xfId="15634"/>
    <cellStyle name="Normal 11 2 2 2 2 4 3" xfId="9511"/>
    <cellStyle name="Normal 11 2 2 2 2 4 3 2" xfId="21859"/>
    <cellStyle name="Normal 11 2 2 2 2 4 4" xfId="15633"/>
    <cellStyle name="Normal 11 2 2 2 2 5" xfId="3218"/>
    <cellStyle name="Normal 11 2 2 2 2 5 2" xfId="9513"/>
    <cellStyle name="Normal 11 2 2 2 2 5 2 2" xfId="21861"/>
    <cellStyle name="Normal 11 2 2 2 2 5 3" xfId="15635"/>
    <cellStyle name="Normal 11 2 2 2 2 6" xfId="9502"/>
    <cellStyle name="Normal 11 2 2 2 2 6 2" xfId="21850"/>
    <cellStyle name="Normal 11 2 2 2 2 7" xfId="15624"/>
    <cellStyle name="Normal 11 2 2 2 3" xfId="3219"/>
    <cellStyle name="Normal 11 2 2 2 3 2" xfId="3220"/>
    <cellStyle name="Normal 11 2 2 2 3 2 2" xfId="3221"/>
    <cellStyle name="Normal 11 2 2 2 3 2 2 2" xfId="9516"/>
    <cellStyle name="Normal 11 2 2 2 3 2 2 2 2" xfId="21864"/>
    <cellStyle name="Normal 11 2 2 2 3 2 2 3" xfId="15638"/>
    <cellStyle name="Normal 11 2 2 2 3 2 3" xfId="9515"/>
    <cellStyle name="Normal 11 2 2 2 3 2 3 2" xfId="21863"/>
    <cellStyle name="Normal 11 2 2 2 3 2 4" xfId="15637"/>
    <cellStyle name="Normal 11 2 2 2 3 3" xfId="3222"/>
    <cellStyle name="Normal 11 2 2 2 3 3 2" xfId="3223"/>
    <cellStyle name="Normal 11 2 2 2 3 3 2 2" xfId="9518"/>
    <cellStyle name="Normal 11 2 2 2 3 3 2 2 2" xfId="21866"/>
    <cellStyle name="Normal 11 2 2 2 3 3 2 3" xfId="15640"/>
    <cellStyle name="Normal 11 2 2 2 3 3 3" xfId="9517"/>
    <cellStyle name="Normal 11 2 2 2 3 3 3 2" xfId="21865"/>
    <cellStyle name="Normal 11 2 2 2 3 3 4" xfId="15639"/>
    <cellStyle name="Normal 11 2 2 2 3 4" xfId="3224"/>
    <cellStyle name="Normal 11 2 2 2 3 4 2" xfId="9519"/>
    <cellStyle name="Normal 11 2 2 2 3 4 2 2" xfId="21867"/>
    <cellStyle name="Normal 11 2 2 2 3 4 3" xfId="15641"/>
    <cellStyle name="Normal 11 2 2 2 3 5" xfId="9514"/>
    <cellStyle name="Normal 11 2 2 2 3 5 2" xfId="21862"/>
    <cellStyle name="Normal 11 2 2 2 3 6" xfId="15636"/>
    <cellStyle name="Normal 11 2 2 2 4" xfId="3225"/>
    <cellStyle name="Normal 11 2 2 2 4 2" xfId="3226"/>
    <cellStyle name="Normal 11 2 2 2 4 2 2" xfId="9521"/>
    <cellStyle name="Normal 11 2 2 2 4 2 2 2" xfId="21869"/>
    <cellStyle name="Normal 11 2 2 2 4 2 3" xfId="15643"/>
    <cellStyle name="Normal 11 2 2 2 4 3" xfId="9520"/>
    <cellStyle name="Normal 11 2 2 2 4 3 2" xfId="21868"/>
    <cellStyle name="Normal 11 2 2 2 4 4" xfId="15642"/>
    <cellStyle name="Normal 11 2 2 2 5" xfId="3227"/>
    <cellStyle name="Normal 11 2 2 2 5 2" xfId="3228"/>
    <cellStyle name="Normal 11 2 2 2 5 2 2" xfId="9523"/>
    <cellStyle name="Normal 11 2 2 2 5 2 2 2" xfId="21871"/>
    <cellStyle name="Normal 11 2 2 2 5 2 3" xfId="15645"/>
    <cellStyle name="Normal 11 2 2 2 5 3" xfId="9522"/>
    <cellStyle name="Normal 11 2 2 2 5 3 2" xfId="21870"/>
    <cellStyle name="Normal 11 2 2 2 5 4" xfId="15644"/>
    <cellStyle name="Normal 11 2 2 2 6" xfId="3229"/>
    <cellStyle name="Normal 11 2 2 2 6 2" xfId="9524"/>
    <cellStyle name="Normal 11 2 2 2 6 2 2" xfId="21872"/>
    <cellStyle name="Normal 11 2 2 2 6 3" xfId="15646"/>
    <cellStyle name="Normal 11 2 2 3" xfId="3230"/>
    <cellStyle name="Normal 11 2 2 3 2" xfId="3231"/>
    <cellStyle name="Normal 11 2 2 3 2 2" xfId="3232"/>
    <cellStyle name="Normal 11 2 2 3 2 2 2" xfId="3233"/>
    <cellStyle name="Normal 11 2 2 3 2 2 2 2" xfId="9528"/>
    <cellStyle name="Normal 11 2 2 3 2 2 2 2 2" xfId="21876"/>
    <cellStyle name="Normal 11 2 2 3 2 2 2 3" xfId="15650"/>
    <cellStyle name="Normal 11 2 2 3 2 2 3" xfId="9527"/>
    <cellStyle name="Normal 11 2 2 3 2 2 3 2" xfId="21875"/>
    <cellStyle name="Normal 11 2 2 3 2 2 4" xfId="15649"/>
    <cellStyle name="Normal 11 2 2 3 2 3" xfId="3234"/>
    <cellStyle name="Normal 11 2 2 3 2 3 2" xfId="3235"/>
    <cellStyle name="Normal 11 2 2 3 2 3 2 2" xfId="9530"/>
    <cellStyle name="Normal 11 2 2 3 2 3 2 2 2" xfId="21878"/>
    <cellStyle name="Normal 11 2 2 3 2 3 2 3" xfId="15652"/>
    <cellStyle name="Normal 11 2 2 3 2 3 3" xfId="9529"/>
    <cellStyle name="Normal 11 2 2 3 2 3 3 2" xfId="21877"/>
    <cellStyle name="Normal 11 2 2 3 2 3 4" xfId="15651"/>
    <cellStyle name="Normal 11 2 2 3 2 4" xfId="3236"/>
    <cellStyle name="Normal 11 2 2 3 2 4 2" xfId="9531"/>
    <cellStyle name="Normal 11 2 2 3 2 4 2 2" xfId="21879"/>
    <cellStyle name="Normal 11 2 2 3 2 4 3" xfId="15653"/>
    <cellStyle name="Normal 11 2 2 3 2 5" xfId="9526"/>
    <cellStyle name="Normal 11 2 2 3 2 5 2" xfId="21874"/>
    <cellStyle name="Normal 11 2 2 3 2 6" xfId="15648"/>
    <cellStyle name="Normal 11 2 2 3 3" xfId="3237"/>
    <cellStyle name="Normal 11 2 2 3 3 2" xfId="3238"/>
    <cellStyle name="Normal 11 2 2 3 3 2 2" xfId="9533"/>
    <cellStyle name="Normal 11 2 2 3 3 2 2 2" xfId="21881"/>
    <cellStyle name="Normal 11 2 2 3 3 2 3" xfId="15655"/>
    <cellStyle name="Normal 11 2 2 3 3 3" xfId="9532"/>
    <cellStyle name="Normal 11 2 2 3 3 3 2" xfId="21880"/>
    <cellStyle name="Normal 11 2 2 3 3 4" xfId="15654"/>
    <cellStyle name="Normal 11 2 2 3 4" xfId="3239"/>
    <cellStyle name="Normal 11 2 2 3 4 2" xfId="3240"/>
    <cellStyle name="Normal 11 2 2 3 4 2 2" xfId="9535"/>
    <cellStyle name="Normal 11 2 2 3 4 2 2 2" xfId="21883"/>
    <cellStyle name="Normal 11 2 2 3 4 2 3" xfId="15657"/>
    <cellStyle name="Normal 11 2 2 3 4 3" xfId="9534"/>
    <cellStyle name="Normal 11 2 2 3 4 3 2" xfId="21882"/>
    <cellStyle name="Normal 11 2 2 3 4 4" xfId="15656"/>
    <cellStyle name="Normal 11 2 2 3 5" xfId="3241"/>
    <cellStyle name="Normal 11 2 2 3 5 2" xfId="9536"/>
    <cellStyle name="Normal 11 2 2 3 5 2 2" xfId="21884"/>
    <cellStyle name="Normal 11 2 2 3 5 3" xfId="15658"/>
    <cellStyle name="Normal 11 2 2 3 6" xfId="9525"/>
    <cellStyle name="Normal 11 2 2 3 6 2" xfId="21873"/>
    <cellStyle name="Normal 11 2 2 3 7" xfId="15647"/>
    <cellStyle name="Normal 11 2 2 4" xfId="3242"/>
    <cellStyle name="Normal 11 2 2 4 2" xfId="3243"/>
    <cellStyle name="Normal 11 2 2 4 2 2" xfId="3244"/>
    <cellStyle name="Normal 11 2 2 4 2 2 2" xfId="9539"/>
    <cellStyle name="Normal 11 2 2 4 2 2 2 2" xfId="21887"/>
    <cellStyle name="Normal 11 2 2 4 2 2 3" xfId="15661"/>
    <cellStyle name="Normal 11 2 2 4 2 3" xfId="9538"/>
    <cellStyle name="Normal 11 2 2 4 2 3 2" xfId="21886"/>
    <cellStyle name="Normal 11 2 2 4 2 4" xfId="15660"/>
    <cellStyle name="Normal 11 2 2 4 3" xfId="3245"/>
    <cellStyle name="Normal 11 2 2 4 3 2" xfId="3246"/>
    <cellStyle name="Normal 11 2 2 4 3 2 2" xfId="9541"/>
    <cellStyle name="Normal 11 2 2 4 3 2 2 2" xfId="21889"/>
    <cellStyle name="Normal 11 2 2 4 3 2 3" xfId="15663"/>
    <cellStyle name="Normal 11 2 2 4 3 3" xfId="9540"/>
    <cellStyle name="Normal 11 2 2 4 3 3 2" xfId="21888"/>
    <cellStyle name="Normal 11 2 2 4 3 4" xfId="15662"/>
    <cellStyle name="Normal 11 2 2 4 4" xfId="3247"/>
    <cellStyle name="Normal 11 2 2 4 4 2" xfId="9542"/>
    <cellStyle name="Normal 11 2 2 4 4 2 2" xfId="21890"/>
    <cellStyle name="Normal 11 2 2 4 4 3" xfId="15664"/>
    <cellStyle name="Normal 11 2 2 4 5" xfId="9537"/>
    <cellStyle name="Normal 11 2 2 4 5 2" xfId="21885"/>
    <cellStyle name="Normal 11 2 2 4 6" xfId="15659"/>
    <cellStyle name="Normal 11 2 2 5" xfId="3248"/>
    <cellStyle name="Normal 11 2 2 5 2" xfId="3249"/>
    <cellStyle name="Normal 11 2 2 5 2 2" xfId="9544"/>
    <cellStyle name="Normal 11 2 2 5 2 2 2" xfId="21892"/>
    <cellStyle name="Normal 11 2 2 5 2 3" xfId="15666"/>
    <cellStyle name="Normal 11 2 2 5 3" xfId="9543"/>
    <cellStyle name="Normal 11 2 2 5 3 2" xfId="21891"/>
    <cellStyle name="Normal 11 2 2 5 4" xfId="15665"/>
    <cellStyle name="Normal 11 2 2 6" xfId="3250"/>
    <cellStyle name="Normal 11 2 2 6 2" xfId="3251"/>
    <cellStyle name="Normal 11 2 2 6 2 2" xfId="9546"/>
    <cellStyle name="Normal 11 2 2 6 2 2 2" xfId="21894"/>
    <cellStyle name="Normal 11 2 2 6 2 3" xfId="15668"/>
    <cellStyle name="Normal 11 2 2 6 3" xfId="9545"/>
    <cellStyle name="Normal 11 2 2 6 3 2" xfId="21893"/>
    <cellStyle name="Normal 11 2 2 6 4" xfId="15667"/>
    <cellStyle name="Normal 11 2 2 7" xfId="3252"/>
    <cellStyle name="Normal 11 2 2 7 2" xfId="9547"/>
    <cellStyle name="Normal 11 2 2 7 2 2" xfId="21895"/>
    <cellStyle name="Normal 11 2 2 7 3" xfId="15669"/>
    <cellStyle name="Normal 11 2 3" xfId="3253"/>
    <cellStyle name="Normal 11 2 3 2" xfId="3254"/>
    <cellStyle name="Normal 11 2 3 2 2" xfId="3255"/>
    <cellStyle name="Normal 11 2 3 2 2 2" xfId="3256"/>
    <cellStyle name="Normal 11 2 3 2 2 2 2" xfId="3257"/>
    <cellStyle name="Normal 11 2 3 2 2 2 2 2" xfId="9551"/>
    <cellStyle name="Normal 11 2 3 2 2 2 2 2 2" xfId="21899"/>
    <cellStyle name="Normal 11 2 3 2 2 2 2 3" xfId="15673"/>
    <cellStyle name="Normal 11 2 3 2 2 2 3" xfId="9550"/>
    <cellStyle name="Normal 11 2 3 2 2 2 3 2" xfId="21898"/>
    <cellStyle name="Normal 11 2 3 2 2 2 4" xfId="15672"/>
    <cellStyle name="Normal 11 2 3 2 2 3" xfId="3258"/>
    <cellStyle name="Normal 11 2 3 2 2 3 2" xfId="3259"/>
    <cellStyle name="Normal 11 2 3 2 2 3 2 2" xfId="9553"/>
    <cellStyle name="Normal 11 2 3 2 2 3 2 2 2" xfId="21901"/>
    <cellStyle name="Normal 11 2 3 2 2 3 2 3" xfId="15675"/>
    <cellStyle name="Normal 11 2 3 2 2 3 3" xfId="9552"/>
    <cellStyle name="Normal 11 2 3 2 2 3 3 2" xfId="21900"/>
    <cellStyle name="Normal 11 2 3 2 2 3 4" xfId="15674"/>
    <cellStyle name="Normal 11 2 3 2 2 4" xfId="3260"/>
    <cellStyle name="Normal 11 2 3 2 2 4 2" xfId="9554"/>
    <cellStyle name="Normal 11 2 3 2 2 4 2 2" xfId="21902"/>
    <cellStyle name="Normal 11 2 3 2 2 4 3" xfId="15676"/>
    <cellStyle name="Normal 11 2 3 2 2 5" xfId="9549"/>
    <cellStyle name="Normal 11 2 3 2 2 5 2" xfId="21897"/>
    <cellStyle name="Normal 11 2 3 2 2 6" xfId="15671"/>
    <cellStyle name="Normal 11 2 3 2 3" xfId="3261"/>
    <cellStyle name="Normal 11 2 3 2 3 2" xfId="3262"/>
    <cellStyle name="Normal 11 2 3 2 3 2 2" xfId="9556"/>
    <cellStyle name="Normal 11 2 3 2 3 2 2 2" xfId="21904"/>
    <cellStyle name="Normal 11 2 3 2 3 2 3" xfId="15678"/>
    <cellStyle name="Normal 11 2 3 2 3 3" xfId="9555"/>
    <cellStyle name="Normal 11 2 3 2 3 3 2" xfId="21903"/>
    <cellStyle name="Normal 11 2 3 2 3 4" xfId="15677"/>
    <cellStyle name="Normal 11 2 3 2 4" xfId="3263"/>
    <cellStyle name="Normal 11 2 3 2 4 2" xfId="3264"/>
    <cellStyle name="Normal 11 2 3 2 4 2 2" xfId="9558"/>
    <cellStyle name="Normal 11 2 3 2 4 2 2 2" xfId="21906"/>
    <cellStyle name="Normal 11 2 3 2 4 2 3" xfId="15680"/>
    <cellStyle name="Normal 11 2 3 2 4 3" xfId="9557"/>
    <cellStyle name="Normal 11 2 3 2 4 3 2" xfId="21905"/>
    <cellStyle name="Normal 11 2 3 2 4 4" xfId="15679"/>
    <cellStyle name="Normal 11 2 3 2 5" xfId="3265"/>
    <cellStyle name="Normal 11 2 3 2 5 2" xfId="9559"/>
    <cellStyle name="Normal 11 2 3 2 5 2 2" xfId="21907"/>
    <cellStyle name="Normal 11 2 3 2 5 3" xfId="15681"/>
    <cellStyle name="Normal 11 2 3 2 6" xfId="9548"/>
    <cellStyle name="Normal 11 2 3 2 6 2" xfId="21896"/>
    <cellStyle name="Normal 11 2 3 2 7" xfId="15670"/>
    <cellStyle name="Normal 11 2 3 3" xfId="3266"/>
    <cellStyle name="Normal 11 2 3 3 2" xfId="3267"/>
    <cellStyle name="Normal 11 2 3 3 2 2" xfId="3268"/>
    <cellStyle name="Normal 11 2 3 3 2 2 2" xfId="9562"/>
    <cellStyle name="Normal 11 2 3 3 2 2 2 2" xfId="21910"/>
    <cellStyle name="Normal 11 2 3 3 2 2 3" xfId="15684"/>
    <cellStyle name="Normal 11 2 3 3 2 3" xfId="9561"/>
    <cellStyle name="Normal 11 2 3 3 2 3 2" xfId="21909"/>
    <cellStyle name="Normal 11 2 3 3 2 4" xfId="15683"/>
    <cellStyle name="Normal 11 2 3 3 3" xfId="3269"/>
    <cellStyle name="Normal 11 2 3 3 3 2" xfId="3270"/>
    <cellStyle name="Normal 11 2 3 3 3 2 2" xfId="9564"/>
    <cellStyle name="Normal 11 2 3 3 3 2 2 2" xfId="21912"/>
    <cellStyle name="Normal 11 2 3 3 3 2 3" xfId="15686"/>
    <cellStyle name="Normal 11 2 3 3 3 3" xfId="9563"/>
    <cellStyle name="Normal 11 2 3 3 3 3 2" xfId="21911"/>
    <cellStyle name="Normal 11 2 3 3 3 4" xfId="15685"/>
    <cellStyle name="Normal 11 2 3 3 4" xfId="3271"/>
    <cellStyle name="Normal 11 2 3 3 4 2" xfId="9565"/>
    <cellStyle name="Normal 11 2 3 3 4 2 2" xfId="21913"/>
    <cellStyle name="Normal 11 2 3 3 4 3" xfId="15687"/>
    <cellStyle name="Normal 11 2 3 3 5" xfId="9560"/>
    <cellStyle name="Normal 11 2 3 3 5 2" xfId="21908"/>
    <cellStyle name="Normal 11 2 3 3 6" xfId="15682"/>
    <cellStyle name="Normal 11 2 3 4" xfId="3272"/>
    <cellStyle name="Normal 11 2 3 4 2" xfId="3273"/>
    <cellStyle name="Normal 11 2 3 4 2 2" xfId="9567"/>
    <cellStyle name="Normal 11 2 3 4 2 2 2" xfId="21915"/>
    <cellStyle name="Normal 11 2 3 4 2 3" xfId="15689"/>
    <cellStyle name="Normal 11 2 3 4 3" xfId="9566"/>
    <cellStyle name="Normal 11 2 3 4 3 2" xfId="21914"/>
    <cellStyle name="Normal 11 2 3 4 4" xfId="15688"/>
    <cellStyle name="Normal 11 2 3 5" xfId="3274"/>
    <cellStyle name="Normal 11 2 3 5 2" xfId="3275"/>
    <cellStyle name="Normal 11 2 3 5 2 2" xfId="9569"/>
    <cellStyle name="Normal 11 2 3 5 2 2 2" xfId="21917"/>
    <cellStyle name="Normal 11 2 3 5 2 3" xfId="15691"/>
    <cellStyle name="Normal 11 2 3 5 3" xfId="9568"/>
    <cellStyle name="Normal 11 2 3 5 3 2" xfId="21916"/>
    <cellStyle name="Normal 11 2 3 5 4" xfId="15690"/>
    <cellStyle name="Normal 11 2 3 6" xfId="3276"/>
    <cellStyle name="Normal 11 2 3 6 2" xfId="9570"/>
    <cellStyle name="Normal 11 2 3 6 2 2" xfId="21918"/>
    <cellStyle name="Normal 11 2 3 6 3" xfId="15692"/>
    <cellStyle name="Normal 11 2 4" xfId="3277"/>
    <cellStyle name="Normal 11 2 4 2" xfId="3278"/>
    <cellStyle name="Normal 11 2 4 2 2" xfId="3279"/>
    <cellStyle name="Normal 11 2 4 2 2 2" xfId="3280"/>
    <cellStyle name="Normal 11 2 4 2 2 2 2" xfId="9574"/>
    <cellStyle name="Normal 11 2 4 2 2 2 2 2" xfId="21922"/>
    <cellStyle name="Normal 11 2 4 2 2 2 3" xfId="15696"/>
    <cellStyle name="Normal 11 2 4 2 2 3" xfId="9573"/>
    <cellStyle name="Normal 11 2 4 2 2 3 2" xfId="21921"/>
    <cellStyle name="Normal 11 2 4 2 2 4" xfId="15695"/>
    <cellStyle name="Normal 11 2 4 2 3" xfId="3281"/>
    <cellStyle name="Normal 11 2 4 2 3 2" xfId="3282"/>
    <cellStyle name="Normal 11 2 4 2 3 2 2" xfId="9576"/>
    <cellStyle name="Normal 11 2 4 2 3 2 2 2" xfId="21924"/>
    <cellStyle name="Normal 11 2 4 2 3 2 3" xfId="15698"/>
    <cellStyle name="Normal 11 2 4 2 3 3" xfId="9575"/>
    <cellStyle name="Normal 11 2 4 2 3 3 2" xfId="21923"/>
    <cellStyle name="Normal 11 2 4 2 3 4" xfId="15697"/>
    <cellStyle name="Normal 11 2 4 2 4" xfId="3283"/>
    <cellStyle name="Normal 11 2 4 2 4 2" xfId="9577"/>
    <cellStyle name="Normal 11 2 4 2 4 2 2" xfId="21925"/>
    <cellStyle name="Normal 11 2 4 2 4 3" xfId="15699"/>
    <cellStyle name="Normal 11 2 4 2 5" xfId="9572"/>
    <cellStyle name="Normal 11 2 4 2 5 2" xfId="21920"/>
    <cellStyle name="Normal 11 2 4 2 6" xfId="15694"/>
    <cellStyle name="Normal 11 2 4 3" xfId="3284"/>
    <cellStyle name="Normal 11 2 4 3 2" xfId="3285"/>
    <cellStyle name="Normal 11 2 4 3 2 2" xfId="9579"/>
    <cellStyle name="Normal 11 2 4 3 2 2 2" xfId="21927"/>
    <cellStyle name="Normal 11 2 4 3 2 3" xfId="15701"/>
    <cellStyle name="Normal 11 2 4 3 3" xfId="9578"/>
    <cellStyle name="Normal 11 2 4 3 3 2" xfId="21926"/>
    <cellStyle name="Normal 11 2 4 3 4" xfId="15700"/>
    <cellStyle name="Normal 11 2 4 4" xfId="3286"/>
    <cellStyle name="Normal 11 2 4 4 2" xfId="3287"/>
    <cellStyle name="Normal 11 2 4 4 2 2" xfId="9581"/>
    <cellStyle name="Normal 11 2 4 4 2 2 2" xfId="21929"/>
    <cellStyle name="Normal 11 2 4 4 2 3" xfId="15703"/>
    <cellStyle name="Normal 11 2 4 4 3" xfId="9580"/>
    <cellStyle name="Normal 11 2 4 4 3 2" xfId="21928"/>
    <cellStyle name="Normal 11 2 4 4 4" xfId="15702"/>
    <cellStyle name="Normal 11 2 4 5" xfId="3288"/>
    <cellStyle name="Normal 11 2 4 5 2" xfId="9582"/>
    <cellStyle name="Normal 11 2 4 5 2 2" xfId="21930"/>
    <cellStyle name="Normal 11 2 4 5 3" xfId="15704"/>
    <cellStyle name="Normal 11 2 4 6" xfId="9571"/>
    <cellStyle name="Normal 11 2 4 6 2" xfId="21919"/>
    <cellStyle name="Normal 11 2 4 7" xfId="15693"/>
    <cellStyle name="Normal 11 2 5" xfId="3289"/>
    <cellStyle name="Normal 11 2 5 2" xfId="3290"/>
    <cellStyle name="Normal 11 2 5 2 2" xfId="3291"/>
    <cellStyle name="Normal 11 2 5 2 2 2" xfId="9585"/>
    <cellStyle name="Normal 11 2 5 2 2 2 2" xfId="21933"/>
    <cellStyle name="Normal 11 2 5 2 2 3" xfId="15707"/>
    <cellStyle name="Normal 11 2 5 2 3" xfId="9584"/>
    <cellStyle name="Normal 11 2 5 2 3 2" xfId="21932"/>
    <cellStyle name="Normal 11 2 5 2 4" xfId="15706"/>
    <cellStyle name="Normal 11 2 5 3" xfId="3292"/>
    <cellStyle name="Normal 11 2 5 3 2" xfId="3293"/>
    <cellStyle name="Normal 11 2 5 3 2 2" xfId="9587"/>
    <cellStyle name="Normal 11 2 5 3 2 2 2" xfId="21935"/>
    <cellStyle name="Normal 11 2 5 3 2 3" xfId="15709"/>
    <cellStyle name="Normal 11 2 5 3 3" xfId="9586"/>
    <cellStyle name="Normal 11 2 5 3 3 2" xfId="21934"/>
    <cellStyle name="Normal 11 2 5 3 4" xfId="15708"/>
    <cellStyle name="Normal 11 2 5 4" xfId="3294"/>
    <cellStyle name="Normal 11 2 5 4 2" xfId="9588"/>
    <cellStyle name="Normal 11 2 5 4 2 2" xfId="21936"/>
    <cellStyle name="Normal 11 2 5 4 3" xfId="15710"/>
    <cellStyle name="Normal 11 2 5 5" xfId="9583"/>
    <cellStyle name="Normal 11 2 5 5 2" xfId="21931"/>
    <cellStyle name="Normal 11 2 5 6" xfId="15705"/>
    <cellStyle name="Normal 11 2 6" xfId="3295"/>
    <cellStyle name="Normal 11 2 6 2" xfId="3296"/>
    <cellStyle name="Normal 11 2 6 2 2" xfId="9590"/>
    <cellStyle name="Normal 11 2 6 2 2 2" xfId="21938"/>
    <cellStyle name="Normal 11 2 6 2 3" xfId="15712"/>
    <cellStyle name="Normal 11 2 6 3" xfId="9589"/>
    <cellStyle name="Normal 11 2 6 3 2" xfId="21937"/>
    <cellStyle name="Normal 11 2 6 4" xfId="15711"/>
    <cellStyle name="Normal 11 2 7" xfId="3297"/>
    <cellStyle name="Normal 11 2 7 2" xfId="3298"/>
    <cellStyle name="Normal 11 2 7 2 2" xfId="9591"/>
    <cellStyle name="Normal 11 2 7 2 2 2" xfId="21939"/>
    <cellStyle name="Normal 11 2 7 2 3" xfId="15713"/>
    <cellStyle name="Normal 11 2 8" xfId="3299"/>
    <cellStyle name="Normal 11 2 8 2" xfId="9592"/>
    <cellStyle name="Normal 11 2 8 2 2" xfId="21940"/>
    <cellStyle name="Normal 11 2 8 3" xfId="15714"/>
    <cellStyle name="Normal 11 2 9" xfId="3300"/>
    <cellStyle name="Normal 11 3" xfId="3301"/>
    <cellStyle name="Normal 11 3 2" xfId="3302"/>
    <cellStyle name="Normal 11 3 2 2" xfId="3303"/>
    <cellStyle name="Normal 11 3 2 2 2" xfId="3304"/>
    <cellStyle name="Normal 11 3 2 2 2 2" xfId="3305"/>
    <cellStyle name="Normal 11 3 2 2 2 2 2" xfId="3306"/>
    <cellStyle name="Normal 11 3 2 2 2 2 2 2" xfId="9598"/>
    <cellStyle name="Normal 11 3 2 2 2 2 2 2 2" xfId="21946"/>
    <cellStyle name="Normal 11 3 2 2 2 2 2 3" xfId="15719"/>
    <cellStyle name="Normal 11 3 2 2 2 2 3" xfId="9597"/>
    <cellStyle name="Normal 11 3 2 2 2 2 3 2" xfId="21945"/>
    <cellStyle name="Normal 11 3 2 2 2 2 4" xfId="15718"/>
    <cellStyle name="Normal 11 3 2 2 2 3" xfId="3307"/>
    <cellStyle name="Normal 11 3 2 2 2 3 2" xfId="3308"/>
    <cellStyle name="Normal 11 3 2 2 2 3 2 2" xfId="9600"/>
    <cellStyle name="Normal 11 3 2 2 2 3 2 2 2" xfId="21948"/>
    <cellStyle name="Normal 11 3 2 2 2 3 2 3" xfId="15721"/>
    <cellStyle name="Normal 11 3 2 2 2 3 3" xfId="9599"/>
    <cellStyle name="Normal 11 3 2 2 2 3 3 2" xfId="21947"/>
    <cellStyle name="Normal 11 3 2 2 2 3 4" xfId="15720"/>
    <cellStyle name="Normal 11 3 2 2 2 4" xfId="3309"/>
    <cellStyle name="Normal 11 3 2 2 2 4 2" xfId="9601"/>
    <cellStyle name="Normal 11 3 2 2 2 4 2 2" xfId="21949"/>
    <cellStyle name="Normal 11 3 2 2 2 4 3" xfId="15722"/>
    <cellStyle name="Normal 11 3 2 2 2 5" xfId="9596"/>
    <cellStyle name="Normal 11 3 2 2 2 5 2" xfId="21944"/>
    <cellStyle name="Normal 11 3 2 2 2 6" xfId="15717"/>
    <cellStyle name="Normal 11 3 2 2 3" xfId="3310"/>
    <cellStyle name="Normal 11 3 2 2 3 2" xfId="3311"/>
    <cellStyle name="Normal 11 3 2 2 3 2 2" xfId="9603"/>
    <cellStyle name="Normal 11 3 2 2 3 2 2 2" xfId="21951"/>
    <cellStyle name="Normal 11 3 2 2 3 2 3" xfId="15724"/>
    <cellStyle name="Normal 11 3 2 2 3 3" xfId="9602"/>
    <cellStyle name="Normal 11 3 2 2 3 3 2" xfId="21950"/>
    <cellStyle name="Normal 11 3 2 2 3 4" xfId="15723"/>
    <cellStyle name="Normal 11 3 2 2 4" xfId="3312"/>
    <cellStyle name="Normal 11 3 2 2 4 2" xfId="3313"/>
    <cellStyle name="Normal 11 3 2 2 4 2 2" xfId="9605"/>
    <cellStyle name="Normal 11 3 2 2 4 2 2 2" xfId="21953"/>
    <cellStyle name="Normal 11 3 2 2 4 2 3" xfId="15726"/>
    <cellStyle name="Normal 11 3 2 2 4 3" xfId="9604"/>
    <cellStyle name="Normal 11 3 2 2 4 3 2" xfId="21952"/>
    <cellStyle name="Normal 11 3 2 2 4 4" xfId="15725"/>
    <cellStyle name="Normal 11 3 2 2 5" xfId="3314"/>
    <cellStyle name="Normal 11 3 2 2 5 2" xfId="9606"/>
    <cellStyle name="Normal 11 3 2 2 5 2 2" xfId="21954"/>
    <cellStyle name="Normal 11 3 2 2 5 3" xfId="15727"/>
    <cellStyle name="Normal 11 3 2 2 6" xfId="9595"/>
    <cellStyle name="Normal 11 3 2 2 6 2" xfId="21943"/>
    <cellStyle name="Normal 11 3 2 2 7" xfId="15716"/>
    <cellStyle name="Normal 11 3 2 3" xfId="3315"/>
    <cellStyle name="Normal 11 3 2 3 2" xfId="3316"/>
    <cellStyle name="Normal 11 3 2 3 2 2" xfId="3317"/>
    <cellStyle name="Normal 11 3 2 3 2 2 2" xfId="9609"/>
    <cellStyle name="Normal 11 3 2 3 2 2 2 2" xfId="21957"/>
    <cellStyle name="Normal 11 3 2 3 2 2 3" xfId="15730"/>
    <cellStyle name="Normal 11 3 2 3 2 3" xfId="9608"/>
    <cellStyle name="Normal 11 3 2 3 2 3 2" xfId="21956"/>
    <cellStyle name="Normal 11 3 2 3 2 4" xfId="15729"/>
    <cellStyle name="Normal 11 3 2 3 3" xfId="3318"/>
    <cellStyle name="Normal 11 3 2 3 3 2" xfId="3319"/>
    <cellStyle name="Normal 11 3 2 3 3 2 2" xfId="9611"/>
    <cellStyle name="Normal 11 3 2 3 3 2 2 2" xfId="21959"/>
    <cellStyle name="Normal 11 3 2 3 3 2 3" xfId="15732"/>
    <cellStyle name="Normal 11 3 2 3 3 3" xfId="9610"/>
    <cellStyle name="Normal 11 3 2 3 3 3 2" xfId="21958"/>
    <cellStyle name="Normal 11 3 2 3 3 4" xfId="15731"/>
    <cellStyle name="Normal 11 3 2 3 4" xfId="3320"/>
    <cellStyle name="Normal 11 3 2 3 4 2" xfId="9612"/>
    <cellStyle name="Normal 11 3 2 3 4 2 2" xfId="21960"/>
    <cellStyle name="Normal 11 3 2 3 4 3" xfId="15733"/>
    <cellStyle name="Normal 11 3 2 3 5" xfId="9607"/>
    <cellStyle name="Normal 11 3 2 3 5 2" xfId="21955"/>
    <cellStyle name="Normal 11 3 2 3 6" xfId="15728"/>
    <cellStyle name="Normal 11 3 2 4" xfId="3321"/>
    <cellStyle name="Normal 11 3 2 4 2" xfId="3322"/>
    <cellStyle name="Normal 11 3 2 4 2 2" xfId="9614"/>
    <cellStyle name="Normal 11 3 2 4 2 2 2" xfId="21962"/>
    <cellStyle name="Normal 11 3 2 4 2 3" xfId="15735"/>
    <cellStyle name="Normal 11 3 2 4 3" xfId="9613"/>
    <cellStyle name="Normal 11 3 2 4 3 2" xfId="21961"/>
    <cellStyle name="Normal 11 3 2 4 4" xfId="15734"/>
    <cellStyle name="Normal 11 3 2 5" xfId="3323"/>
    <cellStyle name="Normal 11 3 2 5 2" xfId="3324"/>
    <cellStyle name="Normal 11 3 2 5 2 2" xfId="9616"/>
    <cellStyle name="Normal 11 3 2 5 2 2 2" xfId="21964"/>
    <cellStyle name="Normal 11 3 2 5 2 3" xfId="15737"/>
    <cellStyle name="Normal 11 3 2 5 3" xfId="9615"/>
    <cellStyle name="Normal 11 3 2 5 3 2" xfId="21963"/>
    <cellStyle name="Normal 11 3 2 5 4" xfId="15736"/>
    <cellStyle name="Normal 11 3 2 6" xfId="3325"/>
    <cellStyle name="Normal 11 3 2 6 2" xfId="9617"/>
    <cellStyle name="Normal 11 3 2 6 2 2" xfId="21965"/>
    <cellStyle name="Normal 11 3 2 6 3" xfId="15738"/>
    <cellStyle name="Normal 11 3 2 7" xfId="9594"/>
    <cellStyle name="Normal 11 3 2 7 2" xfId="21942"/>
    <cellStyle name="Normal 11 3 2 8" xfId="15715"/>
    <cellStyle name="Normal 11 3 3" xfId="3326"/>
    <cellStyle name="Normal 11 3 3 2" xfId="3327"/>
    <cellStyle name="Normal 11 3 3 2 2" xfId="3328"/>
    <cellStyle name="Normal 11 3 3 2 2 2" xfId="3329"/>
    <cellStyle name="Normal 11 3 3 2 2 2 2" xfId="9621"/>
    <cellStyle name="Normal 11 3 3 2 2 2 2 2" xfId="21969"/>
    <cellStyle name="Normal 11 3 3 2 2 2 3" xfId="15742"/>
    <cellStyle name="Normal 11 3 3 2 2 3" xfId="9620"/>
    <cellStyle name="Normal 11 3 3 2 2 3 2" xfId="21968"/>
    <cellStyle name="Normal 11 3 3 2 2 4" xfId="15741"/>
    <cellStyle name="Normal 11 3 3 2 3" xfId="3330"/>
    <cellStyle name="Normal 11 3 3 2 3 2" xfId="3331"/>
    <cellStyle name="Normal 11 3 3 2 3 2 2" xfId="9623"/>
    <cellStyle name="Normal 11 3 3 2 3 2 2 2" xfId="21971"/>
    <cellStyle name="Normal 11 3 3 2 3 2 3" xfId="15744"/>
    <cellStyle name="Normal 11 3 3 2 3 3" xfId="9622"/>
    <cellStyle name="Normal 11 3 3 2 3 3 2" xfId="21970"/>
    <cellStyle name="Normal 11 3 3 2 3 4" xfId="15743"/>
    <cellStyle name="Normal 11 3 3 2 4" xfId="3332"/>
    <cellStyle name="Normal 11 3 3 2 4 2" xfId="9624"/>
    <cellStyle name="Normal 11 3 3 2 4 2 2" xfId="21972"/>
    <cellStyle name="Normal 11 3 3 2 4 3" xfId="15745"/>
    <cellStyle name="Normal 11 3 3 2 5" xfId="9619"/>
    <cellStyle name="Normal 11 3 3 2 5 2" xfId="21967"/>
    <cellStyle name="Normal 11 3 3 2 6" xfId="15740"/>
    <cellStyle name="Normal 11 3 3 3" xfId="3333"/>
    <cellStyle name="Normal 11 3 3 3 2" xfId="3334"/>
    <cellStyle name="Normal 11 3 3 3 2 2" xfId="9626"/>
    <cellStyle name="Normal 11 3 3 3 2 2 2" xfId="21974"/>
    <cellStyle name="Normal 11 3 3 3 2 3" xfId="15747"/>
    <cellStyle name="Normal 11 3 3 3 3" xfId="9625"/>
    <cellStyle name="Normal 11 3 3 3 3 2" xfId="21973"/>
    <cellStyle name="Normal 11 3 3 3 4" xfId="15746"/>
    <cellStyle name="Normal 11 3 3 4" xfId="3335"/>
    <cellStyle name="Normal 11 3 3 4 2" xfId="3336"/>
    <cellStyle name="Normal 11 3 3 4 2 2" xfId="9628"/>
    <cellStyle name="Normal 11 3 3 4 2 2 2" xfId="21976"/>
    <cellStyle name="Normal 11 3 3 4 2 3" xfId="15749"/>
    <cellStyle name="Normal 11 3 3 4 3" xfId="9627"/>
    <cellStyle name="Normal 11 3 3 4 3 2" xfId="21975"/>
    <cellStyle name="Normal 11 3 3 4 4" xfId="15748"/>
    <cellStyle name="Normal 11 3 3 5" xfId="3337"/>
    <cellStyle name="Normal 11 3 3 5 2" xfId="9629"/>
    <cellStyle name="Normal 11 3 3 5 2 2" xfId="21977"/>
    <cellStyle name="Normal 11 3 3 5 3" xfId="15750"/>
    <cellStyle name="Normal 11 3 3 6" xfId="9618"/>
    <cellStyle name="Normal 11 3 3 6 2" xfId="21966"/>
    <cellStyle name="Normal 11 3 3 7" xfId="15739"/>
    <cellStyle name="Normal 11 3 4" xfId="3338"/>
    <cellStyle name="Normal 11 3 4 2" xfId="3339"/>
    <cellStyle name="Normal 11 3 4 2 2" xfId="3340"/>
    <cellStyle name="Normal 11 3 4 2 2 2" xfId="9631"/>
    <cellStyle name="Normal 11 3 4 2 2 2 2" xfId="21979"/>
    <cellStyle name="Normal 11 3 4 2 2 3" xfId="15752"/>
    <cellStyle name="Normal 11 3 4 2 3" xfId="9630"/>
    <cellStyle name="Normal 11 3 4 2 3 2" xfId="21978"/>
    <cellStyle name="Normal 11 3 4 2 4" xfId="15751"/>
    <cellStyle name="Normal 11 3 4 3" xfId="3341"/>
    <cellStyle name="Normal 11 3 4 3 2" xfId="3342"/>
    <cellStyle name="Normal 11 3 4 3 2 2" xfId="9633"/>
    <cellStyle name="Normal 11 3 4 3 2 2 2" xfId="21981"/>
    <cellStyle name="Normal 11 3 4 3 2 3" xfId="15754"/>
    <cellStyle name="Normal 11 3 4 3 3" xfId="9632"/>
    <cellStyle name="Normal 11 3 4 3 3 2" xfId="21980"/>
    <cellStyle name="Normal 11 3 4 3 4" xfId="15753"/>
    <cellStyle name="Normal 11 3 4 4" xfId="3343"/>
    <cellStyle name="Normal 11 3 4 4 2" xfId="9634"/>
    <cellStyle name="Normal 11 3 4 4 2 2" xfId="21982"/>
    <cellStyle name="Normal 11 3 4 4 3" xfId="15755"/>
    <cellStyle name="Normal 11 3 5" xfId="3344"/>
    <cellStyle name="Normal 11 3 5 2" xfId="3345"/>
    <cellStyle name="Normal 11 3 5 2 2" xfId="9636"/>
    <cellStyle name="Normal 11 3 5 2 2 2" xfId="21984"/>
    <cellStyle name="Normal 11 3 5 2 3" xfId="15757"/>
    <cellStyle name="Normal 11 3 5 3" xfId="9635"/>
    <cellStyle name="Normal 11 3 5 3 2" xfId="21983"/>
    <cellStyle name="Normal 11 3 5 4" xfId="15756"/>
    <cellStyle name="Normal 11 3 6" xfId="3346"/>
    <cellStyle name="Normal 11 3 6 2" xfId="3347"/>
    <cellStyle name="Normal 11 3 6 2 2" xfId="9638"/>
    <cellStyle name="Normal 11 3 6 2 2 2" xfId="21986"/>
    <cellStyle name="Normal 11 3 6 2 3" xfId="15759"/>
    <cellStyle name="Normal 11 3 6 3" xfId="9637"/>
    <cellStyle name="Normal 11 3 6 3 2" xfId="21985"/>
    <cellStyle name="Normal 11 3 6 4" xfId="15758"/>
    <cellStyle name="Normal 11 3 7" xfId="3348"/>
    <cellStyle name="Normal 11 3 7 2" xfId="9639"/>
    <cellStyle name="Normal 11 3 7 2 2" xfId="21987"/>
    <cellStyle name="Normal 11 3 7 3" xfId="15760"/>
    <cellStyle name="Normal 11 3 8" xfId="3349"/>
    <cellStyle name="Normal 11 3 8 2" xfId="15761"/>
    <cellStyle name="Normal 11 3 9" xfId="9593"/>
    <cellStyle name="Normal 11 3 9 2" xfId="21941"/>
    <cellStyle name="Normal 11 4" xfId="3350"/>
    <cellStyle name="Normal 11 4 2" xfId="3351"/>
    <cellStyle name="Normal 11 4 2 2" xfId="3352"/>
    <cellStyle name="Normal 11 4 2 2 2" xfId="3353"/>
    <cellStyle name="Normal 11 4 2 2 2 2" xfId="3354"/>
    <cellStyle name="Normal 11 4 2 2 2 2 2" xfId="3355"/>
    <cellStyle name="Normal 11 4 2 2 2 2 2 2" xfId="9645"/>
    <cellStyle name="Normal 11 4 2 2 2 2 2 2 2" xfId="21993"/>
    <cellStyle name="Normal 11 4 2 2 2 2 2 3" xfId="15767"/>
    <cellStyle name="Normal 11 4 2 2 2 2 3" xfId="9644"/>
    <cellStyle name="Normal 11 4 2 2 2 2 3 2" xfId="21992"/>
    <cellStyle name="Normal 11 4 2 2 2 2 4" xfId="15766"/>
    <cellStyle name="Normal 11 4 2 2 2 3" xfId="3356"/>
    <cellStyle name="Normal 11 4 2 2 2 3 2" xfId="3357"/>
    <cellStyle name="Normal 11 4 2 2 2 3 2 2" xfId="9647"/>
    <cellStyle name="Normal 11 4 2 2 2 3 2 2 2" xfId="21995"/>
    <cellStyle name="Normal 11 4 2 2 2 3 2 3" xfId="15769"/>
    <cellStyle name="Normal 11 4 2 2 2 3 3" xfId="9646"/>
    <cellStyle name="Normal 11 4 2 2 2 3 3 2" xfId="21994"/>
    <cellStyle name="Normal 11 4 2 2 2 3 4" xfId="15768"/>
    <cellStyle name="Normal 11 4 2 2 2 4" xfId="3358"/>
    <cellStyle name="Normal 11 4 2 2 2 4 2" xfId="9648"/>
    <cellStyle name="Normal 11 4 2 2 2 4 2 2" xfId="21996"/>
    <cellStyle name="Normal 11 4 2 2 2 4 3" xfId="15770"/>
    <cellStyle name="Normal 11 4 2 2 2 5" xfId="9643"/>
    <cellStyle name="Normal 11 4 2 2 2 5 2" xfId="21991"/>
    <cellStyle name="Normal 11 4 2 2 2 6" xfId="15765"/>
    <cellStyle name="Normal 11 4 2 2 3" xfId="3359"/>
    <cellStyle name="Normal 11 4 2 2 3 2" xfId="3360"/>
    <cellStyle name="Normal 11 4 2 2 3 2 2" xfId="9650"/>
    <cellStyle name="Normal 11 4 2 2 3 2 2 2" xfId="21998"/>
    <cellStyle name="Normal 11 4 2 2 3 2 3" xfId="15772"/>
    <cellStyle name="Normal 11 4 2 2 3 3" xfId="9649"/>
    <cellStyle name="Normal 11 4 2 2 3 3 2" xfId="21997"/>
    <cellStyle name="Normal 11 4 2 2 3 4" xfId="15771"/>
    <cellStyle name="Normal 11 4 2 2 4" xfId="3361"/>
    <cellStyle name="Normal 11 4 2 2 4 2" xfId="3362"/>
    <cellStyle name="Normal 11 4 2 2 4 2 2" xfId="9652"/>
    <cellStyle name="Normal 11 4 2 2 4 2 2 2" xfId="22000"/>
    <cellStyle name="Normal 11 4 2 2 4 2 3" xfId="15774"/>
    <cellStyle name="Normal 11 4 2 2 4 3" xfId="9651"/>
    <cellStyle name="Normal 11 4 2 2 4 3 2" xfId="21999"/>
    <cellStyle name="Normal 11 4 2 2 4 4" xfId="15773"/>
    <cellStyle name="Normal 11 4 2 2 5" xfId="3363"/>
    <cellStyle name="Normal 11 4 2 2 5 2" xfId="9653"/>
    <cellStyle name="Normal 11 4 2 2 5 2 2" xfId="22001"/>
    <cellStyle name="Normal 11 4 2 2 5 3" xfId="15775"/>
    <cellStyle name="Normal 11 4 2 2 6" xfId="9642"/>
    <cellStyle name="Normal 11 4 2 2 6 2" xfId="21990"/>
    <cellStyle name="Normal 11 4 2 2 7" xfId="15764"/>
    <cellStyle name="Normal 11 4 2 3" xfId="3364"/>
    <cellStyle name="Normal 11 4 2 3 2" xfId="3365"/>
    <cellStyle name="Normal 11 4 2 3 2 2" xfId="3366"/>
    <cellStyle name="Normal 11 4 2 3 2 2 2" xfId="9656"/>
    <cellStyle name="Normal 11 4 2 3 2 2 2 2" xfId="22004"/>
    <cellStyle name="Normal 11 4 2 3 2 2 3" xfId="15778"/>
    <cellStyle name="Normal 11 4 2 3 2 3" xfId="9655"/>
    <cellStyle name="Normal 11 4 2 3 2 3 2" xfId="22003"/>
    <cellStyle name="Normal 11 4 2 3 2 4" xfId="15777"/>
    <cellStyle name="Normal 11 4 2 3 3" xfId="3367"/>
    <cellStyle name="Normal 11 4 2 3 3 2" xfId="3368"/>
    <cellStyle name="Normal 11 4 2 3 3 2 2" xfId="9658"/>
    <cellStyle name="Normal 11 4 2 3 3 2 2 2" xfId="22006"/>
    <cellStyle name="Normal 11 4 2 3 3 2 3" xfId="15780"/>
    <cellStyle name="Normal 11 4 2 3 3 3" xfId="9657"/>
    <cellStyle name="Normal 11 4 2 3 3 3 2" xfId="22005"/>
    <cellStyle name="Normal 11 4 2 3 3 4" xfId="15779"/>
    <cellStyle name="Normal 11 4 2 3 4" xfId="3369"/>
    <cellStyle name="Normal 11 4 2 3 4 2" xfId="9659"/>
    <cellStyle name="Normal 11 4 2 3 4 2 2" xfId="22007"/>
    <cellStyle name="Normal 11 4 2 3 4 3" xfId="15781"/>
    <cellStyle name="Normal 11 4 2 3 5" xfId="9654"/>
    <cellStyle name="Normal 11 4 2 3 5 2" xfId="22002"/>
    <cellStyle name="Normal 11 4 2 3 6" xfId="15776"/>
    <cellStyle name="Normal 11 4 2 4" xfId="3370"/>
    <cellStyle name="Normal 11 4 2 4 2" xfId="3371"/>
    <cellStyle name="Normal 11 4 2 4 2 2" xfId="9661"/>
    <cellStyle name="Normal 11 4 2 4 2 2 2" xfId="22009"/>
    <cellStyle name="Normal 11 4 2 4 2 3" xfId="15783"/>
    <cellStyle name="Normal 11 4 2 4 3" xfId="9660"/>
    <cellStyle name="Normal 11 4 2 4 3 2" xfId="22008"/>
    <cellStyle name="Normal 11 4 2 4 4" xfId="15782"/>
    <cellStyle name="Normal 11 4 2 5" xfId="3372"/>
    <cellStyle name="Normal 11 4 2 5 2" xfId="3373"/>
    <cellStyle name="Normal 11 4 2 5 2 2" xfId="9663"/>
    <cellStyle name="Normal 11 4 2 5 2 2 2" xfId="22011"/>
    <cellStyle name="Normal 11 4 2 5 2 3" xfId="15785"/>
    <cellStyle name="Normal 11 4 2 5 3" xfId="9662"/>
    <cellStyle name="Normal 11 4 2 5 3 2" xfId="22010"/>
    <cellStyle name="Normal 11 4 2 5 4" xfId="15784"/>
    <cellStyle name="Normal 11 4 2 6" xfId="3374"/>
    <cellStyle name="Normal 11 4 2 6 2" xfId="9664"/>
    <cellStyle name="Normal 11 4 2 6 2 2" xfId="22012"/>
    <cellStyle name="Normal 11 4 2 6 3" xfId="15786"/>
    <cellStyle name="Normal 11 4 2 7" xfId="9641"/>
    <cellStyle name="Normal 11 4 2 7 2" xfId="21989"/>
    <cellStyle name="Normal 11 4 2 8" xfId="15763"/>
    <cellStyle name="Normal 11 4 3" xfId="3375"/>
    <cellStyle name="Normal 11 4 3 2" xfId="3376"/>
    <cellStyle name="Normal 11 4 3 2 2" xfId="3377"/>
    <cellStyle name="Normal 11 4 3 2 2 2" xfId="3378"/>
    <cellStyle name="Normal 11 4 3 2 2 2 2" xfId="9668"/>
    <cellStyle name="Normal 11 4 3 2 2 2 2 2" xfId="22016"/>
    <cellStyle name="Normal 11 4 3 2 2 2 3" xfId="15790"/>
    <cellStyle name="Normal 11 4 3 2 2 3" xfId="9667"/>
    <cellStyle name="Normal 11 4 3 2 2 3 2" xfId="22015"/>
    <cellStyle name="Normal 11 4 3 2 2 4" xfId="15789"/>
    <cellStyle name="Normal 11 4 3 2 3" xfId="3379"/>
    <cellStyle name="Normal 11 4 3 2 3 2" xfId="3380"/>
    <cellStyle name="Normal 11 4 3 2 3 2 2" xfId="9670"/>
    <cellStyle name="Normal 11 4 3 2 3 2 2 2" xfId="22018"/>
    <cellStyle name="Normal 11 4 3 2 3 2 3" xfId="15792"/>
    <cellStyle name="Normal 11 4 3 2 3 3" xfId="9669"/>
    <cellStyle name="Normal 11 4 3 2 3 3 2" xfId="22017"/>
    <cellStyle name="Normal 11 4 3 2 3 4" xfId="15791"/>
    <cellStyle name="Normal 11 4 3 2 4" xfId="3381"/>
    <cellStyle name="Normal 11 4 3 2 4 2" xfId="9671"/>
    <cellStyle name="Normal 11 4 3 2 4 2 2" xfId="22019"/>
    <cellStyle name="Normal 11 4 3 2 4 3" xfId="15793"/>
    <cellStyle name="Normal 11 4 3 2 5" xfId="9666"/>
    <cellStyle name="Normal 11 4 3 2 5 2" xfId="22014"/>
    <cellStyle name="Normal 11 4 3 2 6" xfId="15788"/>
    <cellStyle name="Normal 11 4 3 3" xfId="3382"/>
    <cellStyle name="Normal 11 4 3 3 2" xfId="3383"/>
    <cellStyle name="Normal 11 4 3 3 2 2" xfId="9673"/>
    <cellStyle name="Normal 11 4 3 3 2 2 2" xfId="22021"/>
    <cellStyle name="Normal 11 4 3 3 2 3" xfId="15795"/>
    <cellStyle name="Normal 11 4 3 3 3" xfId="9672"/>
    <cellStyle name="Normal 11 4 3 3 3 2" xfId="22020"/>
    <cellStyle name="Normal 11 4 3 3 4" xfId="15794"/>
    <cellStyle name="Normal 11 4 3 4" xfId="3384"/>
    <cellStyle name="Normal 11 4 3 4 2" xfId="3385"/>
    <cellStyle name="Normal 11 4 3 4 2 2" xfId="9675"/>
    <cellStyle name="Normal 11 4 3 4 2 2 2" xfId="22023"/>
    <cellStyle name="Normal 11 4 3 4 2 3" xfId="15797"/>
    <cellStyle name="Normal 11 4 3 4 3" xfId="9674"/>
    <cellStyle name="Normal 11 4 3 4 3 2" xfId="22022"/>
    <cellStyle name="Normal 11 4 3 4 4" xfId="15796"/>
    <cellStyle name="Normal 11 4 3 5" xfId="3386"/>
    <cellStyle name="Normal 11 4 3 5 2" xfId="9676"/>
    <cellStyle name="Normal 11 4 3 5 2 2" xfId="22024"/>
    <cellStyle name="Normal 11 4 3 5 3" xfId="15798"/>
    <cellStyle name="Normal 11 4 3 6" xfId="9665"/>
    <cellStyle name="Normal 11 4 3 6 2" xfId="22013"/>
    <cellStyle name="Normal 11 4 3 7" xfId="15787"/>
    <cellStyle name="Normal 11 4 4" xfId="3387"/>
    <cellStyle name="Normal 11 4 4 2" xfId="3388"/>
    <cellStyle name="Normal 11 4 4 2 2" xfId="3389"/>
    <cellStyle name="Normal 11 4 4 2 2 2" xfId="9679"/>
    <cellStyle name="Normal 11 4 4 2 2 2 2" xfId="22027"/>
    <cellStyle name="Normal 11 4 4 2 2 3" xfId="15801"/>
    <cellStyle name="Normal 11 4 4 2 3" xfId="9678"/>
    <cellStyle name="Normal 11 4 4 2 3 2" xfId="22026"/>
    <cellStyle name="Normal 11 4 4 2 4" xfId="15800"/>
    <cellStyle name="Normal 11 4 4 3" xfId="3390"/>
    <cellStyle name="Normal 11 4 4 3 2" xfId="3391"/>
    <cellStyle name="Normal 11 4 4 3 2 2" xfId="9681"/>
    <cellStyle name="Normal 11 4 4 3 2 2 2" xfId="22029"/>
    <cellStyle name="Normal 11 4 4 3 2 3" xfId="15803"/>
    <cellStyle name="Normal 11 4 4 3 3" xfId="9680"/>
    <cellStyle name="Normal 11 4 4 3 3 2" xfId="22028"/>
    <cellStyle name="Normal 11 4 4 3 4" xfId="15802"/>
    <cellStyle name="Normal 11 4 4 4" xfId="3392"/>
    <cellStyle name="Normal 11 4 4 4 2" xfId="9682"/>
    <cellStyle name="Normal 11 4 4 4 2 2" xfId="22030"/>
    <cellStyle name="Normal 11 4 4 4 3" xfId="15804"/>
    <cellStyle name="Normal 11 4 4 5" xfId="9677"/>
    <cellStyle name="Normal 11 4 4 5 2" xfId="22025"/>
    <cellStyle name="Normal 11 4 4 6" xfId="15799"/>
    <cellStyle name="Normal 11 4 5" xfId="3393"/>
    <cellStyle name="Normal 11 4 5 2" xfId="3394"/>
    <cellStyle name="Normal 11 4 5 2 2" xfId="9684"/>
    <cellStyle name="Normal 11 4 5 2 2 2" xfId="22032"/>
    <cellStyle name="Normal 11 4 5 2 3" xfId="15806"/>
    <cellStyle name="Normal 11 4 5 3" xfId="9683"/>
    <cellStyle name="Normal 11 4 5 3 2" xfId="22031"/>
    <cellStyle name="Normal 11 4 5 4" xfId="15805"/>
    <cellStyle name="Normal 11 4 6" xfId="3395"/>
    <cellStyle name="Normal 11 4 6 2" xfId="3396"/>
    <cellStyle name="Normal 11 4 6 2 2" xfId="9686"/>
    <cellStyle name="Normal 11 4 6 2 2 2" xfId="22034"/>
    <cellStyle name="Normal 11 4 6 2 3" xfId="15808"/>
    <cellStyle name="Normal 11 4 6 3" xfId="9685"/>
    <cellStyle name="Normal 11 4 6 3 2" xfId="22033"/>
    <cellStyle name="Normal 11 4 6 4" xfId="15807"/>
    <cellStyle name="Normal 11 4 7" xfId="3397"/>
    <cellStyle name="Normal 11 4 7 2" xfId="9687"/>
    <cellStyle name="Normal 11 4 7 2 2" xfId="22035"/>
    <cellStyle name="Normal 11 4 7 3" xfId="15809"/>
    <cellStyle name="Normal 11 4 8" xfId="9640"/>
    <cellStyle name="Normal 11 4 8 2" xfId="21988"/>
    <cellStyle name="Normal 11 4 9" xfId="15762"/>
    <cellStyle name="Normal 11 5" xfId="3398"/>
    <cellStyle name="Normal 11 5 10" xfId="3399"/>
    <cellStyle name="Normal 11 5 10 2" xfId="3400"/>
    <cellStyle name="Normal 11 5 10 2 2" xfId="9690"/>
    <cellStyle name="Normal 11 5 10 2 2 2" xfId="22038"/>
    <cellStyle name="Normal 11 5 10 2 3" xfId="15812"/>
    <cellStyle name="Normal 11 5 10 3" xfId="3401"/>
    <cellStyle name="Normal 11 5 10 3 2" xfId="9691"/>
    <cellStyle name="Normal 11 5 10 3 2 2" xfId="22039"/>
    <cellStyle name="Normal 11 5 10 3 3" xfId="15813"/>
    <cellStyle name="Normal 11 5 10 4" xfId="9689"/>
    <cellStyle name="Normal 11 5 10 4 2" xfId="22037"/>
    <cellStyle name="Normal 11 5 10 5" xfId="15811"/>
    <cellStyle name="Normal 11 5 11" xfId="3402"/>
    <cellStyle name="Normal 11 5 11 2" xfId="3403"/>
    <cellStyle name="Normal 11 5 11 2 2" xfId="9693"/>
    <cellStyle name="Normal 11 5 11 2 2 2" xfId="22041"/>
    <cellStyle name="Normal 11 5 11 2 3" xfId="15815"/>
    <cellStyle name="Normal 11 5 11 3" xfId="9692"/>
    <cellStyle name="Normal 11 5 11 3 2" xfId="22040"/>
    <cellStyle name="Normal 11 5 11 4" xfId="15814"/>
    <cellStyle name="Normal 11 5 12" xfId="3404"/>
    <cellStyle name="Normal 11 5 12 2" xfId="3405"/>
    <cellStyle name="Normal 11 5 12 2 2" xfId="9695"/>
    <cellStyle name="Normal 11 5 12 2 2 2" xfId="22043"/>
    <cellStyle name="Normal 11 5 12 2 3" xfId="15817"/>
    <cellStyle name="Normal 11 5 12 3" xfId="9694"/>
    <cellStyle name="Normal 11 5 12 3 2" xfId="22042"/>
    <cellStyle name="Normal 11 5 12 4" xfId="15816"/>
    <cellStyle name="Normal 11 5 13" xfId="3406"/>
    <cellStyle name="Normal 11 5 13 2" xfId="9696"/>
    <cellStyle name="Normal 11 5 13 2 2" xfId="22044"/>
    <cellStyle name="Normal 11 5 13 3" xfId="15818"/>
    <cellStyle name="Normal 11 5 14" xfId="3407"/>
    <cellStyle name="Normal 11 5 14 2" xfId="9697"/>
    <cellStyle name="Normal 11 5 14 2 2" xfId="22045"/>
    <cellStyle name="Normal 11 5 14 3" xfId="15819"/>
    <cellStyle name="Normal 11 5 15" xfId="3408"/>
    <cellStyle name="Normal 11 5 15 2" xfId="9698"/>
    <cellStyle name="Normal 11 5 15 2 2" xfId="22046"/>
    <cellStyle name="Normal 11 5 15 3" xfId="15820"/>
    <cellStyle name="Normal 11 5 16" xfId="3409"/>
    <cellStyle name="Normal 11 5 16 2" xfId="9699"/>
    <cellStyle name="Normal 11 5 16 2 2" xfId="22047"/>
    <cellStyle name="Normal 11 5 16 3" xfId="15821"/>
    <cellStyle name="Normal 11 5 17" xfId="3410"/>
    <cellStyle name="Normal 11 5 17 2" xfId="9700"/>
    <cellStyle name="Normal 11 5 17 2 2" xfId="22048"/>
    <cellStyle name="Normal 11 5 17 3" xfId="15822"/>
    <cellStyle name="Normal 11 5 18" xfId="3411"/>
    <cellStyle name="Normal 11 5 18 2" xfId="9701"/>
    <cellStyle name="Normal 11 5 18 2 2" xfId="22049"/>
    <cellStyle name="Normal 11 5 18 3" xfId="15823"/>
    <cellStyle name="Normal 11 5 19" xfId="3412"/>
    <cellStyle name="Normal 11 5 19 2" xfId="3413"/>
    <cellStyle name="Normal 11 5 19 2 2" xfId="9703"/>
    <cellStyle name="Normal 11 5 19 2 2 2" xfId="22051"/>
    <cellStyle name="Normal 11 5 19 2 3" xfId="15825"/>
    <cellStyle name="Normal 11 5 19 3" xfId="3414"/>
    <cellStyle name="Normal 11 5 19 3 2" xfId="9704"/>
    <cellStyle name="Normal 11 5 19 3 2 2" xfId="22052"/>
    <cellStyle name="Normal 11 5 19 3 3" xfId="15826"/>
    <cellStyle name="Normal 11 5 19 4" xfId="3415"/>
    <cellStyle name="Normal 11 5 19 4 2" xfId="9705"/>
    <cellStyle name="Normal 11 5 19 4 2 2" xfId="22053"/>
    <cellStyle name="Normal 11 5 19 4 3" xfId="15827"/>
    <cellStyle name="Normal 11 5 19 5" xfId="3416"/>
    <cellStyle name="Normal 11 5 19 5 2" xfId="9706"/>
    <cellStyle name="Normal 11 5 19 5 2 2" xfId="22054"/>
    <cellStyle name="Normal 11 5 19 5 3" xfId="15828"/>
    <cellStyle name="Normal 11 5 19 6" xfId="3417"/>
    <cellStyle name="Normal 11 5 19 6 2" xfId="9707"/>
    <cellStyle name="Normal 11 5 19 6 2 2" xfId="22055"/>
    <cellStyle name="Normal 11 5 19 6 3" xfId="15829"/>
    <cellStyle name="Normal 11 5 19 7" xfId="9702"/>
    <cellStyle name="Normal 11 5 19 7 2" xfId="22050"/>
    <cellStyle name="Normal 11 5 19 8" xfId="15824"/>
    <cellStyle name="Normal 11 5 2" xfId="3418"/>
    <cellStyle name="Normal 11 5 2 2" xfId="3419"/>
    <cellStyle name="Normal 11 5 2 2 2" xfId="3420"/>
    <cellStyle name="Normal 11 5 2 2 2 2" xfId="3421"/>
    <cellStyle name="Normal 11 5 2 2 2 2 2" xfId="9711"/>
    <cellStyle name="Normal 11 5 2 2 2 2 2 2" xfId="22059"/>
    <cellStyle name="Normal 11 5 2 2 2 2 3" xfId="15833"/>
    <cellStyle name="Normal 11 5 2 2 2 3" xfId="9710"/>
    <cellStyle name="Normal 11 5 2 2 2 3 2" xfId="22058"/>
    <cellStyle name="Normal 11 5 2 2 2 4" xfId="15832"/>
    <cellStyle name="Normal 11 5 2 2 3" xfId="3422"/>
    <cellStyle name="Normal 11 5 2 2 3 2" xfId="3423"/>
    <cellStyle name="Normal 11 5 2 2 3 2 2" xfId="9713"/>
    <cellStyle name="Normal 11 5 2 2 3 2 2 2" xfId="22061"/>
    <cellStyle name="Normal 11 5 2 2 3 2 3" xfId="15835"/>
    <cellStyle name="Normal 11 5 2 2 3 3" xfId="9712"/>
    <cellStyle name="Normal 11 5 2 2 3 3 2" xfId="22060"/>
    <cellStyle name="Normal 11 5 2 2 3 4" xfId="15834"/>
    <cellStyle name="Normal 11 5 2 2 4" xfId="3424"/>
    <cellStyle name="Normal 11 5 2 2 4 2" xfId="9714"/>
    <cellStyle name="Normal 11 5 2 2 4 2 2" xfId="22062"/>
    <cellStyle name="Normal 11 5 2 2 4 3" xfId="15836"/>
    <cellStyle name="Normal 11 5 2 2 5" xfId="3425"/>
    <cellStyle name="Normal 11 5 2 2 5 2" xfId="9715"/>
    <cellStyle name="Normal 11 5 2 2 5 2 2" xfId="22063"/>
    <cellStyle name="Normal 11 5 2 2 5 3" xfId="15837"/>
    <cellStyle name="Normal 11 5 2 2 6" xfId="9709"/>
    <cellStyle name="Normal 11 5 2 2 6 2" xfId="22057"/>
    <cellStyle name="Normal 11 5 2 2 7" xfId="15831"/>
    <cellStyle name="Normal 11 5 2 3" xfId="3426"/>
    <cellStyle name="Normal 11 5 2 3 2" xfId="3427"/>
    <cellStyle name="Normal 11 5 2 3 2 2" xfId="9717"/>
    <cellStyle name="Normal 11 5 2 3 2 2 2" xfId="22065"/>
    <cellStyle name="Normal 11 5 2 3 2 3" xfId="15839"/>
    <cellStyle name="Normal 11 5 2 3 3" xfId="3428"/>
    <cellStyle name="Normal 11 5 2 3 3 2" xfId="9718"/>
    <cellStyle name="Normal 11 5 2 3 3 2 2" xfId="22066"/>
    <cellStyle name="Normal 11 5 2 3 3 3" xfId="15840"/>
    <cellStyle name="Normal 11 5 2 3 4" xfId="9716"/>
    <cellStyle name="Normal 11 5 2 3 4 2" xfId="22064"/>
    <cellStyle name="Normal 11 5 2 3 5" xfId="15838"/>
    <cellStyle name="Normal 11 5 2 4" xfId="3429"/>
    <cellStyle name="Normal 11 5 2 4 2" xfId="3430"/>
    <cellStyle name="Normal 11 5 2 4 2 2" xfId="9720"/>
    <cellStyle name="Normal 11 5 2 4 2 2 2" xfId="22068"/>
    <cellStyle name="Normal 11 5 2 4 2 3" xfId="15842"/>
    <cellStyle name="Normal 11 5 2 4 3" xfId="3431"/>
    <cellStyle name="Normal 11 5 2 4 3 2" xfId="9721"/>
    <cellStyle name="Normal 11 5 2 4 3 2 2" xfId="22069"/>
    <cellStyle name="Normal 11 5 2 4 3 3" xfId="15843"/>
    <cellStyle name="Normal 11 5 2 4 4" xfId="9719"/>
    <cellStyle name="Normal 11 5 2 4 4 2" xfId="22067"/>
    <cellStyle name="Normal 11 5 2 4 5" xfId="15841"/>
    <cellStyle name="Normal 11 5 2 5" xfId="3432"/>
    <cellStyle name="Normal 11 5 2 5 2" xfId="9722"/>
    <cellStyle name="Normal 11 5 2 5 2 2" xfId="22070"/>
    <cellStyle name="Normal 11 5 2 5 3" xfId="15844"/>
    <cellStyle name="Normal 11 5 2 6" xfId="3433"/>
    <cellStyle name="Normal 11 5 2 6 2" xfId="9723"/>
    <cellStyle name="Normal 11 5 2 6 2 2" xfId="22071"/>
    <cellStyle name="Normal 11 5 2 6 3" xfId="15845"/>
    <cellStyle name="Normal 11 5 2 7" xfId="9708"/>
    <cellStyle name="Normal 11 5 2 7 2" xfId="22056"/>
    <cellStyle name="Normal 11 5 2 8" xfId="15830"/>
    <cellStyle name="Normal 11 5 20" xfId="3434"/>
    <cellStyle name="Normal 11 5 20 2" xfId="9724"/>
    <cellStyle name="Normal 11 5 20 2 2" xfId="22072"/>
    <cellStyle name="Normal 11 5 20 3" xfId="15846"/>
    <cellStyle name="Normal 11 5 21" xfId="3435"/>
    <cellStyle name="Normal 11 5 21 2" xfId="9725"/>
    <cellStyle name="Normal 11 5 21 2 2" xfId="22073"/>
    <cellStyle name="Normal 11 5 21 3" xfId="15847"/>
    <cellStyle name="Normal 11 5 22" xfId="3436"/>
    <cellStyle name="Normal 11 5 22 2" xfId="9726"/>
    <cellStyle name="Normal 11 5 22 2 2" xfId="22074"/>
    <cellStyle name="Normal 11 5 22 3" xfId="15848"/>
    <cellStyle name="Normal 11 5 23" xfId="3437"/>
    <cellStyle name="Normal 11 5 23 2" xfId="9727"/>
    <cellStyle name="Normal 11 5 23 2 2" xfId="22075"/>
    <cellStyle name="Normal 11 5 23 3" xfId="15849"/>
    <cellStyle name="Normal 11 5 24" xfId="3438"/>
    <cellStyle name="Normal 11 5 24 2" xfId="9728"/>
    <cellStyle name="Normal 11 5 24 2 2" xfId="22076"/>
    <cellStyle name="Normal 11 5 24 3" xfId="15850"/>
    <cellStyle name="Normal 11 5 25" xfId="3439"/>
    <cellStyle name="Normal 11 5 25 2" xfId="9729"/>
    <cellStyle name="Normal 11 5 25 2 2" xfId="22077"/>
    <cellStyle name="Normal 11 5 25 3" xfId="15851"/>
    <cellStyle name="Normal 11 5 26" xfId="3440"/>
    <cellStyle name="Normal 11 5 26 2" xfId="9730"/>
    <cellStyle name="Normal 11 5 26 2 2" xfId="22078"/>
    <cellStyle name="Normal 11 5 26 3" xfId="15852"/>
    <cellStyle name="Normal 11 5 27" xfId="3441"/>
    <cellStyle name="Normal 11 5 27 2" xfId="9731"/>
    <cellStyle name="Normal 11 5 27 2 2" xfId="22079"/>
    <cellStyle name="Normal 11 5 27 3" xfId="15853"/>
    <cellStyle name="Normal 11 5 28" xfId="3442"/>
    <cellStyle name="Normal 11 5 28 2" xfId="9732"/>
    <cellStyle name="Normal 11 5 28 2 2" xfId="22080"/>
    <cellStyle name="Normal 11 5 28 3" xfId="15854"/>
    <cellStyle name="Normal 11 5 29" xfId="9688"/>
    <cellStyle name="Normal 11 5 29 2" xfId="22036"/>
    <cellStyle name="Normal 11 5 3" xfId="3443"/>
    <cellStyle name="Normal 11 5 3 2" xfId="3444"/>
    <cellStyle name="Normal 11 5 3 2 2" xfId="3445"/>
    <cellStyle name="Normal 11 5 3 2 2 2" xfId="3446"/>
    <cellStyle name="Normal 11 5 3 2 2 2 2" xfId="9736"/>
    <cellStyle name="Normal 11 5 3 2 2 2 2 2" xfId="22084"/>
    <cellStyle name="Normal 11 5 3 2 2 2 3" xfId="15858"/>
    <cellStyle name="Normal 11 5 3 2 2 3" xfId="3447"/>
    <cellStyle name="Normal 11 5 3 2 2 3 2" xfId="9737"/>
    <cellStyle name="Normal 11 5 3 2 2 3 2 2" xfId="22085"/>
    <cellStyle name="Normal 11 5 3 2 2 3 3" xfId="15859"/>
    <cellStyle name="Normal 11 5 3 2 2 4" xfId="9735"/>
    <cellStyle name="Normal 11 5 3 2 2 4 2" xfId="22083"/>
    <cellStyle name="Normal 11 5 3 2 2 5" xfId="15857"/>
    <cellStyle name="Normal 11 5 3 2 3" xfId="3448"/>
    <cellStyle name="Normal 11 5 3 2 3 2" xfId="3449"/>
    <cellStyle name="Normal 11 5 3 2 3 2 2" xfId="9739"/>
    <cellStyle name="Normal 11 5 3 2 3 2 2 2" xfId="22087"/>
    <cellStyle name="Normal 11 5 3 2 3 2 3" xfId="15861"/>
    <cellStyle name="Normal 11 5 3 2 3 3" xfId="3450"/>
    <cellStyle name="Normal 11 5 3 2 3 3 2" xfId="9740"/>
    <cellStyle name="Normal 11 5 3 2 3 3 2 2" xfId="22088"/>
    <cellStyle name="Normal 11 5 3 2 3 3 3" xfId="15862"/>
    <cellStyle name="Normal 11 5 3 2 3 4" xfId="9738"/>
    <cellStyle name="Normal 11 5 3 2 3 4 2" xfId="22086"/>
    <cellStyle name="Normal 11 5 3 2 3 5" xfId="15860"/>
    <cellStyle name="Normal 11 5 3 2 4" xfId="3451"/>
    <cellStyle name="Normal 11 5 3 2 4 2" xfId="9741"/>
    <cellStyle name="Normal 11 5 3 2 4 2 2" xfId="22089"/>
    <cellStyle name="Normal 11 5 3 2 4 3" xfId="15863"/>
    <cellStyle name="Normal 11 5 3 2 5" xfId="3452"/>
    <cellStyle name="Normal 11 5 3 2 5 2" xfId="9742"/>
    <cellStyle name="Normal 11 5 3 2 5 2 2" xfId="22090"/>
    <cellStyle name="Normal 11 5 3 2 5 3" xfId="15864"/>
    <cellStyle name="Normal 11 5 3 2 6" xfId="9734"/>
    <cellStyle name="Normal 11 5 3 2 6 2" xfId="22082"/>
    <cellStyle name="Normal 11 5 3 2 7" xfId="15856"/>
    <cellStyle name="Normal 11 5 3 3" xfId="3453"/>
    <cellStyle name="Normal 11 5 3 3 2" xfId="3454"/>
    <cellStyle name="Normal 11 5 3 3 2 2" xfId="9744"/>
    <cellStyle name="Normal 11 5 3 3 2 2 2" xfId="22092"/>
    <cellStyle name="Normal 11 5 3 3 2 3" xfId="15866"/>
    <cellStyle name="Normal 11 5 3 3 3" xfId="3455"/>
    <cellStyle name="Normal 11 5 3 3 3 2" xfId="9745"/>
    <cellStyle name="Normal 11 5 3 3 3 2 2" xfId="22093"/>
    <cellStyle name="Normal 11 5 3 3 3 3" xfId="15867"/>
    <cellStyle name="Normal 11 5 3 3 4" xfId="3456"/>
    <cellStyle name="Normal 11 5 3 3 4 2" xfId="9746"/>
    <cellStyle name="Normal 11 5 3 3 4 2 2" xfId="22094"/>
    <cellStyle name="Normal 11 5 3 3 4 3" xfId="15868"/>
    <cellStyle name="Normal 11 5 3 3 5" xfId="3457"/>
    <cellStyle name="Normal 11 5 3 3 5 2" xfId="9747"/>
    <cellStyle name="Normal 11 5 3 3 5 2 2" xfId="22095"/>
    <cellStyle name="Normal 11 5 3 3 5 3" xfId="15869"/>
    <cellStyle name="Normal 11 5 3 3 6" xfId="9743"/>
    <cellStyle name="Normal 11 5 3 3 6 2" xfId="22091"/>
    <cellStyle name="Normal 11 5 3 3 7" xfId="15865"/>
    <cellStyle name="Normal 11 5 3 4" xfId="3458"/>
    <cellStyle name="Normal 11 5 3 4 2" xfId="3459"/>
    <cellStyle name="Normal 11 5 3 4 2 2" xfId="9749"/>
    <cellStyle name="Normal 11 5 3 4 2 2 2" xfId="22097"/>
    <cellStyle name="Normal 11 5 3 4 2 3" xfId="15871"/>
    <cellStyle name="Normal 11 5 3 4 3" xfId="3460"/>
    <cellStyle name="Normal 11 5 3 4 3 2" xfId="9750"/>
    <cellStyle name="Normal 11 5 3 4 3 2 2" xfId="22098"/>
    <cellStyle name="Normal 11 5 3 4 3 3" xfId="15872"/>
    <cellStyle name="Normal 11 5 3 4 4" xfId="9748"/>
    <cellStyle name="Normal 11 5 3 4 4 2" xfId="22096"/>
    <cellStyle name="Normal 11 5 3 4 5" xfId="15870"/>
    <cellStyle name="Normal 11 5 3 5" xfId="3461"/>
    <cellStyle name="Normal 11 5 3 5 2" xfId="3462"/>
    <cellStyle name="Normal 11 5 3 5 2 2" xfId="9752"/>
    <cellStyle name="Normal 11 5 3 5 2 2 2" xfId="22100"/>
    <cellStyle name="Normal 11 5 3 5 2 3" xfId="15874"/>
    <cellStyle name="Normal 11 5 3 5 3" xfId="3463"/>
    <cellStyle name="Normal 11 5 3 5 3 2" xfId="9753"/>
    <cellStyle name="Normal 11 5 3 5 3 2 2" xfId="22101"/>
    <cellStyle name="Normal 11 5 3 5 3 3" xfId="15875"/>
    <cellStyle name="Normal 11 5 3 5 4" xfId="9751"/>
    <cellStyle name="Normal 11 5 3 5 4 2" xfId="22099"/>
    <cellStyle name="Normal 11 5 3 5 5" xfId="15873"/>
    <cellStyle name="Normal 11 5 3 6" xfId="3464"/>
    <cellStyle name="Normal 11 5 3 6 2" xfId="9754"/>
    <cellStyle name="Normal 11 5 3 6 2 2" xfId="22102"/>
    <cellStyle name="Normal 11 5 3 6 3" xfId="15876"/>
    <cellStyle name="Normal 11 5 3 7" xfId="3465"/>
    <cellStyle name="Normal 11 5 3 7 2" xfId="9755"/>
    <cellStyle name="Normal 11 5 3 7 2 2" xfId="22103"/>
    <cellStyle name="Normal 11 5 3 7 3" xfId="15877"/>
    <cellStyle name="Normal 11 5 3 8" xfId="9733"/>
    <cellStyle name="Normal 11 5 3 8 2" xfId="22081"/>
    <cellStyle name="Normal 11 5 3 9" xfId="15855"/>
    <cellStyle name="Normal 11 5 30" xfId="15810"/>
    <cellStyle name="Normal 11 5 4" xfId="3466"/>
    <cellStyle name="Normal 11 5 4 2" xfId="3467"/>
    <cellStyle name="Normal 11 5 4 2 2" xfId="3468"/>
    <cellStyle name="Normal 11 5 4 2 2 2" xfId="9758"/>
    <cellStyle name="Normal 11 5 4 2 2 2 2" xfId="22106"/>
    <cellStyle name="Normal 11 5 4 2 2 3" xfId="15880"/>
    <cellStyle name="Normal 11 5 4 2 3" xfId="3469"/>
    <cellStyle name="Normal 11 5 4 2 3 2" xfId="9759"/>
    <cellStyle name="Normal 11 5 4 2 3 2 2" xfId="22107"/>
    <cellStyle name="Normal 11 5 4 2 3 3" xfId="15881"/>
    <cellStyle name="Normal 11 5 4 2 4" xfId="3470"/>
    <cellStyle name="Normal 11 5 4 2 4 2" xfId="9760"/>
    <cellStyle name="Normal 11 5 4 2 4 2 2" xfId="22108"/>
    <cellStyle name="Normal 11 5 4 2 4 3" xfId="15882"/>
    <cellStyle name="Normal 11 5 4 2 5" xfId="3471"/>
    <cellStyle name="Normal 11 5 4 2 5 2" xfId="9761"/>
    <cellStyle name="Normal 11 5 4 2 5 2 2" xfId="22109"/>
    <cellStyle name="Normal 11 5 4 2 5 3" xfId="15883"/>
    <cellStyle name="Normal 11 5 4 2 6" xfId="9757"/>
    <cellStyle name="Normal 11 5 4 2 6 2" xfId="22105"/>
    <cellStyle name="Normal 11 5 4 2 7" xfId="15879"/>
    <cellStyle name="Normal 11 5 4 3" xfId="3472"/>
    <cellStyle name="Normal 11 5 4 3 2" xfId="3473"/>
    <cellStyle name="Normal 11 5 4 3 2 2" xfId="9763"/>
    <cellStyle name="Normal 11 5 4 3 2 2 2" xfId="22111"/>
    <cellStyle name="Normal 11 5 4 3 2 3" xfId="15885"/>
    <cellStyle name="Normal 11 5 4 3 3" xfId="3474"/>
    <cellStyle name="Normal 11 5 4 3 3 2" xfId="9764"/>
    <cellStyle name="Normal 11 5 4 3 3 2 2" xfId="22112"/>
    <cellStyle name="Normal 11 5 4 3 3 3" xfId="15886"/>
    <cellStyle name="Normal 11 5 4 3 4" xfId="9762"/>
    <cellStyle name="Normal 11 5 4 3 4 2" xfId="22110"/>
    <cellStyle name="Normal 11 5 4 3 5" xfId="15884"/>
    <cellStyle name="Normal 11 5 4 4" xfId="3475"/>
    <cellStyle name="Normal 11 5 4 4 2" xfId="3476"/>
    <cellStyle name="Normal 11 5 4 4 2 2" xfId="9766"/>
    <cellStyle name="Normal 11 5 4 4 2 2 2" xfId="22114"/>
    <cellStyle name="Normal 11 5 4 4 2 3" xfId="15888"/>
    <cellStyle name="Normal 11 5 4 4 3" xfId="3477"/>
    <cellStyle name="Normal 11 5 4 4 3 2" xfId="9767"/>
    <cellStyle name="Normal 11 5 4 4 3 2 2" xfId="22115"/>
    <cellStyle name="Normal 11 5 4 4 3 3" xfId="15889"/>
    <cellStyle name="Normal 11 5 4 4 4" xfId="9765"/>
    <cellStyle name="Normal 11 5 4 4 4 2" xfId="22113"/>
    <cellStyle name="Normal 11 5 4 4 5" xfId="15887"/>
    <cellStyle name="Normal 11 5 4 5" xfId="3478"/>
    <cellStyle name="Normal 11 5 4 5 2" xfId="9768"/>
    <cellStyle name="Normal 11 5 4 5 2 2" xfId="22116"/>
    <cellStyle name="Normal 11 5 4 5 3" xfId="15890"/>
    <cellStyle name="Normal 11 5 4 6" xfId="3479"/>
    <cellStyle name="Normal 11 5 4 6 2" xfId="9769"/>
    <cellStyle name="Normal 11 5 4 6 2 2" xfId="22117"/>
    <cellStyle name="Normal 11 5 4 6 3" xfId="15891"/>
    <cellStyle name="Normal 11 5 4 7" xfId="9756"/>
    <cellStyle name="Normal 11 5 4 7 2" xfId="22104"/>
    <cellStyle name="Normal 11 5 4 8" xfId="15878"/>
    <cellStyle name="Normal 11 5 5" xfId="3480"/>
    <cellStyle name="Normal 11 5 5 2" xfId="3481"/>
    <cellStyle name="Normal 11 5 5 2 2" xfId="3482"/>
    <cellStyle name="Normal 11 5 5 2 2 2" xfId="9772"/>
    <cellStyle name="Normal 11 5 5 2 2 2 2" xfId="22120"/>
    <cellStyle name="Normal 11 5 5 2 2 3" xfId="15894"/>
    <cellStyle name="Normal 11 5 5 2 3" xfId="3483"/>
    <cellStyle name="Normal 11 5 5 2 3 2" xfId="9773"/>
    <cellStyle name="Normal 11 5 5 2 3 2 2" xfId="22121"/>
    <cellStyle name="Normal 11 5 5 2 3 3" xfId="15895"/>
    <cellStyle name="Normal 11 5 5 2 4" xfId="3484"/>
    <cellStyle name="Normal 11 5 5 2 4 2" xfId="9774"/>
    <cellStyle name="Normal 11 5 5 2 4 2 2" xfId="22122"/>
    <cellStyle name="Normal 11 5 5 2 4 3" xfId="15896"/>
    <cellStyle name="Normal 11 5 5 2 5" xfId="3485"/>
    <cellStyle name="Normal 11 5 5 2 5 2" xfId="9775"/>
    <cellStyle name="Normal 11 5 5 2 5 2 2" xfId="22123"/>
    <cellStyle name="Normal 11 5 5 2 5 3" xfId="15897"/>
    <cellStyle name="Normal 11 5 5 2 6" xfId="9771"/>
    <cellStyle name="Normal 11 5 5 2 6 2" xfId="22119"/>
    <cellStyle name="Normal 11 5 5 2 7" xfId="15893"/>
    <cellStyle name="Normal 11 5 5 3" xfId="3486"/>
    <cellStyle name="Normal 11 5 5 3 2" xfId="3487"/>
    <cellStyle name="Normal 11 5 5 3 2 2" xfId="9777"/>
    <cellStyle name="Normal 11 5 5 3 2 2 2" xfId="22125"/>
    <cellStyle name="Normal 11 5 5 3 2 3" xfId="15899"/>
    <cellStyle name="Normal 11 5 5 3 3" xfId="3488"/>
    <cellStyle name="Normal 11 5 5 3 3 2" xfId="9778"/>
    <cellStyle name="Normal 11 5 5 3 3 2 2" xfId="22126"/>
    <cellStyle name="Normal 11 5 5 3 3 3" xfId="15900"/>
    <cellStyle name="Normal 11 5 5 3 4" xfId="9776"/>
    <cellStyle name="Normal 11 5 5 3 4 2" xfId="22124"/>
    <cellStyle name="Normal 11 5 5 3 5" xfId="15898"/>
    <cellStyle name="Normal 11 5 5 4" xfId="3489"/>
    <cellStyle name="Normal 11 5 5 4 2" xfId="3490"/>
    <cellStyle name="Normal 11 5 5 4 2 2" xfId="9780"/>
    <cellStyle name="Normal 11 5 5 4 2 2 2" xfId="22128"/>
    <cellStyle name="Normal 11 5 5 4 2 3" xfId="15902"/>
    <cellStyle name="Normal 11 5 5 4 3" xfId="3491"/>
    <cellStyle name="Normal 11 5 5 4 3 2" xfId="9781"/>
    <cellStyle name="Normal 11 5 5 4 3 2 2" xfId="22129"/>
    <cellStyle name="Normal 11 5 5 4 3 3" xfId="15903"/>
    <cellStyle name="Normal 11 5 5 4 4" xfId="9779"/>
    <cellStyle name="Normal 11 5 5 4 4 2" xfId="22127"/>
    <cellStyle name="Normal 11 5 5 4 5" xfId="15901"/>
    <cellStyle name="Normal 11 5 5 5" xfId="3492"/>
    <cellStyle name="Normal 11 5 5 5 2" xfId="9782"/>
    <cellStyle name="Normal 11 5 5 5 2 2" xfId="22130"/>
    <cellStyle name="Normal 11 5 5 5 3" xfId="15904"/>
    <cellStyle name="Normal 11 5 5 6" xfId="3493"/>
    <cellStyle name="Normal 11 5 5 6 2" xfId="9783"/>
    <cellStyle name="Normal 11 5 5 6 2 2" xfId="22131"/>
    <cellStyle name="Normal 11 5 5 6 3" xfId="15905"/>
    <cellStyle name="Normal 11 5 5 7" xfId="9770"/>
    <cellStyle name="Normal 11 5 5 7 2" xfId="22118"/>
    <cellStyle name="Normal 11 5 5 8" xfId="15892"/>
    <cellStyle name="Normal 11 5 6" xfId="3494"/>
    <cellStyle name="Normal 11 5 6 2" xfId="3495"/>
    <cellStyle name="Normal 11 5 6 2 2" xfId="3496"/>
    <cellStyle name="Normal 11 5 6 2 2 2" xfId="9786"/>
    <cellStyle name="Normal 11 5 6 2 2 2 2" xfId="22134"/>
    <cellStyle name="Normal 11 5 6 2 2 3" xfId="15908"/>
    <cellStyle name="Normal 11 5 6 2 3" xfId="3497"/>
    <cellStyle name="Normal 11 5 6 2 3 2" xfId="9787"/>
    <cellStyle name="Normal 11 5 6 2 3 2 2" xfId="22135"/>
    <cellStyle name="Normal 11 5 6 2 3 3" xfId="15909"/>
    <cellStyle name="Normal 11 5 6 2 4" xfId="3498"/>
    <cellStyle name="Normal 11 5 6 2 4 2" xfId="9788"/>
    <cellStyle name="Normal 11 5 6 2 4 2 2" xfId="22136"/>
    <cellStyle name="Normal 11 5 6 2 4 3" xfId="15910"/>
    <cellStyle name="Normal 11 5 6 2 5" xfId="3499"/>
    <cellStyle name="Normal 11 5 6 2 5 2" xfId="9789"/>
    <cellStyle name="Normal 11 5 6 2 5 2 2" xfId="22137"/>
    <cellStyle name="Normal 11 5 6 2 5 3" xfId="15911"/>
    <cellStyle name="Normal 11 5 6 2 6" xfId="9785"/>
    <cellStyle name="Normal 11 5 6 2 6 2" xfId="22133"/>
    <cellStyle name="Normal 11 5 6 2 7" xfId="15907"/>
    <cellStyle name="Normal 11 5 6 3" xfId="3500"/>
    <cellStyle name="Normal 11 5 6 3 2" xfId="3501"/>
    <cellStyle name="Normal 11 5 6 3 2 2" xfId="9791"/>
    <cellStyle name="Normal 11 5 6 3 2 2 2" xfId="22139"/>
    <cellStyle name="Normal 11 5 6 3 2 3" xfId="15913"/>
    <cellStyle name="Normal 11 5 6 3 3" xfId="3502"/>
    <cellStyle name="Normal 11 5 6 3 3 2" xfId="9792"/>
    <cellStyle name="Normal 11 5 6 3 3 2 2" xfId="22140"/>
    <cellStyle name="Normal 11 5 6 3 3 3" xfId="15914"/>
    <cellStyle name="Normal 11 5 6 3 4" xfId="9790"/>
    <cellStyle name="Normal 11 5 6 3 4 2" xfId="22138"/>
    <cellStyle name="Normal 11 5 6 3 5" xfId="15912"/>
    <cellStyle name="Normal 11 5 6 4" xfId="3503"/>
    <cellStyle name="Normal 11 5 6 4 2" xfId="3504"/>
    <cellStyle name="Normal 11 5 6 4 2 2" xfId="9794"/>
    <cellStyle name="Normal 11 5 6 4 2 2 2" xfId="22142"/>
    <cellStyle name="Normal 11 5 6 4 2 3" xfId="15916"/>
    <cellStyle name="Normal 11 5 6 4 3" xfId="3505"/>
    <cellStyle name="Normal 11 5 6 4 3 2" xfId="9795"/>
    <cellStyle name="Normal 11 5 6 4 3 2 2" xfId="22143"/>
    <cellStyle name="Normal 11 5 6 4 3 3" xfId="15917"/>
    <cellStyle name="Normal 11 5 6 4 4" xfId="9793"/>
    <cellStyle name="Normal 11 5 6 4 4 2" xfId="22141"/>
    <cellStyle name="Normal 11 5 6 4 5" xfId="15915"/>
    <cellStyle name="Normal 11 5 6 5" xfId="3506"/>
    <cellStyle name="Normal 11 5 6 5 2" xfId="3507"/>
    <cellStyle name="Normal 11 5 6 5 2 2" xfId="9797"/>
    <cellStyle name="Normal 11 5 6 5 2 2 2" xfId="22145"/>
    <cellStyle name="Normal 11 5 6 5 2 3" xfId="15919"/>
    <cellStyle name="Normal 11 5 6 5 3" xfId="9796"/>
    <cellStyle name="Normal 11 5 6 5 3 2" xfId="22144"/>
    <cellStyle name="Normal 11 5 6 5 4" xfId="15918"/>
    <cellStyle name="Normal 11 5 6 6" xfId="3508"/>
    <cellStyle name="Normal 11 5 6 6 2" xfId="9798"/>
    <cellStyle name="Normal 11 5 6 6 2 2" xfId="22146"/>
    <cellStyle name="Normal 11 5 6 6 3" xfId="15920"/>
    <cellStyle name="Normal 11 5 6 7" xfId="3509"/>
    <cellStyle name="Normal 11 5 6 7 2" xfId="9799"/>
    <cellStyle name="Normal 11 5 6 7 2 2" xfId="22147"/>
    <cellStyle name="Normal 11 5 6 7 3" xfId="15921"/>
    <cellStyle name="Normal 11 5 6 8" xfId="9784"/>
    <cellStyle name="Normal 11 5 6 8 2" xfId="22132"/>
    <cellStyle name="Normal 11 5 6 9" xfId="15906"/>
    <cellStyle name="Normal 11 5 7" xfId="3510"/>
    <cellStyle name="Normal 11 5 7 2" xfId="3511"/>
    <cellStyle name="Normal 11 5 7 2 2" xfId="3512"/>
    <cellStyle name="Normal 11 5 7 2 2 2" xfId="9802"/>
    <cellStyle name="Normal 11 5 7 2 2 2 2" xfId="22150"/>
    <cellStyle name="Normal 11 5 7 2 2 3" xfId="15924"/>
    <cellStyle name="Normal 11 5 7 2 3" xfId="3513"/>
    <cellStyle name="Normal 11 5 7 2 3 2" xfId="9803"/>
    <cellStyle name="Normal 11 5 7 2 3 2 2" xfId="22151"/>
    <cellStyle name="Normal 11 5 7 2 3 3" xfId="15925"/>
    <cellStyle name="Normal 11 5 7 2 4" xfId="9801"/>
    <cellStyle name="Normal 11 5 7 2 4 2" xfId="22149"/>
    <cellStyle name="Normal 11 5 7 2 5" xfId="15923"/>
    <cellStyle name="Normal 11 5 7 3" xfId="3514"/>
    <cellStyle name="Normal 11 5 7 3 2" xfId="3515"/>
    <cellStyle name="Normal 11 5 7 3 2 2" xfId="9805"/>
    <cellStyle name="Normal 11 5 7 3 2 2 2" xfId="22153"/>
    <cellStyle name="Normal 11 5 7 3 2 3" xfId="15927"/>
    <cellStyle name="Normal 11 5 7 3 3" xfId="3516"/>
    <cellStyle name="Normal 11 5 7 3 3 2" xfId="9806"/>
    <cellStyle name="Normal 11 5 7 3 3 2 2" xfId="22154"/>
    <cellStyle name="Normal 11 5 7 3 3 3" xfId="15928"/>
    <cellStyle name="Normal 11 5 7 3 4" xfId="9804"/>
    <cellStyle name="Normal 11 5 7 3 4 2" xfId="22152"/>
    <cellStyle name="Normal 11 5 7 3 5" xfId="15926"/>
    <cellStyle name="Normal 11 5 7 4" xfId="3517"/>
    <cellStyle name="Normal 11 5 7 4 2" xfId="3518"/>
    <cellStyle name="Normal 11 5 7 4 2 2" xfId="9808"/>
    <cellStyle name="Normal 11 5 7 4 2 2 2" xfId="22156"/>
    <cellStyle name="Normal 11 5 7 4 2 3" xfId="15930"/>
    <cellStyle name="Normal 11 5 7 4 3" xfId="9807"/>
    <cellStyle name="Normal 11 5 7 4 3 2" xfId="22155"/>
    <cellStyle name="Normal 11 5 7 4 4" xfId="15929"/>
    <cellStyle name="Normal 11 5 7 5" xfId="3519"/>
    <cellStyle name="Normal 11 5 7 5 2" xfId="9809"/>
    <cellStyle name="Normal 11 5 7 5 2 2" xfId="22157"/>
    <cellStyle name="Normal 11 5 7 5 3" xfId="15931"/>
    <cellStyle name="Normal 11 5 7 6" xfId="3520"/>
    <cellStyle name="Normal 11 5 7 6 2" xfId="9810"/>
    <cellStyle name="Normal 11 5 7 6 2 2" xfId="22158"/>
    <cellStyle name="Normal 11 5 7 6 3" xfId="15932"/>
    <cellStyle name="Normal 11 5 7 7" xfId="9800"/>
    <cellStyle name="Normal 11 5 7 7 2" xfId="22148"/>
    <cellStyle name="Normal 11 5 7 8" xfId="15922"/>
    <cellStyle name="Normal 11 5 8" xfId="3521"/>
    <cellStyle name="Normal 11 5 8 2" xfId="3522"/>
    <cellStyle name="Normal 11 5 8 2 2" xfId="9812"/>
    <cellStyle name="Normal 11 5 8 2 2 2" xfId="22160"/>
    <cellStyle name="Normal 11 5 8 2 3" xfId="15934"/>
    <cellStyle name="Normal 11 5 8 3" xfId="3523"/>
    <cellStyle name="Normal 11 5 8 3 2" xfId="9813"/>
    <cellStyle name="Normal 11 5 8 3 2 2" xfId="22161"/>
    <cellStyle name="Normal 11 5 8 3 3" xfId="15935"/>
    <cellStyle name="Normal 11 5 8 4" xfId="3524"/>
    <cellStyle name="Normal 11 5 8 4 2" xfId="9814"/>
    <cellStyle name="Normal 11 5 8 4 2 2" xfId="22162"/>
    <cellStyle name="Normal 11 5 8 4 3" xfId="15936"/>
    <cellStyle name="Normal 11 5 8 5" xfId="3525"/>
    <cellStyle name="Normal 11 5 8 5 2" xfId="9815"/>
    <cellStyle name="Normal 11 5 8 5 2 2" xfId="22163"/>
    <cellStyle name="Normal 11 5 8 5 3" xfId="15937"/>
    <cellStyle name="Normal 11 5 8 6" xfId="9811"/>
    <cellStyle name="Normal 11 5 8 6 2" xfId="22159"/>
    <cellStyle name="Normal 11 5 8 7" xfId="15933"/>
    <cellStyle name="Normal 11 5 9" xfId="3526"/>
    <cellStyle name="Normal 11 5 9 2" xfId="3527"/>
    <cellStyle name="Normal 11 5 9 2 2" xfId="9817"/>
    <cellStyle name="Normal 11 5 9 2 2 2" xfId="22165"/>
    <cellStyle name="Normal 11 5 9 2 3" xfId="15939"/>
    <cellStyle name="Normal 11 5 9 3" xfId="3528"/>
    <cellStyle name="Normal 11 5 9 3 2" xfId="9818"/>
    <cellStyle name="Normal 11 5 9 3 2 2" xfId="22166"/>
    <cellStyle name="Normal 11 5 9 3 3" xfId="15940"/>
    <cellStyle name="Normal 11 5 9 4" xfId="9816"/>
    <cellStyle name="Normal 11 5 9 4 2" xfId="22164"/>
    <cellStyle name="Normal 11 5 9 5" xfId="15938"/>
    <cellStyle name="Normal 11 5_10070" xfId="3529"/>
    <cellStyle name="Normal 11 6" xfId="3530"/>
    <cellStyle name="Normal 11 6 2" xfId="3531"/>
    <cellStyle name="Normal 11 6 2 2" xfId="3532"/>
    <cellStyle name="Normal 11 6 2 2 2" xfId="3533"/>
    <cellStyle name="Normal 11 6 2 2 2 2" xfId="9822"/>
    <cellStyle name="Normal 11 6 2 2 2 2 2" xfId="22170"/>
    <cellStyle name="Normal 11 6 2 2 2 3" xfId="15944"/>
    <cellStyle name="Normal 11 6 2 2 3" xfId="9821"/>
    <cellStyle name="Normal 11 6 2 2 3 2" xfId="22169"/>
    <cellStyle name="Normal 11 6 2 2 4" xfId="15943"/>
    <cellStyle name="Normal 11 6 2 3" xfId="3534"/>
    <cellStyle name="Normal 11 6 2 3 2" xfId="3535"/>
    <cellStyle name="Normal 11 6 2 3 2 2" xfId="9824"/>
    <cellStyle name="Normal 11 6 2 3 2 2 2" xfId="22172"/>
    <cellStyle name="Normal 11 6 2 3 2 3" xfId="15946"/>
    <cellStyle name="Normal 11 6 2 3 3" xfId="9823"/>
    <cellStyle name="Normal 11 6 2 3 3 2" xfId="22171"/>
    <cellStyle name="Normal 11 6 2 3 4" xfId="15945"/>
    <cellStyle name="Normal 11 6 2 4" xfId="3536"/>
    <cellStyle name="Normal 11 6 2 4 2" xfId="9825"/>
    <cellStyle name="Normal 11 6 2 4 2 2" xfId="22173"/>
    <cellStyle name="Normal 11 6 2 4 3" xfId="15947"/>
    <cellStyle name="Normal 11 6 2 5" xfId="9820"/>
    <cellStyle name="Normal 11 6 2 5 2" xfId="22168"/>
    <cellStyle name="Normal 11 6 2 6" xfId="15942"/>
    <cellStyle name="Normal 11 6 3" xfId="3537"/>
    <cellStyle name="Normal 11 6 3 2" xfId="3538"/>
    <cellStyle name="Normal 11 6 3 2 2" xfId="9827"/>
    <cellStyle name="Normal 11 6 3 2 2 2" xfId="22175"/>
    <cellStyle name="Normal 11 6 3 2 3" xfId="15949"/>
    <cellStyle name="Normal 11 6 3 3" xfId="3539"/>
    <cellStyle name="Normal 11 6 3 3 2" xfId="9828"/>
    <cellStyle name="Normal 11 6 3 3 2 2" xfId="22176"/>
    <cellStyle name="Normal 11 6 3 3 3" xfId="15950"/>
    <cellStyle name="Normal 11 6 3 4" xfId="9826"/>
    <cellStyle name="Normal 11 6 3 4 2" xfId="22174"/>
    <cellStyle name="Normal 11 6 3 5" xfId="15948"/>
    <cellStyle name="Normal 11 6 4" xfId="3540"/>
    <cellStyle name="Normal 11 6 4 2" xfId="3541"/>
    <cellStyle name="Normal 11 6 4 2 2" xfId="9830"/>
    <cellStyle name="Normal 11 6 4 2 2 2" xfId="22178"/>
    <cellStyle name="Normal 11 6 4 2 3" xfId="15952"/>
    <cellStyle name="Normal 11 6 4 3" xfId="9829"/>
    <cellStyle name="Normal 11 6 4 3 2" xfId="22177"/>
    <cellStyle name="Normal 11 6 4 4" xfId="15951"/>
    <cellStyle name="Normal 11 6 5" xfId="3542"/>
    <cellStyle name="Normal 11 6 5 2" xfId="9831"/>
    <cellStyle name="Normal 11 6 5 2 2" xfId="22179"/>
    <cellStyle name="Normal 11 6 5 3" xfId="15953"/>
    <cellStyle name="Normal 11 6 6" xfId="9819"/>
    <cellStyle name="Normal 11 6 6 2" xfId="22167"/>
    <cellStyle name="Normal 11 6 7" xfId="15941"/>
    <cellStyle name="Normal 11 7" xfId="3543"/>
    <cellStyle name="Normal 11 7 2" xfId="3544"/>
    <cellStyle name="Normal 11 7 2 2" xfId="3545"/>
    <cellStyle name="Normal 11 7 2 2 2" xfId="9834"/>
    <cellStyle name="Normal 11 7 2 2 2 2" xfId="22182"/>
    <cellStyle name="Normal 11 7 2 2 3" xfId="15956"/>
    <cellStyle name="Normal 11 7 2 3" xfId="9833"/>
    <cellStyle name="Normal 11 7 2 3 2" xfId="22181"/>
    <cellStyle name="Normal 11 7 2 4" xfId="15955"/>
    <cellStyle name="Normal 11 7 3" xfId="3546"/>
    <cellStyle name="Normal 11 7 3 2" xfId="3547"/>
    <cellStyle name="Normal 11 7 3 2 2" xfId="9836"/>
    <cellStyle name="Normal 11 7 3 2 2 2" xfId="22184"/>
    <cellStyle name="Normal 11 7 3 2 3" xfId="15958"/>
    <cellStyle name="Normal 11 7 3 3" xfId="9835"/>
    <cellStyle name="Normal 11 7 3 3 2" xfId="22183"/>
    <cellStyle name="Normal 11 7 3 4" xfId="15957"/>
    <cellStyle name="Normal 11 7 4" xfId="3548"/>
    <cellStyle name="Normal 11 7 4 2" xfId="9837"/>
    <cellStyle name="Normal 11 7 4 2 2" xfId="22185"/>
    <cellStyle name="Normal 11 7 4 3" xfId="15959"/>
    <cellStyle name="Normal 11 7 5" xfId="3549"/>
    <cellStyle name="Normal 11 7 5 2" xfId="9838"/>
    <cellStyle name="Normal 11 7 5 2 2" xfId="22186"/>
    <cellStyle name="Normal 11 7 5 3" xfId="15960"/>
    <cellStyle name="Normal 11 7 6" xfId="9832"/>
    <cellStyle name="Normal 11 7 6 2" xfId="22180"/>
    <cellStyle name="Normal 11 7 7" xfId="15954"/>
    <cellStyle name="Normal 11 8" xfId="3550"/>
    <cellStyle name="Normal 11 8 2" xfId="3551"/>
    <cellStyle name="Normal 11 8 2 2" xfId="9840"/>
    <cellStyle name="Normal 11 8 2 2 2" xfId="22188"/>
    <cellStyle name="Normal 11 8 2 3" xfId="15962"/>
    <cellStyle name="Normal 11 8 3" xfId="3552"/>
    <cellStyle name="Normal 11 8 3 2" xfId="9841"/>
    <cellStyle name="Normal 11 8 3 2 2" xfId="22189"/>
    <cellStyle name="Normal 11 8 3 3" xfId="15963"/>
    <cellStyle name="Normal 11 8 4" xfId="9839"/>
    <cellStyle name="Normal 11 8 4 2" xfId="22187"/>
    <cellStyle name="Normal 11 8 5" xfId="15961"/>
    <cellStyle name="Normal 11 9" xfId="3553"/>
    <cellStyle name="Normal 11 9 2" xfId="3554"/>
    <cellStyle name="Normal 11 9 2 2" xfId="9843"/>
    <cellStyle name="Normal 11 9 2 2 2" xfId="22191"/>
    <cellStyle name="Normal 11 9 2 3" xfId="15965"/>
    <cellStyle name="Normal 11 9 3" xfId="9842"/>
    <cellStyle name="Normal 11 9 3 2" xfId="22190"/>
    <cellStyle name="Normal 11 9 4" xfId="15964"/>
    <cellStyle name="Normal 11_2180" xfId="9844"/>
    <cellStyle name="Normal 110" xfId="3555"/>
    <cellStyle name="Normal 110 2" xfId="3556"/>
    <cellStyle name="Normal 110 2 2" xfId="9845"/>
    <cellStyle name="Normal 110 2 2 2" xfId="22192"/>
    <cellStyle name="Normal 110 2 3" xfId="15966"/>
    <cellStyle name="Normal 111" xfId="3557"/>
    <cellStyle name="Normal 111 2" xfId="3558"/>
    <cellStyle name="Normal 111 2 2" xfId="9846"/>
    <cellStyle name="Normal 111 2 2 2" xfId="22193"/>
    <cellStyle name="Normal 111 2 3" xfId="15967"/>
    <cellStyle name="Normal 111 3" xfId="3559"/>
    <cellStyle name="Normal 111 4" xfId="3560"/>
    <cellStyle name="Normal 112" xfId="3561"/>
    <cellStyle name="Normal 112 2" xfId="3562"/>
    <cellStyle name="Normal 112 2 2" xfId="9847"/>
    <cellStyle name="Normal 112 2 2 2" xfId="22194"/>
    <cellStyle name="Normal 112 2 3" xfId="15968"/>
    <cellStyle name="Normal 112 3" xfId="3563"/>
    <cellStyle name="Normal 112 4" xfId="3564"/>
    <cellStyle name="Normal 113" xfId="3565"/>
    <cellStyle name="Normal 113 2" xfId="3566"/>
    <cellStyle name="Normal 113 3" xfId="3567"/>
    <cellStyle name="Normal 113 3 2" xfId="9848"/>
    <cellStyle name="Normal 113 3 2 2" xfId="22195"/>
    <cellStyle name="Normal 113 3 3" xfId="15970"/>
    <cellStyle name="Normal 113 4" xfId="3568"/>
    <cellStyle name="Normal 113 5" xfId="3569"/>
    <cellStyle name="Normal 113 6" xfId="15969"/>
    <cellStyle name="Normal 114" xfId="3570"/>
    <cellStyle name="Normal 114 2" xfId="3571"/>
    <cellStyle name="Normal 114 2 2" xfId="9850"/>
    <cellStyle name="Normal 114 2 2 2" xfId="22197"/>
    <cellStyle name="Normal 114 2 3" xfId="15972"/>
    <cellStyle name="Normal 114 3" xfId="9849"/>
    <cellStyle name="Normal 114 3 2" xfId="22196"/>
    <cellStyle name="Normal 114 4" xfId="15971"/>
    <cellStyle name="Normal 115" xfId="3572"/>
    <cellStyle name="Normal 115 2" xfId="9851"/>
    <cellStyle name="Normal 115 2 2" xfId="22198"/>
    <cellStyle name="Normal 115 3" xfId="15973"/>
    <cellStyle name="Normal 116" xfId="3573"/>
    <cellStyle name="Normal 116 2" xfId="3574"/>
    <cellStyle name="Normal 116 3" xfId="15974"/>
    <cellStyle name="Normal 117" xfId="3575"/>
    <cellStyle name="Normal 117 2" xfId="3576"/>
    <cellStyle name="Normal 117 3" xfId="3577"/>
    <cellStyle name="Normal 117 4" xfId="15975"/>
    <cellStyle name="Normal 118" xfId="3578"/>
    <cellStyle name="Normal 118 2" xfId="3579"/>
    <cellStyle name="Normal 118 3" xfId="3580"/>
    <cellStyle name="Normal 118 4" xfId="15976"/>
    <cellStyle name="Normal 119" xfId="3581"/>
    <cellStyle name="Normal 119 2" xfId="9852"/>
    <cellStyle name="Normal 119 2 2" xfId="22199"/>
    <cellStyle name="Normal 119 3" xfId="15977"/>
    <cellStyle name="Normal 12" xfId="3582"/>
    <cellStyle name="Normal 12 10" xfId="3583"/>
    <cellStyle name="Normal 12 10 2" xfId="9854"/>
    <cellStyle name="Normal 12 10 2 2" xfId="22201"/>
    <cellStyle name="Normal 12 10 3" xfId="15979"/>
    <cellStyle name="Normal 12 11" xfId="9853"/>
    <cellStyle name="Normal 12 11 2" xfId="22200"/>
    <cellStyle name="Normal 12 12" xfId="15978"/>
    <cellStyle name="Normal 12 2" xfId="3584"/>
    <cellStyle name="Normal 12 2 2" xfId="3585"/>
    <cellStyle name="Normal 12 2 2 2" xfId="3586"/>
    <cellStyle name="Normal 12 2 2 2 2" xfId="3587"/>
    <cellStyle name="Normal 12 2 2 2 2 2" xfId="3588"/>
    <cellStyle name="Normal 12 2 2 2 2 2 2" xfId="3589"/>
    <cellStyle name="Normal 12 2 2 2 2 2 2 2" xfId="3590"/>
    <cellStyle name="Normal 12 2 2 2 2 2 2 2 2" xfId="9859"/>
    <cellStyle name="Normal 12 2 2 2 2 2 2 2 2 2" xfId="22206"/>
    <cellStyle name="Normal 12 2 2 2 2 2 2 2 3" xfId="15984"/>
    <cellStyle name="Normal 12 2 2 2 2 2 2 3" xfId="9858"/>
    <cellStyle name="Normal 12 2 2 2 2 2 2 3 2" xfId="22205"/>
    <cellStyle name="Normal 12 2 2 2 2 2 2 4" xfId="15983"/>
    <cellStyle name="Normal 12 2 2 2 2 2 3" xfId="3591"/>
    <cellStyle name="Normal 12 2 2 2 2 2 3 2" xfId="3592"/>
    <cellStyle name="Normal 12 2 2 2 2 2 3 2 2" xfId="9861"/>
    <cellStyle name="Normal 12 2 2 2 2 2 3 2 2 2" xfId="22208"/>
    <cellStyle name="Normal 12 2 2 2 2 2 3 2 3" xfId="15986"/>
    <cellStyle name="Normal 12 2 2 2 2 2 3 3" xfId="9860"/>
    <cellStyle name="Normal 12 2 2 2 2 2 3 3 2" xfId="22207"/>
    <cellStyle name="Normal 12 2 2 2 2 2 3 4" xfId="15985"/>
    <cellStyle name="Normal 12 2 2 2 2 2 4" xfId="3593"/>
    <cellStyle name="Normal 12 2 2 2 2 2 4 2" xfId="9862"/>
    <cellStyle name="Normal 12 2 2 2 2 2 4 2 2" xfId="22209"/>
    <cellStyle name="Normal 12 2 2 2 2 2 4 3" xfId="15987"/>
    <cellStyle name="Normal 12 2 2 2 2 2 5" xfId="9857"/>
    <cellStyle name="Normal 12 2 2 2 2 2 5 2" xfId="22204"/>
    <cellStyle name="Normal 12 2 2 2 2 2 6" xfId="15982"/>
    <cellStyle name="Normal 12 2 2 2 2 3" xfId="3594"/>
    <cellStyle name="Normal 12 2 2 2 2 3 2" xfId="3595"/>
    <cellStyle name="Normal 12 2 2 2 2 3 2 2" xfId="9864"/>
    <cellStyle name="Normal 12 2 2 2 2 3 2 2 2" xfId="22211"/>
    <cellStyle name="Normal 12 2 2 2 2 3 2 3" xfId="15989"/>
    <cellStyle name="Normal 12 2 2 2 2 3 3" xfId="9863"/>
    <cellStyle name="Normal 12 2 2 2 2 3 3 2" xfId="22210"/>
    <cellStyle name="Normal 12 2 2 2 2 3 4" xfId="15988"/>
    <cellStyle name="Normal 12 2 2 2 2 4" xfId="3596"/>
    <cellStyle name="Normal 12 2 2 2 2 4 2" xfId="3597"/>
    <cellStyle name="Normal 12 2 2 2 2 4 2 2" xfId="9866"/>
    <cellStyle name="Normal 12 2 2 2 2 4 2 2 2" xfId="22213"/>
    <cellStyle name="Normal 12 2 2 2 2 4 2 3" xfId="15991"/>
    <cellStyle name="Normal 12 2 2 2 2 4 3" xfId="9865"/>
    <cellStyle name="Normal 12 2 2 2 2 4 3 2" xfId="22212"/>
    <cellStyle name="Normal 12 2 2 2 2 4 4" xfId="15990"/>
    <cellStyle name="Normal 12 2 2 2 2 5" xfId="3598"/>
    <cellStyle name="Normal 12 2 2 2 2 5 2" xfId="9867"/>
    <cellStyle name="Normal 12 2 2 2 2 5 2 2" xfId="22214"/>
    <cellStyle name="Normal 12 2 2 2 2 5 3" xfId="15992"/>
    <cellStyle name="Normal 12 2 2 2 2 6" xfId="9856"/>
    <cellStyle name="Normal 12 2 2 2 2 6 2" xfId="22203"/>
    <cellStyle name="Normal 12 2 2 2 2 7" xfId="15981"/>
    <cellStyle name="Normal 12 2 2 2 3" xfId="3599"/>
    <cellStyle name="Normal 12 2 2 2 3 2" xfId="3600"/>
    <cellStyle name="Normal 12 2 2 2 3 2 2" xfId="3601"/>
    <cellStyle name="Normal 12 2 2 2 3 2 2 2" xfId="9870"/>
    <cellStyle name="Normal 12 2 2 2 3 2 2 2 2" xfId="22217"/>
    <cellStyle name="Normal 12 2 2 2 3 2 2 3" xfId="15995"/>
    <cellStyle name="Normal 12 2 2 2 3 2 3" xfId="9869"/>
    <cellStyle name="Normal 12 2 2 2 3 2 3 2" xfId="22216"/>
    <cellStyle name="Normal 12 2 2 2 3 2 4" xfId="15994"/>
    <cellStyle name="Normal 12 2 2 2 3 3" xfId="3602"/>
    <cellStyle name="Normal 12 2 2 2 3 3 2" xfId="3603"/>
    <cellStyle name="Normal 12 2 2 2 3 3 2 2" xfId="9872"/>
    <cellStyle name="Normal 12 2 2 2 3 3 2 2 2" xfId="22219"/>
    <cellStyle name="Normal 12 2 2 2 3 3 2 3" xfId="15997"/>
    <cellStyle name="Normal 12 2 2 2 3 3 3" xfId="9871"/>
    <cellStyle name="Normal 12 2 2 2 3 3 3 2" xfId="22218"/>
    <cellStyle name="Normal 12 2 2 2 3 3 4" xfId="15996"/>
    <cellStyle name="Normal 12 2 2 2 3 4" xfId="3604"/>
    <cellStyle name="Normal 12 2 2 2 3 4 2" xfId="9873"/>
    <cellStyle name="Normal 12 2 2 2 3 4 2 2" xfId="22220"/>
    <cellStyle name="Normal 12 2 2 2 3 4 3" xfId="15998"/>
    <cellStyle name="Normal 12 2 2 2 3 5" xfId="9868"/>
    <cellStyle name="Normal 12 2 2 2 3 5 2" xfId="22215"/>
    <cellStyle name="Normal 12 2 2 2 3 6" xfId="15993"/>
    <cellStyle name="Normal 12 2 2 2 4" xfId="3605"/>
    <cellStyle name="Normal 12 2 2 2 4 2" xfId="3606"/>
    <cellStyle name="Normal 12 2 2 2 4 2 2" xfId="9875"/>
    <cellStyle name="Normal 12 2 2 2 4 2 2 2" xfId="22222"/>
    <cellStyle name="Normal 12 2 2 2 4 2 3" xfId="16000"/>
    <cellStyle name="Normal 12 2 2 2 4 3" xfId="9874"/>
    <cellStyle name="Normal 12 2 2 2 4 3 2" xfId="22221"/>
    <cellStyle name="Normal 12 2 2 2 4 4" xfId="15999"/>
    <cellStyle name="Normal 12 2 2 2 5" xfId="3607"/>
    <cellStyle name="Normal 12 2 2 2 5 2" xfId="3608"/>
    <cellStyle name="Normal 12 2 2 2 5 2 2" xfId="9877"/>
    <cellStyle name="Normal 12 2 2 2 5 2 2 2" xfId="22224"/>
    <cellStyle name="Normal 12 2 2 2 5 2 3" xfId="16002"/>
    <cellStyle name="Normal 12 2 2 2 5 3" xfId="9876"/>
    <cellStyle name="Normal 12 2 2 2 5 3 2" xfId="22223"/>
    <cellStyle name="Normal 12 2 2 2 5 4" xfId="16001"/>
    <cellStyle name="Normal 12 2 2 2 6" xfId="3609"/>
    <cellStyle name="Normal 12 2 2 2 6 2" xfId="9878"/>
    <cellStyle name="Normal 12 2 2 2 6 2 2" xfId="22225"/>
    <cellStyle name="Normal 12 2 2 2 6 3" xfId="16003"/>
    <cellStyle name="Normal 12 2 2 3" xfId="3610"/>
    <cellStyle name="Normal 12 2 2 3 2" xfId="3611"/>
    <cellStyle name="Normal 12 2 2 3 2 2" xfId="3612"/>
    <cellStyle name="Normal 12 2 2 3 2 2 2" xfId="3613"/>
    <cellStyle name="Normal 12 2 2 3 2 2 2 2" xfId="9882"/>
    <cellStyle name="Normal 12 2 2 3 2 2 2 2 2" xfId="22229"/>
    <cellStyle name="Normal 12 2 2 3 2 2 2 3" xfId="16007"/>
    <cellStyle name="Normal 12 2 2 3 2 2 3" xfId="9881"/>
    <cellStyle name="Normal 12 2 2 3 2 2 3 2" xfId="22228"/>
    <cellStyle name="Normal 12 2 2 3 2 2 4" xfId="16006"/>
    <cellStyle name="Normal 12 2 2 3 2 3" xfId="3614"/>
    <cellStyle name="Normal 12 2 2 3 2 3 2" xfId="3615"/>
    <cellStyle name="Normal 12 2 2 3 2 3 2 2" xfId="9884"/>
    <cellStyle name="Normal 12 2 2 3 2 3 2 2 2" xfId="22231"/>
    <cellStyle name="Normal 12 2 2 3 2 3 2 3" xfId="16009"/>
    <cellStyle name="Normal 12 2 2 3 2 3 3" xfId="9883"/>
    <cellStyle name="Normal 12 2 2 3 2 3 3 2" xfId="22230"/>
    <cellStyle name="Normal 12 2 2 3 2 3 4" xfId="16008"/>
    <cellStyle name="Normal 12 2 2 3 2 4" xfId="3616"/>
    <cellStyle name="Normal 12 2 2 3 2 4 2" xfId="9885"/>
    <cellStyle name="Normal 12 2 2 3 2 4 2 2" xfId="22232"/>
    <cellStyle name="Normal 12 2 2 3 2 4 3" xfId="16010"/>
    <cellStyle name="Normal 12 2 2 3 2 5" xfId="9880"/>
    <cellStyle name="Normal 12 2 2 3 2 5 2" xfId="22227"/>
    <cellStyle name="Normal 12 2 2 3 2 6" xfId="16005"/>
    <cellStyle name="Normal 12 2 2 3 3" xfId="3617"/>
    <cellStyle name="Normal 12 2 2 3 3 2" xfId="3618"/>
    <cellStyle name="Normal 12 2 2 3 3 2 2" xfId="9887"/>
    <cellStyle name="Normal 12 2 2 3 3 2 2 2" xfId="22234"/>
    <cellStyle name="Normal 12 2 2 3 3 2 3" xfId="16012"/>
    <cellStyle name="Normal 12 2 2 3 3 3" xfId="9886"/>
    <cellStyle name="Normal 12 2 2 3 3 3 2" xfId="22233"/>
    <cellStyle name="Normal 12 2 2 3 3 4" xfId="16011"/>
    <cellStyle name="Normal 12 2 2 3 4" xfId="3619"/>
    <cellStyle name="Normal 12 2 2 3 4 2" xfId="3620"/>
    <cellStyle name="Normal 12 2 2 3 4 2 2" xfId="9889"/>
    <cellStyle name="Normal 12 2 2 3 4 2 2 2" xfId="22236"/>
    <cellStyle name="Normal 12 2 2 3 4 2 3" xfId="16014"/>
    <cellStyle name="Normal 12 2 2 3 4 3" xfId="9888"/>
    <cellStyle name="Normal 12 2 2 3 4 3 2" xfId="22235"/>
    <cellStyle name="Normal 12 2 2 3 4 4" xfId="16013"/>
    <cellStyle name="Normal 12 2 2 3 5" xfId="3621"/>
    <cellStyle name="Normal 12 2 2 3 5 2" xfId="9890"/>
    <cellStyle name="Normal 12 2 2 3 5 2 2" xfId="22237"/>
    <cellStyle name="Normal 12 2 2 3 5 3" xfId="16015"/>
    <cellStyle name="Normal 12 2 2 3 6" xfId="9879"/>
    <cellStyle name="Normal 12 2 2 3 6 2" xfId="22226"/>
    <cellStyle name="Normal 12 2 2 3 7" xfId="16004"/>
    <cellStyle name="Normal 12 2 2 4" xfId="3622"/>
    <cellStyle name="Normal 12 2 2 4 2" xfId="3623"/>
    <cellStyle name="Normal 12 2 2 4 2 2" xfId="3624"/>
    <cellStyle name="Normal 12 2 2 4 2 2 2" xfId="9893"/>
    <cellStyle name="Normal 12 2 2 4 2 2 2 2" xfId="22240"/>
    <cellStyle name="Normal 12 2 2 4 2 2 3" xfId="16018"/>
    <cellStyle name="Normal 12 2 2 4 2 3" xfId="9892"/>
    <cellStyle name="Normal 12 2 2 4 2 3 2" xfId="22239"/>
    <cellStyle name="Normal 12 2 2 4 2 4" xfId="16017"/>
    <cellStyle name="Normal 12 2 2 4 3" xfId="3625"/>
    <cellStyle name="Normal 12 2 2 4 3 2" xfId="3626"/>
    <cellStyle name="Normal 12 2 2 4 3 2 2" xfId="9895"/>
    <cellStyle name="Normal 12 2 2 4 3 2 2 2" xfId="22242"/>
    <cellStyle name="Normal 12 2 2 4 3 2 3" xfId="16020"/>
    <cellStyle name="Normal 12 2 2 4 3 3" xfId="9894"/>
    <cellStyle name="Normal 12 2 2 4 3 3 2" xfId="22241"/>
    <cellStyle name="Normal 12 2 2 4 3 4" xfId="16019"/>
    <cellStyle name="Normal 12 2 2 4 4" xfId="3627"/>
    <cellStyle name="Normal 12 2 2 4 4 2" xfId="9896"/>
    <cellStyle name="Normal 12 2 2 4 4 2 2" xfId="22243"/>
    <cellStyle name="Normal 12 2 2 4 4 3" xfId="16021"/>
    <cellStyle name="Normal 12 2 2 4 5" xfId="9891"/>
    <cellStyle name="Normal 12 2 2 4 5 2" xfId="22238"/>
    <cellStyle name="Normal 12 2 2 4 6" xfId="16016"/>
    <cellStyle name="Normal 12 2 2 5" xfId="3628"/>
    <cellStyle name="Normal 12 2 2 5 2" xfId="3629"/>
    <cellStyle name="Normal 12 2 2 5 2 2" xfId="9898"/>
    <cellStyle name="Normal 12 2 2 5 2 2 2" xfId="22245"/>
    <cellStyle name="Normal 12 2 2 5 2 3" xfId="16023"/>
    <cellStyle name="Normal 12 2 2 5 3" xfId="9897"/>
    <cellStyle name="Normal 12 2 2 5 3 2" xfId="22244"/>
    <cellStyle name="Normal 12 2 2 5 4" xfId="16022"/>
    <cellStyle name="Normal 12 2 2 6" xfId="3630"/>
    <cellStyle name="Normal 12 2 2 6 2" xfId="3631"/>
    <cellStyle name="Normal 12 2 2 6 2 2" xfId="9900"/>
    <cellStyle name="Normal 12 2 2 6 2 2 2" xfId="22247"/>
    <cellStyle name="Normal 12 2 2 6 2 3" xfId="16025"/>
    <cellStyle name="Normal 12 2 2 6 3" xfId="9899"/>
    <cellStyle name="Normal 12 2 2 6 3 2" xfId="22246"/>
    <cellStyle name="Normal 12 2 2 6 4" xfId="16024"/>
    <cellStyle name="Normal 12 2 2 7" xfId="3632"/>
    <cellStyle name="Normal 12 2 2 7 2" xfId="9901"/>
    <cellStyle name="Normal 12 2 2 7 2 2" xfId="22248"/>
    <cellStyle name="Normal 12 2 2 7 3" xfId="16026"/>
    <cellStyle name="Normal 12 2 2 8" xfId="9855"/>
    <cellStyle name="Normal 12 2 2 8 2" xfId="22202"/>
    <cellStyle name="Normal 12 2 2 9" xfId="15980"/>
    <cellStyle name="Normal 12 2 3" xfId="3633"/>
    <cellStyle name="Normal 12 2 3 2" xfId="3634"/>
    <cellStyle name="Normal 12 2 3 2 2" xfId="3635"/>
    <cellStyle name="Normal 12 2 3 2 2 2" xfId="3636"/>
    <cellStyle name="Normal 12 2 3 2 2 2 2" xfId="3637"/>
    <cellStyle name="Normal 12 2 3 2 2 2 2 2" xfId="9906"/>
    <cellStyle name="Normal 12 2 3 2 2 2 2 2 2" xfId="22253"/>
    <cellStyle name="Normal 12 2 3 2 2 2 2 3" xfId="16031"/>
    <cellStyle name="Normal 12 2 3 2 2 2 3" xfId="9905"/>
    <cellStyle name="Normal 12 2 3 2 2 2 3 2" xfId="22252"/>
    <cellStyle name="Normal 12 2 3 2 2 2 4" xfId="16030"/>
    <cellStyle name="Normal 12 2 3 2 2 3" xfId="3638"/>
    <cellStyle name="Normal 12 2 3 2 2 3 2" xfId="3639"/>
    <cellStyle name="Normal 12 2 3 2 2 3 2 2" xfId="9908"/>
    <cellStyle name="Normal 12 2 3 2 2 3 2 2 2" xfId="22255"/>
    <cellStyle name="Normal 12 2 3 2 2 3 2 3" xfId="16033"/>
    <cellStyle name="Normal 12 2 3 2 2 3 3" xfId="9907"/>
    <cellStyle name="Normal 12 2 3 2 2 3 3 2" xfId="22254"/>
    <cellStyle name="Normal 12 2 3 2 2 3 4" xfId="16032"/>
    <cellStyle name="Normal 12 2 3 2 2 4" xfId="3640"/>
    <cellStyle name="Normal 12 2 3 2 2 4 2" xfId="9909"/>
    <cellStyle name="Normal 12 2 3 2 2 4 2 2" xfId="22256"/>
    <cellStyle name="Normal 12 2 3 2 2 4 3" xfId="16034"/>
    <cellStyle name="Normal 12 2 3 2 2 5" xfId="9904"/>
    <cellStyle name="Normal 12 2 3 2 2 5 2" xfId="22251"/>
    <cellStyle name="Normal 12 2 3 2 2 6" xfId="16029"/>
    <cellStyle name="Normal 12 2 3 2 3" xfId="3641"/>
    <cellStyle name="Normal 12 2 3 2 3 2" xfId="3642"/>
    <cellStyle name="Normal 12 2 3 2 3 2 2" xfId="9911"/>
    <cellStyle name="Normal 12 2 3 2 3 2 2 2" xfId="22258"/>
    <cellStyle name="Normal 12 2 3 2 3 2 3" xfId="16036"/>
    <cellStyle name="Normal 12 2 3 2 3 3" xfId="9910"/>
    <cellStyle name="Normal 12 2 3 2 3 3 2" xfId="22257"/>
    <cellStyle name="Normal 12 2 3 2 3 4" xfId="16035"/>
    <cellStyle name="Normal 12 2 3 2 4" xfId="3643"/>
    <cellStyle name="Normal 12 2 3 2 4 2" xfId="3644"/>
    <cellStyle name="Normal 12 2 3 2 4 2 2" xfId="9913"/>
    <cellStyle name="Normal 12 2 3 2 4 2 2 2" xfId="22260"/>
    <cellStyle name="Normal 12 2 3 2 4 2 3" xfId="16038"/>
    <cellStyle name="Normal 12 2 3 2 4 3" xfId="9912"/>
    <cellStyle name="Normal 12 2 3 2 4 3 2" xfId="22259"/>
    <cellStyle name="Normal 12 2 3 2 4 4" xfId="16037"/>
    <cellStyle name="Normal 12 2 3 2 5" xfId="3645"/>
    <cellStyle name="Normal 12 2 3 2 5 2" xfId="9914"/>
    <cellStyle name="Normal 12 2 3 2 5 2 2" xfId="22261"/>
    <cellStyle name="Normal 12 2 3 2 5 3" xfId="16039"/>
    <cellStyle name="Normal 12 2 3 2 6" xfId="9903"/>
    <cellStyle name="Normal 12 2 3 2 6 2" xfId="22250"/>
    <cellStyle name="Normal 12 2 3 2 7" xfId="16028"/>
    <cellStyle name="Normal 12 2 3 3" xfId="3646"/>
    <cellStyle name="Normal 12 2 3 3 2" xfId="3647"/>
    <cellStyle name="Normal 12 2 3 3 2 2" xfId="3648"/>
    <cellStyle name="Normal 12 2 3 3 2 2 2" xfId="9917"/>
    <cellStyle name="Normal 12 2 3 3 2 2 2 2" xfId="22264"/>
    <cellStyle name="Normal 12 2 3 3 2 2 3" xfId="16042"/>
    <cellStyle name="Normal 12 2 3 3 2 3" xfId="9916"/>
    <cellStyle name="Normal 12 2 3 3 2 3 2" xfId="22263"/>
    <cellStyle name="Normal 12 2 3 3 2 4" xfId="16041"/>
    <cellStyle name="Normal 12 2 3 3 3" xfId="3649"/>
    <cellStyle name="Normal 12 2 3 3 3 2" xfId="3650"/>
    <cellStyle name="Normal 12 2 3 3 3 2 2" xfId="9919"/>
    <cellStyle name="Normal 12 2 3 3 3 2 2 2" xfId="22266"/>
    <cellStyle name="Normal 12 2 3 3 3 2 3" xfId="16044"/>
    <cellStyle name="Normal 12 2 3 3 3 3" xfId="9918"/>
    <cellStyle name="Normal 12 2 3 3 3 3 2" xfId="22265"/>
    <cellStyle name="Normal 12 2 3 3 3 4" xfId="16043"/>
    <cellStyle name="Normal 12 2 3 3 4" xfId="3651"/>
    <cellStyle name="Normal 12 2 3 3 4 2" xfId="9920"/>
    <cellStyle name="Normal 12 2 3 3 4 2 2" xfId="22267"/>
    <cellStyle name="Normal 12 2 3 3 4 3" xfId="16045"/>
    <cellStyle name="Normal 12 2 3 3 5" xfId="9915"/>
    <cellStyle name="Normal 12 2 3 3 5 2" xfId="22262"/>
    <cellStyle name="Normal 12 2 3 3 6" xfId="16040"/>
    <cellStyle name="Normal 12 2 3 4" xfId="3652"/>
    <cellStyle name="Normal 12 2 3 4 2" xfId="3653"/>
    <cellStyle name="Normal 12 2 3 4 2 2" xfId="9922"/>
    <cellStyle name="Normal 12 2 3 4 2 2 2" xfId="22269"/>
    <cellStyle name="Normal 12 2 3 4 2 3" xfId="16047"/>
    <cellStyle name="Normal 12 2 3 4 3" xfId="9921"/>
    <cellStyle name="Normal 12 2 3 4 3 2" xfId="22268"/>
    <cellStyle name="Normal 12 2 3 4 4" xfId="16046"/>
    <cellStyle name="Normal 12 2 3 5" xfId="3654"/>
    <cellStyle name="Normal 12 2 3 5 2" xfId="3655"/>
    <cellStyle name="Normal 12 2 3 5 2 2" xfId="9924"/>
    <cellStyle name="Normal 12 2 3 5 2 2 2" xfId="22271"/>
    <cellStyle name="Normal 12 2 3 5 2 3" xfId="16049"/>
    <cellStyle name="Normal 12 2 3 5 3" xfId="9923"/>
    <cellStyle name="Normal 12 2 3 5 3 2" xfId="22270"/>
    <cellStyle name="Normal 12 2 3 5 4" xfId="16048"/>
    <cellStyle name="Normal 12 2 3 6" xfId="3656"/>
    <cellStyle name="Normal 12 2 3 6 2" xfId="9925"/>
    <cellStyle name="Normal 12 2 3 6 2 2" xfId="22272"/>
    <cellStyle name="Normal 12 2 3 6 3" xfId="16050"/>
    <cellStyle name="Normal 12 2 3 7" xfId="9902"/>
    <cellStyle name="Normal 12 2 3 7 2" xfId="22249"/>
    <cellStyle name="Normal 12 2 3 8" xfId="16027"/>
    <cellStyle name="Normal 12 2 4" xfId="3657"/>
    <cellStyle name="Normal 12 2 4 2" xfId="3658"/>
    <cellStyle name="Normal 12 2 4 2 2" xfId="3659"/>
    <cellStyle name="Normal 12 2 4 2 2 2" xfId="3660"/>
    <cellStyle name="Normal 12 2 4 2 2 2 2" xfId="9929"/>
    <cellStyle name="Normal 12 2 4 2 2 2 2 2" xfId="22276"/>
    <cellStyle name="Normal 12 2 4 2 2 2 3" xfId="16054"/>
    <cellStyle name="Normal 12 2 4 2 2 3" xfId="9928"/>
    <cellStyle name="Normal 12 2 4 2 2 3 2" xfId="22275"/>
    <cellStyle name="Normal 12 2 4 2 2 4" xfId="16053"/>
    <cellStyle name="Normal 12 2 4 2 3" xfId="3661"/>
    <cellStyle name="Normal 12 2 4 2 3 2" xfId="3662"/>
    <cellStyle name="Normal 12 2 4 2 3 2 2" xfId="9931"/>
    <cellStyle name="Normal 12 2 4 2 3 2 2 2" xfId="22278"/>
    <cellStyle name="Normal 12 2 4 2 3 2 3" xfId="16056"/>
    <cellStyle name="Normal 12 2 4 2 3 3" xfId="9930"/>
    <cellStyle name="Normal 12 2 4 2 3 3 2" xfId="22277"/>
    <cellStyle name="Normal 12 2 4 2 3 4" xfId="16055"/>
    <cellStyle name="Normal 12 2 4 2 4" xfId="3663"/>
    <cellStyle name="Normal 12 2 4 2 4 2" xfId="9932"/>
    <cellStyle name="Normal 12 2 4 2 4 2 2" xfId="22279"/>
    <cellStyle name="Normal 12 2 4 2 4 3" xfId="16057"/>
    <cellStyle name="Normal 12 2 4 2 5" xfId="9927"/>
    <cellStyle name="Normal 12 2 4 2 5 2" xfId="22274"/>
    <cellStyle name="Normal 12 2 4 2 6" xfId="16052"/>
    <cellStyle name="Normal 12 2 4 3" xfId="3664"/>
    <cellStyle name="Normal 12 2 4 3 2" xfId="3665"/>
    <cellStyle name="Normal 12 2 4 3 2 2" xfId="9934"/>
    <cellStyle name="Normal 12 2 4 3 2 2 2" xfId="22281"/>
    <cellStyle name="Normal 12 2 4 3 2 3" xfId="16059"/>
    <cellStyle name="Normal 12 2 4 3 3" xfId="9933"/>
    <cellStyle name="Normal 12 2 4 3 3 2" xfId="22280"/>
    <cellStyle name="Normal 12 2 4 3 4" xfId="16058"/>
    <cellStyle name="Normal 12 2 4 4" xfId="3666"/>
    <cellStyle name="Normal 12 2 4 4 2" xfId="3667"/>
    <cellStyle name="Normal 12 2 4 4 2 2" xfId="9936"/>
    <cellStyle name="Normal 12 2 4 4 2 2 2" xfId="22283"/>
    <cellStyle name="Normal 12 2 4 4 2 3" xfId="16061"/>
    <cellStyle name="Normal 12 2 4 4 3" xfId="9935"/>
    <cellStyle name="Normal 12 2 4 4 3 2" xfId="22282"/>
    <cellStyle name="Normal 12 2 4 4 4" xfId="16060"/>
    <cellStyle name="Normal 12 2 4 5" xfId="3668"/>
    <cellStyle name="Normal 12 2 4 5 2" xfId="9937"/>
    <cellStyle name="Normal 12 2 4 5 2 2" xfId="22284"/>
    <cellStyle name="Normal 12 2 4 5 3" xfId="16062"/>
    <cellStyle name="Normal 12 2 4 6" xfId="9926"/>
    <cellStyle name="Normal 12 2 4 6 2" xfId="22273"/>
    <cellStyle name="Normal 12 2 4 7" xfId="16051"/>
    <cellStyle name="Normal 12 2 5" xfId="3669"/>
    <cellStyle name="Normal 12 2 5 2" xfId="3670"/>
    <cellStyle name="Normal 12 2 5 2 2" xfId="3671"/>
    <cellStyle name="Normal 12 2 5 2 2 2" xfId="9940"/>
    <cellStyle name="Normal 12 2 5 2 2 2 2" xfId="22287"/>
    <cellStyle name="Normal 12 2 5 2 2 3" xfId="16065"/>
    <cellStyle name="Normal 12 2 5 2 3" xfId="9939"/>
    <cellStyle name="Normal 12 2 5 2 3 2" xfId="22286"/>
    <cellStyle name="Normal 12 2 5 2 4" xfId="16064"/>
    <cellStyle name="Normal 12 2 5 3" xfId="3672"/>
    <cellStyle name="Normal 12 2 5 3 2" xfId="3673"/>
    <cellStyle name="Normal 12 2 5 3 2 2" xfId="9942"/>
    <cellStyle name="Normal 12 2 5 3 2 2 2" xfId="22289"/>
    <cellStyle name="Normal 12 2 5 3 2 3" xfId="16067"/>
    <cellStyle name="Normal 12 2 5 3 3" xfId="9941"/>
    <cellStyle name="Normal 12 2 5 3 3 2" xfId="22288"/>
    <cellStyle name="Normal 12 2 5 3 4" xfId="16066"/>
    <cellStyle name="Normal 12 2 5 4" xfId="3674"/>
    <cellStyle name="Normal 12 2 5 4 2" xfId="9943"/>
    <cellStyle name="Normal 12 2 5 4 2 2" xfId="22290"/>
    <cellStyle name="Normal 12 2 5 4 3" xfId="16068"/>
    <cellStyle name="Normal 12 2 5 5" xfId="9938"/>
    <cellStyle name="Normal 12 2 5 5 2" xfId="22285"/>
    <cellStyle name="Normal 12 2 5 6" xfId="16063"/>
    <cellStyle name="Normal 12 2 6" xfId="3675"/>
    <cellStyle name="Normal 12 2 6 2" xfId="3676"/>
    <cellStyle name="Normal 12 2 6 2 2" xfId="9945"/>
    <cellStyle name="Normal 12 2 6 2 2 2" xfId="22292"/>
    <cellStyle name="Normal 12 2 6 2 3" xfId="16070"/>
    <cellStyle name="Normal 12 2 6 3" xfId="9944"/>
    <cellStyle name="Normal 12 2 6 3 2" xfId="22291"/>
    <cellStyle name="Normal 12 2 6 4" xfId="16069"/>
    <cellStyle name="Normal 12 2 7" xfId="3677"/>
    <cellStyle name="Normal 12 2 7 2" xfId="3678"/>
    <cellStyle name="Normal 12 2 7 2 2" xfId="9947"/>
    <cellStyle name="Normal 12 2 7 2 2 2" xfId="22294"/>
    <cellStyle name="Normal 12 2 7 2 3" xfId="16072"/>
    <cellStyle name="Normal 12 2 7 3" xfId="9946"/>
    <cellStyle name="Normal 12 2 7 3 2" xfId="22293"/>
    <cellStyle name="Normal 12 2 7 4" xfId="16071"/>
    <cellStyle name="Normal 12 2 8" xfId="3679"/>
    <cellStyle name="Normal 12 2 8 2" xfId="9948"/>
    <cellStyle name="Normal 12 2 8 2 2" xfId="22295"/>
    <cellStyle name="Normal 12 2 8 3" xfId="16073"/>
    <cellStyle name="Normal 12 3" xfId="3680"/>
    <cellStyle name="Normal 12 3 2" xfId="3681"/>
    <cellStyle name="Normal 12 3 2 2" xfId="3682"/>
    <cellStyle name="Normal 12 3 2 2 2" xfId="3683"/>
    <cellStyle name="Normal 12 3 2 2 2 2" xfId="3684"/>
    <cellStyle name="Normal 12 3 2 2 2 2 2" xfId="3685"/>
    <cellStyle name="Normal 12 3 2 2 2 2 2 2" xfId="9952"/>
    <cellStyle name="Normal 12 3 2 2 2 2 2 2 2" xfId="22299"/>
    <cellStyle name="Normal 12 3 2 2 2 2 2 3" xfId="16077"/>
    <cellStyle name="Normal 12 3 2 2 2 2 3" xfId="9951"/>
    <cellStyle name="Normal 12 3 2 2 2 2 3 2" xfId="22298"/>
    <cellStyle name="Normal 12 3 2 2 2 2 4" xfId="16076"/>
    <cellStyle name="Normal 12 3 2 2 2 3" xfId="3686"/>
    <cellStyle name="Normal 12 3 2 2 2 3 2" xfId="3687"/>
    <cellStyle name="Normal 12 3 2 2 2 3 2 2" xfId="9954"/>
    <cellStyle name="Normal 12 3 2 2 2 3 2 2 2" xfId="22301"/>
    <cellStyle name="Normal 12 3 2 2 2 3 2 3" xfId="16079"/>
    <cellStyle name="Normal 12 3 2 2 2 3 3" xfId="9953"/>
    <cellStyle name="Normal 12 3 2 2 2 3 3 2" xfId="22300"/>
    <cellStyle name="Normal 12 3 2 2 2 3 4" xfId="16078"/>
    <cellStyle name="Normal 12 3 2 2 2 4" xfId="3688"/>
    <cellStyle name="Normal 12 3 2 2 2 4 2" xfId="9955"/>
    <cellStyle name="Normal 12 3 2 2 2 4 2 2" xfId="22302"/>
    <cellStyle name="Normal 12 3 2 2 2 4 3" xfId="16080"/>
    <cellStyle name="Normal 12 3 2 2 2 5" xfId="9950"/>
    <cellStyle name="Normal 12 3 2 2 2 5 2" xfId="22297"/>
    <cellStyle name="Normal 12 3 2 2 2 6" xfId="16075"/>
    <cellStyle name="Normal 12 3 2 2 3" xfId="3689"/>
    <cellStyle name="Normal 12 3 2 2 3 2" xfId="3690"/>
    <cellStyle name="Normal 12 3 2 2 3 2 2" xfId="9957"/>
    <cellStyle name="Normal 12 3 2 2 3 2 2 2" xfId="22304"/>
    <cellStyle name="Normal 12 3 2 2 3 2 3" xfId="16082"/>
    <cellStyle name="Normal 12 3 2 2 3 3" xfId="9956"/>
    <cellStyle name="Normal 12 3 2 2 3 3 2" xfId="22303"/>
    <cellStyle name="Normal 12 3 2 2 3 4" xfId="16081"/>
    <cellStyle name="Normal 12 3 2 2 4" xfId="3691"/>
    <cellStyle name="Normal 12 3 2 2 4 2" xfId="3692"/>
    <cellStyle name="Normal 12 3 2 2 4 2 2" xfId="9959"/>
    <cellStyle name="Normal 12 3 2 2 4 2 2 2" xfId="22306"/>
    <cellStyle name="Normal 12 3 2 2 4 2 3" xfId="16084"/>
    <cellStyle name="Normal 12 3 2 2 4 3" xfId="9958"/>
    <cellStyle name="Normal 12 3 2 2 4 3 2" xfId="22305"/>
    <cellStyle name="Normal 12 3 2 2 4 4" xfId="16083"/>
    <cellStyle name="Normal 12 3 2 2 5" xfId="3693"/>
    <cellStyle name="Normal 12 3 2 2 5 2" xfId="9960"/>
    <cellStyle name="Normal 12 3 2 2 5 2 2" xfId="22307"/>
    <cellStyle name="Normal 12 3 2 2 5 3" xfId="16085"/>
    <cellStyle name="Normal 12 3 2 3" xfId="3694"/>
    <cellStyle name="Normal 12 3 2 3 2" xfId="3695"/>
    <cellStyle name="Normal 12 3 2 3 2 2" xfId="3696"/>
    <cellStyle name="Normal 12 3 2 3 2 2 2" xfId="9963"/>
    <cellStyle name="Normal 12 3 2 3 2 2 2 2" xfId="22310"/>
    <cellStyle name="Normal 12 3 2 3 2 2 3" xfId="16088"/>
    <cellStyle name="Normal 12 3 2 3 2 3" xfId="9962"/>
    <cellStyle name="Normal 12 3 2 3 2 3 2" xfId="22309"/>
    <cellStyle name="Normal 12 3 2 3 2 4" xfId="16087"/>
    <cellStyle name="Normal 12 3 2 3 3" xfId="3697"/>
    <cellStyle name="Normal 12 3 2 3 3 2" xfId="3698"/>
    <cellStyle name="Normal 12 3 2 3 3 2 2" xfId="9965"/>
    <cellStyle name="Normal 12 3 2 3 3 2 2 2" xfId="22312"/>
    <cellStyle name="Normal 12 3 2 3 3 2 3" xfId="16090"/>
    <cellStyle name="Normal 12 3 2 3 3 3" xfId="9964"/>
    <cellStyle name="Normal 12 3 2 3 3 3 2" xfId="22311"/>
    <cellStyle name="Normal 12 3 2 3 3 4" xfId="16089"/>
    <cellStyle name="Normal 12 3 2 3 4" xfId="3699"/>
    <cellStyle name="Normal 12 3 2 3 4 2" xfId="9966"/>
    <cellStyle name="Normal 12 3 2 3 4 2 2" xfId="22313"/>
    <cellStyle name="Normal 12 3 2 3 4 3" xfId="16091"/>
    <cellStyle name="Normal 12 3 2 3 5" xfId="9961"/>
    <cellStyle name="Normal 12 3 2 3 5 2" xfId="22308"/>
    <cellStyle name="Normal 12 3 2 3 6" xfId="16086"/>
    <cellStyle name="Normal 12 3 2 4" xfId="3700"/>
    <cellStyle name="Normal 12 3 2 4 2" xfId="3701"/>
    <cellStyle name="Normal 12 3 2 4 2 2" xfId="9968"/>
    <cellStyle name="Normal 12 3 2 4 2 2 2" xfId="22315"/>
    <cellStyle name="Normal 12 3 2 4 2 3" xfId="16093"/>
    <cellStyle name="Normal 12 3 2 4 3" xfId="9967"/>
    <cellStyle name="Normal 12 3 2 4 3 2" xfId="22314"/>
    <cellStyle name="Normal 12 3 2 4 4" xfId="16092"/>
    <cellStyle name="Normal 12 3 2 5" xfId="3702"/>
    <cellStyle name="Normal 12 3 2 5 2" xfId="3703"/>
    <cellStyle name="Normal 12 3 2 5 2 2" xfId="9970"/>
    <cellStyle name="Normal 12 3 2 5 2 2 2" xfId="22317"/>
    <cellStyle name="Normal 12 3 2 5 2 3" xfId="16095"/>
    <cellStyle name="Normal 12 3 2 5 3" xfId="9969"/>
    <cellStyle name="Normal 12 3 2 5 3 2" xfId="22316"/>
    <cellStyle name="Normal 12 3 2 5 4" xfId="16094"/>
    <cellStyle name="Normal 12 3 2 6" xfId="3704"/>
    <cellStyle name="Normal 12 3 2 6 2" xfId="9971"/>
    <cellStyle name="Normal 12 3 2 6 2 2" xfId="22318"/>
    <cellStyle name="Normal 12 3 2 6 3" xfId="16096"/>
    <cellStyle name="Normal 12 3 2 7" xfId="9949"/>
    <cellStyle name="Normal 12 3 2 7 2" xfId="22296"/>
    <cellStyle name="Normal 12 3 2 8" xfId="16074"/>
    <cellStyle name="Normal 12 3 3" xfId="3705"/>
    <cellStyle name="Normal 12 3 3 2" xfId="3706"/>
    <cellStyle name="Normal 12 3 3 2 2" xfId="3707"/>
    <cellStyle name="Normal 12 3 3 2 2 2" xfId="3708"/>
    <cellStyle name="Normal 12 3 3 2 2 2 2" xfId="9975"/>
    <cellStyle name="Normal 12 3 3 2 2 2 2 2" xfId="22322"/>
    <cellStyle name="Normal 12 3 3 2 2 2 3" xfId="16100"/>
    <cellStyle name="Normal 12 3 3 2 2 3" xfId="9974"/>
    <cellStyle name="Normal 12 3 3 2 2 3 2" xfId="22321"/>
    <cellStyle name="Normal 12 3 3 2 2 4" xfId="16099"/>
    <cellStyle name="Normal 12 3 3 2 3" xfId="3709"/>
    <cellStyle name="Normal 12 3 3 2 3 2" xfId="3710"/>
    <cellStyle name="Normal 12 3 3 2 3 2 2" xfId="9977"/>
    <cellStyle name="Normal 12 3 3 2 3 2 2 2" xfId="22324"/>
    <cellStyle name="Normal 12 3 3 2 3 2 3" xfId="16102"/>
    <cellStyle name="Normal 12 3 3 2 3 3" xfId="9976"/>
    <cellStyle name="Normal 12 3 3 2 3 3 2" xfId="22323"/>
    <cellStyle name="Normal 12 3 3 2 3 4" xfId="16101"/>
    <cellStyle name="Normal 12 3 3 2 4" xfId="3711"/>
    <cellStyle name="Normal 12 3 3 2 4 2" xfId="9978"/>
    <cellStyle name="Normal 12 3 3 2 4 2 2" xfId="22325"/>
    <cellStyle name="Normal 12 3 3 2 4 3" xfId="16103"/>
    <cellStyle name="Normal 12 3 3 2 5" xfId="9973"/>
    <cellStyle name="Normal 12 3 3 2 5 2" xfId="22320"/>
    <cellStyle name="Normal 12 3 3 2 6" xfId="16098"/>
    <cellStyle name="Normal 12 3 3 3" xfId="3712"/>
    <cellStyle name="Normal 12 3 3 3 2" xfId="3713"/>
    <cellStyle name="Normal 12 3 3 3 2 2" xfId="9980"/>
    <cellStyle name="Normal 12 3 3 3 2 2 2" xfId="22327"/>
    <cellStyle name="Normal 12 3 3 3 2 3" xfId="16105"/>
    <cellStyle name="Normal 12 3 3 3 3" xfId="9979"/>
    <cellStyle name="Normal 12 3 3 3 3 2" xfId="22326"/>
    <cellStyle name="Normal 12 3 3 3 4" xfId="16104"/>
    <cellStyle name="Normal 12 3 3 4" xfId="3714"/>
    <cellStyle name="Normal 12 3 3 4 2" xfId="3715"/>
    <cellStyle name="Normal 12 3 3 4 2 2" xfId="9982"/>
    <cellStyle name="Normal 12 3 3 4 2 2 2" xfId="22329"/>
    <cellStyle name="Normal 12 3 3 4 2 3" xfId="16107"/>
    <cellStyle name="Normal 12 3 3 4 3" xfId="9981"/>
    <cellStyle name="Normal 12 3 3 4 3 2" xfId="22328"/>
    <cellStyle name="Normal 12 3 3 4 4" xfId="16106"/>
    <cellStyle name="Normal 12 3 3 5" xfId="3716"/>
    <cellStyle name="Normal 12 3 3 5 2" xfId="9983"/>
    <cellStyle name="Normal 12 3 3 5 2 2" xfId="22330"/>
    <cellStyle name="Normal 12 3 3 5 3" xfId="16108"/>
    <cellStyle name="Normal 12 3 3 6" xfId="9972"/>
    <cellStyle name="Normal 12 3 3 6 2" xfId="22319"/>
    <cellStyle name="Normal 12 3 3 7" xfId="16097"/>
    <cellStyle name="Normal 12 3 4" xfId="3717"/>
    <cellStyle name="Normal 12 3 4 2" xfId="3718"/>
    <cellStyle name="Normal 12 3 4 2 2" xfId="3719"/>
    <cellStyle name="Normal 12 3 4 2 2 2" xfId="9986"/>
    <cellStyle name="Normal 12 3 4 2 2 2 2" xfId="22333"/>
    <cellStyle name="Normal 12 3 4 2 2 3" xfId="16111"/>
    <cellStyle name="Normal 12 3 4 2 3" xfId="9985"/>
    <cellStyle name="Normal 12 3 4 2 3 2" xfId="22332"/>
    <cellStyle name="Normal 12 3 4 2 4" xfId="16110"/>
    <cellStyle name="Normal 12 3 4 3" xfId="3720"/>
    <cellStyle name="Normal 12 3 4 3 2" xfId="3721"/>
    <cellStyle name="Normal 12 3 4 3 2 2" xfId="9988"/>
    <cellStyle name="Normal 12 3 4 3 2 2 2" xfId="22335"/>
    <cellStyle name="Normal 12 3 4 3 2 3" xfId="16113"/>
    <cellStyle name="Normal 12 3 4 3 3" xfId="9987"/>
    <cellStyle name="Normal 12 3 4 3 3 2" xfId="22334"/>
    <cellStyle name="Normal 12 3 4 3 4" xfId="16112"/>
    <cellStyle name="Normal 12 3 4 4" xfId="3722"/>
    <cellStyle name="Normal 12 3 4 4 2" xfId="9989"/>
    <cellStyle name="Normal 12 3 4 4 2 2" xfId="22336"/>
    <cellStyle name="Normal 12 3 4 4 3" xfId="16114"/>
    <cellStyle name="Normal 12 3 4 5" xfId="9984"/>
    <cellStyle name="Normal 12 3 4 5 2" xfId="22331"/>
    <cellStyle name="Normal 12 3 4 6" xfId="16109"/>
    <cellStyle name="Normal 12 3 5" xfId="3723"/>
    <cellStyle name="Normal 12 3 5 2" xfId="3724"/>
    <cellStyle name="Normal 12 3 5 2 2" xfId="9991"/>
    <cellStyle name="Normal 12 3 5 2 2 2" xfId="22338"/>
    <cellStyle name="Normal 12 3 5 2 3" xfId="16116"/>
    <cellStyle name="Normal 12 3 5 3" xfId="9990"/>
    <cellStyle name="Normal 12 3 5 3 2" xfId="22337"/>
    <cellStyle name="Normal 12 3 5 4" xfId="16115"/>
    <cellStyle name="Normal 12 3 6" xfId="3725"/>
    <cellStyle name="Normal 12 3 6 2" xfId="3726"/>
    <cellStyle name="Normal 12 3 6 2 2" xfId="9993"/>
    <cellStyle name="Normal 12 3 6 2 2 2" xfId="22340"/>
    <cellStyle name="Normal 12 3 6 2 3" xfId="16118"/>
    <cellStyle name="Normal 12 3 6 3" xfId="9992"/>
    <cellStyle name="Normal 12 3 6 3 2" xfId="22339"/>
    <cellStyle name="Normal 12 3 6 4" xfId="16117"/>
    <cellStyle name="Normal 12 3 7" xfId="3727"/>
    <cellStyle name="Normal 12 3 7 2" xfId="9994"/>
    <cellStyle name="Normal 12 3 7 2 2" xfId="22341"/>
    <cellStyle name="Normal 12 3 7 3" xfId="16119"/>
    <cellStyle name="Normal 12 3 8" xfId="3728"/>
    <cellStyle name="Normal 12 3 9" xfId="3729"/>
    <cellStyle name="Normal 12 4" xfId="3730"/>
    <cellStyle name="Normal 12 4 2" xfId="3731"/>
    <cellStyle name="Normal 12 4 2 2" xfId="3732"/>
    <cellStyle name="Normal 12 4 2 2 2" xfId="3733"/>
    <cellStyle name="Normal 12 4 2 2 2 2" xfId="3734"/>
    <cellStyle name="Normal 12 4 2 2 2 2 2" xfId="3735"/>
    <cellStyle name="Normal 12 4 2 2 2 2 2 2" xfId="9999"/>
    <cellStyle name="Normal 12 4 2 2 2 2 2 2 2" xfId="22346"/>
    <cellStyle name="Normal 12 4 2 2 2 2 2 3" xfId="16124"/>
    <cellStyle name="Normal 12 4 2 2 2 2 3" xfId="9998"/>
    <cellStyle name="Normal 12 4 2 2 2 2 3 2" xfId="22345"/>
    <cellStyle name="Normal 12 4 2 2 2 2 4" xfId="16123"/>
    <cellStyle name="Normal 12 4 2 2 2 3" xfId="3736"/>
    <cellStyle name="Normal 12 4 2 2 2 3 2" xfId="3737"/>
    <cellStyle name="Normal 12 4 2 2 2 3 2 2" xfId="10001"/>
    <cellStyle name="Normal 12 4 2 2 2 3 2 2 2" xfId="22348"/>
    <cellStyle name="Normal 12 4 2 2 2 3 2 3" xfId="16126"/>
    <cellStyle name="Normal 12 4 2 2 2 3 3" xfId="10000"/>
    <cellStyle name="Normal 12 4 2 2 2 3 3 2" xfId="22347"/>
    <cellStyle name="Normal 12 4 2 2 2 3 4" xfId="16125"/>
    <cellStyle name="Normal 12 4 2 2 2 4" xfId="3738"/>
    <cellStyle name="Normal 12 4 2 2 2 4 2" xfId="10002"/>
    <cellStyle name="Normal 12 4 2 2 2 4 2 2" xfId="22349"/>
    <cellStyle name="Normal 12 4 2 2 2 4 3" xfId="16127"/>
    <cellStyle name="Normal 12 4 2 2 2 5" xfId="9997"/>
    <cellStyle name="Normal 12 4 2 2 2 5 2" xfId="22344"/>
    <cellStyle name="Normal 12 4 2 2 2 6" xfId="16122"/>
    <cellStyle name="Normal 12 4 2 2 3" xfId="3739"/>
    <cellStyle name="Normal 12 4 2 2 3 2" xfId="3740"/>
    <cellStyle name="Normal 12 4 2 2 3 2 2" xfId="10004"/>
    <cellStyle name="Normal 12 4 2 2 3 2 2 2" xfId="22351"/>
    <cellStyle name="Normal 12 4 2 2 3 2 3" xfId="16129"/>
    <cellStyle name="Normal 12 4 2 2 3 3" xfId="10003"/>
    <cellStyle name="Normal 12 4 2 2 3 3 2" xfId="22350"/>
    <cellStyle name="Normal 12 4 2 2 3 4" xfId="16128"/>
    <cellStyle name="Normal 12 4 2 2 4" xfId="3741"/>
    <cellStyle name="Normal 12 4 2 2 4 2" xfId="3742"/>
    <cellStyle name="Normal 12 4 2 2 4 2 2" xfId="10006"/>
    <cellStyle name="Normal 12 4 2 2 4 2 2 2" xfId="22353"/>
    <cellStyle name="Normal 12 4 2 2 4 2 3" xfId="16131"/>
    <cellStyle name="Normal 12 4 2 2 4 3" xfId="10005"/>
    <cellStyle name="Normal 12 4 2 2 4 3 2" xfId="22352"/>
    <cellStyle name="Normal 12 4 2 2 4 4" xfId="16130"/>
    <cellStyle name="Normal 12 4 2 2 5" xfId="3743"/>
    <cellStyle name="Normal 12 4 2 2 5 2" xfId="10007"/>
    <cellStyle name="Normal 12 4 2 2 5 2 2" xfId="22354"/>
    <cellStyle name="Normal 12 4 2 2 5 3" xfId="16132"/>
    <cellStyle name="Normal 12 4 2 2 6" xfId="9996"/>
    <cellStyle name="Normal 12 4 2 2 6 2" xfId="22343"/>
    <cellStyle name="Normal 12 4 2 2 7" xfId="16121"/>
    <cellStyle name="Normal 12 4 2 3" xfId="3744"/>
    <cellStyle name="Normal 12 4 2 3 2" xfId="3745"/>
    <cellStyle name="Normal 12 4 2 3 2 2" xfId="3746"/>
    <cellStyle name="Normal 12 4 2 3 2 2 2" xfId="10010"/>
    <cellStyle name="Normal 12 4 2 3 2 2 2 2" xfId="22357"/>
    <cellStyle name="Normal 12 4 2 3 2 2 3" xfId="16135"/>
    <cellStyle name="Normal 12 4 2 3 2 3" xfId="10009"/>
    <cellStyle name="Normal 12 4 2 3 2 3 2" xfId="22356"/>
    <cellStyle name="Normal 12 4 2 3 2 4" xfId="16134"/>
    <cellStyle name="Normal 12 4 2 3 3" xfId="3747"/>
    <cellStyle name="Normal 12 4 2 3 3 2" xfId="3748"/>
    <cellStyle name="Normal 12 4 2 3 3 2 2" xfId="10012"/>
    <cellStyle name="Normal 12 4 2 3 3 2 2 2" xfId="22359"/>
    <cellStyle name="Normal 12 4 2 3 3 2 3" xfId="16137"/>
    <cellStyle name="Normal 12 4 2 3 3 3" xfId="10011"/>
    <cellStyle name="Normal 12 4 2 3 3 3 2" xfId="22358"/>
    <cellStyle name="Normal 12 4 2 3 3 4" xfId="16136"/>
    <cellStyle name="Normal 12 4 2 3 4" xfId="3749"/>
    <cellStyle name="Normal 12 4 2 3 4 2" xfId="10013"/>
    <cellStyle name="Normal 12 4 2 3 4 2 2" xfId="22360"/>
    <cellStyle name="Normal 12 4 2 3 4 3" xfId="16138"/>
    <cellStyle name="Normal 12 4 2 3 5" xfId="10008"/>
    <cellStyle name="Normal 12 4 2 3 5 2" xfId="22355"/>
    <cellStyle name="Normal 12 4 2 3 6" xfId="16133"/>
    <cellStyle name="Normal 12 4 2 4" xfId="3750"/>
    <cellStyle name="Normal 12 4 2 4 2" xfId="3751"/>
    <cellStyle name="Normal 12 4 2 4 2 2" xfId="10015"/>
    <cellStyle name="Normal 12 4 2 4 2 2 2" xfId="22362"/>
    <cellStyle name="Normal 12 4 2 4 2 3" xfId="16140"/>
    <cellStyle name="Normal 12 4 2 4 3" xfId="10014"/>
    <cellStyle name="Normal 12 4 2 4 3 2" xfId="22361"/>
    <cellStyle name="Normal 12 4 2 4 4" xfId="16139"/>
    <cellStyle name="Normal 12 4 2 5" xfId="3752"/>
    <cellStyle name="Normal 12 4 2 5 2" xfId="3753"/>
    <cellStyle name="Normal 12 4 2 5 2 2" xfId="10017"/>
    <cellStyle name="Normal 12 4 2 5 2 2 2" xfId="22364"/>
    <cellStyle name="Normal 12 4 2 5 2 3" xfId="16142"/>
    <cellStyle name="Normal 12 4 2 5 3" xfId="10016"/>
    <cellStyle name="Normal 12 4 2 5 3 2" xfId="22363"/>
    <cellStyle name="Normal 12 4 2 5 4" xfId="16141"/>
    <cellStyle name="Normal 12 4 2 6" xfId="3754"/>
    <cellStyle name="Normal 12 4 2 6 2" xfId="10018"/>
    <cellStyle name="Normal 12 4 2 6 2 2" xfId="22365"/>
    <cellStyle name="Normal 12 4 2 6 3" xfId="16143"/>
    <cellStyle name="Normal 12 4 2 7" xfId="9995"/>
    <cellStyle name="Normal 12 4 2 7 2" xfId="22342"/>
    <cellStyle name="Normal 12 4 2 8" xfId="16120"/>
    <cellStyle name="Normal 12 4 3" xfId="3755"/>
    <cellStyle name="Normal 12 4 3 2" xfId="3756"/>
    <cellStyle name="Normal 12 4 3 2 2" xfId="3757"/>
    <cellStyle name="Normal 12 4 3 2 2 2" xfId="3758"/>
    <cellStyle name="Normal 12 4 3 2 2 2 2" xfId="10022"/>
    <cellStyle name="Normal 12 4 3 2 2 2 2 2" xfId="22369"/>
    <cellStyle name="Normal 12 4 3 2 2 2 3" xfId="16147"/>
    <cellStyle name="Normal 12 4 3 2 2 3" xfId="10021"/>
    <cellStyle name="Normal 12 4 3 2 2 3 2" xfId="22368"/>
    <cellStyle name="Normal 12 4 3 2 2 4" xfId="16146"/>
    <cellStyle name="Normal 12 4 3 2 3" xfId="3759"/>
    <cellStyle name="Normal 12 4 3 2 3 2" xfId="3760"/>
    <cellStyle name="Normal 12 4 3 2 3 2 2" xfId="10024"/>
    <cellStyle name="Normal 12 4 3 2 3 2 2 2" xfId="22371"/>
    <cellStyle name="Normal 12 4 3 2 3 2 3" xfId="16149"/>
    <cellStyle name="Normal 12 4 3 2 3 3" xfId="10023"/>
    <cellStyle name="Normal 12 4 3 2 3 3 2" xfId="22370"/>
    <cellStyle name="Normal 12 4 3 2 3 4" xfId="16148"/>
    <cellStyle name="Normal 12 4 3 2 4" xfId="3761"/>
    <cellStyle name="Normal 12 4 3 2 4 2" xfId="10025"/>
    <cellStyle name="Normal 12 4 3 2 4 2 2" xfId="22372"/>
    <cellStyle name="Normal 12 4 3 2 4 3" xfId="16150"/>
    <cellStyle name="Normal 12 4 3 2 5" xfId="10020"/>
    <cellStyle name="Normal 12 4 3 2 5 2" xfId="22367"/>
    <cellStyle name="Normal 12 4 3 2 6" xfId="16145"/>
    <cellStyle name="Normal 12 4 3 3" xfId="3762"/>
    <cellStyle name="Normal 12 4 3 3 2" xfId="3763"/>
    <cellStyle name="Normal 12 4 3 3 2 2" xfId="10027"/>
    <cellStyle name="Normal 12 4 3 3 2 2 2" xfId="22374"/>
    <cellStyle name="Normal 12 4 3 3 2 3" xfId="16152"/>
    <cellStyle name="Normal 12 4 3 3 3" xfId="10026"/>
    <cellStyle name="Normal 12 4 3 3 3 2" xfId="22373"/>
    <cellStyle name="Normal 12 4 3 3 4" xfId="16151"/>
    <cellStyle name="Normal 12 4 3 4" xfId="3764"/>
    <cellStyle name="Normal 12 4 3 4 2" xfId="3765"/>
    <cellStyle name="Normal 12 4 3 4 2 2" xfId="10029"/>
    <cellStyle name="Normal 12 4 3 4 2 2 2" xfId="22376"/>
    <cellStyle name="Normal 12 4 3 4 2 3" xfId="16154"/>
    <cellStyle name="Normal 12 4 3 4 3" xfId="10028"/>
    <cellStyle name="Normal 12 4 3 4 3 2" xfId="22375"/>
    <cellStyle name="Normal 12 4 3 4 4" xfId="16153"/>
    <cellStyle name="Normal 12 4 3 5" xfId="3766"/>
    <cellStyle name="Normal 12 4 3 5 2" xfId="10030"/>
    <cellStyle name="Normal 12 4 3 5 2 2" xfId="22377"/>
    <cellStyle name="Normal 12 4 3 5 3" xfId="16155"/>
    <cellStyle name="Normal 12 4 3 6" xfId="10019"/>
    <cellStyle name="Normal 12 4 3 6 2" xfId="22366"/>
    <cellStyle name="Normal 12 4 3 7" xfId="16144"/>
    <cellStyle name="Normal 12 4 4" xfId="3767"/>
    <cellStyle name="Normal 12 4 4 2" xfId="3768"/>
    <cellStyle name="Normal 12 4 4 2 2" xfId="3769"/>
    <cellStyle name="Normal 12 4 4 2 2 2" xfId="10033"/>
    <cellStyle name="Normal 12 4 4 2 2 2 2" xfId="22380"/>
    <cellStyle name="Normal 12 4 4 2 2 3" xfId="16158"/>
    <cellStyle name="Normal 12 4 4 2 3" xfId="10032"/>
    <cellStyle name="Normal 12 4 4 2 3 2" xfId="22379"/>
    <cellStyle name="Normal 12 4 4 2 4" xfId="16157"/>
    <cellStyle name="Normal 12 4 4 3" xfId="3770"/>
    <cellStyle name="Normal 12 4 4 3 2" xfId="3771"/>
    <cellStyle name="Normal 12 4 4 3 2 2" xfId="10035"/>
    <cellStyle name="Normal 12 4 4 3 2 2 2" xfId="22382"/>
    <cellStyle name="Normal 12 4 4 3 2 3" xfId="16160"/>
    <cellStyle name="Normal 12 4 4 3 3" xfId="10034"/>
    <cellStyle name="Normal 12 4 4 3 3 2" xfId="22381"/>
    <cellStyle name="Normal 12 4 4 3 4" xfId="16159"/>
    <cellStyle name="Normal 12 4 4 4" xfId="3772"/>
    <cellStyle name="Normal 12 4 4 4 2" xfId="10036"/>
    <cellStyle name="Normal 12 4 4 4 2 2" xfId="22383"/>
    <cellStyle name="Normal 12 4 4 4 3" xfId="16161"/>
    <cellStyle name="Normal 12 4 4 5" xfId="10031"/>
    <cellStyle name="Normal 12 4 4 5 2" xfId="22378"/>
    <cellStyle name="Normal 12 4 4 6" xfId="16156"/>
    <cellStyle name="Normal 12 4 5" xfId="3773"/>
    <cellStyle name="Normal 12 4 5 2" xfId="3774"/>
    <cellStyle name="Normal 12 4 5 2 2" xfId="10038"/>
    <cellStyle name="Normal 12 4 5 2 2 2" xfId="22385"/>
    <cellStyle name="Normal 12 4 5 2 3" xfId="16163"/>
    <cellStyle name="Normal 12 4 5 3" xfId="10037"/>
    <cellStyle name="Normal 12 4 5 3 2" xfId="22384"/>
    <cellStyle name="Normal 12 4 5 4" xfId="16162"/>
    <cellStyle name="Normal 12 4 6" xfId="3775"/>
    <cellStyle name="Normal 12 4 6 2" xfId="3776"/>
    <cellStyle name="Normal 12 4 6 2 2" xfId="10040"/>
    <cellStyle name="Normal 12 4 6 2 2 2" xfId="22387"/>
    <cellStyle name="Normal 12 4 6 2 3" xfId="16165"/>
    <cellStyle name="Normal 12 4 6 3" xfId="10039"/>
    <cellStyle name="Normal 12 4 6 3 2" xfId="22386"/>
    <cellStyle name="Normal 12 4 6 4" xfId="16164"/>
    <cellStyle name="Normal 12 4 7" xfId="3777"/>
    <cellStyle name="Normal 12 4 7 2" xfId="10041"/>
    <cellStyle name="Normal 12 4 7 2 2" xfId="22388"/>
    <cellStyle name="Normal 12 4 7 3" xfId="16166"/>
    <cellStyle name="Normal 12 5" xfId="3778"/>
    <cellStyle name="Normal 12 5 2" xfId="3779"/>
    <cellStyle name="Normal 12 5 2 2" xfId="3780"/>
    <cellStyle name="Normal 12 5 2 2 2" xfId="3781"/>
    <cellStyle name="Normal 12 5 2 2 2 2" xfId="3782"/>
    <cellStyle name="Normal 12 5 2 2 2 2 2" xfId="10046"/>
    <cellStyle name="Normal 12 5 2 2 2 2 2 2" xfId="22393"/>
    <cellStyle name="Normal 12 5 2 2 2 2 3" xfId="16171"/>
    <cellStyle name="Normal 12 5 2 2 2 3" xfId="10045"/>
    <cellStyle name="Normal 12 5 2 2 2 3 2" xfId="22392"/>
    <cellStyle name="Normal 12 5 2 2 2 4" xfId="16170"/>
    <cellStyle name="Normal 12 5 2 2 3" xfId="3783"/>
    <cellStyle name="Normal 12 5 2 2 3 2" xfId="3784"/>
    <cellStyle name="Normal 12 5 2 2 3 2 2" xfId="10048"/>
    <cellStyle name="Normal 12 5 2 2 3 2 2 2" xfId="22395"/>
    <cellStyle name="Normal 12 5 2 2 3 2 3" xfId="16173"/>
    <cellStyle name="Normal 12 5 2 2 3 3" xfId="10047"/>
    <cellStyle name="Normal 12 5 2 2 3 3 2" xfId="22394"/>
    <cellStyle name="Normal 12 5 2 2 3 4" xfId="16172"/>
    <cellStyle name="Normal 12 5 2 2 4" xfId="3785"/>
    <cellStyle name="Normal 12 5 2 2 4 2" xfId="10049"/>
    <cellStyle name="Normal 12 5 2 2 4 2 2" xfId="22396"/>
    <cellStyle name="Normal 12 5 2 2 4 3" xfId="16174"/>
    <cellStyle name="Normal 12 5 2 2 5" xfId="10044"/>
    <cellStyle name="Normal 12 5 2 2 5 2" xfId="22391"/>
    <cellStyle name="Normal 12 5 2 2 6" xfId="16169"/>
    <cellStyle name="Normal 12 5 2 3" xfId="3786"/>
    <cellStyle name="Normal 12 5 2 3 2" xfId="3787"/>
    <cellStyle name="Normal 12 5 2 3 2 2" xfId="10051"/>
    <cellStyle name="Normal 12 5 2 3 2 2 2" xfId="22398"/>
    <cellStyle name="Normal 12 5 2 3 2 3" xfId="16176"/>
    <cellStyle name="Normal 12 5 2 3 3" xfId="10050"/>
    <cellStyle name="Normal 12 5 2 3 3 2" xfId="22397"/>
    <cellStyle name="Normal 12 5 2 3 4" xfId="16175"/>
    <cellStyle name="Normal 12 5 2 4" xfId="3788"/>
    <cellStyle name="Normal 12 5 2 4 2" xfId="3789"/>
    <cellStyle name="Normal 12 5 2 4 2 2" xfId="10053"/>
    <cellStyle name="Normal 12 5 2 4 2 2 2" xfId="22400"/>
    <cellStyle name="Normal 12 5 2 4 2 3" xfId="16178"/>
    <cellStyle name="Normal 12 5 2 4 3" xfId="10052"/>
    <cellStyle name="Normal 12 5 2 4 3 2" xfId="22399"/>
    <cellStyle name="Normal 12 5 2 4 4" xfId="16177"/>
    <cellStyle name="Normal 12 5 2 5" xfId="3790"/>
    <cellStyle name="Normal 12 5 2 5 2" xfId="10054"/>
    <cellStyle name="Normal 12 5 2 5 2 2" xfId="22401"/>
    <cellStyle name="Normal 12 5 2 5 3" xfId="16179"/>
    <cellStyle name="Normal 12 5 2 6" xfId="10043"/>
    <cellStyle name="Normal 12 5 2 6 2" xfId="22390"/>
    <cellStyle name="Normal 12 5 2 7" xfId="16168"/>
    <cellStyle name="Normal 12 5 3" xfId="3791"/>
    <cellStyle name="Normal 12 5 3 2" xfId="3792"/>
    <cellStyle name="Normal 12 5 3 2 2" xfId="3793"/>
    <cellStyle name="Normal 12 5 3 2 2 2" xfId="10057"/>
    <cellStyle name="Normal 12 5 3 2 2 2 2" xfId="22404"/>
    <cellStyle name="Normal 12 5 3 2 2 3" xfId="16182"/>
    <cellStyle name="Normal 12 5 3 2 3" xfId="10056"/>
    <cellStyle name="Normal 12 5 3 2 3 2" xfId="22403"/>
    <cellStyle name="Normal 12 5 3 2 4" xfId="16181"/>
    <cellStyle name="Normal 12 5 3 3" xfId="3794"/>
    <cellStyle name="Normal 12 5 3 3 2" xfId="3795"/>
    <cellStyle name="Normal 12 5 3 3 2 2" xfId="10059"/>
    <cellStyle name="Normal 12 5 3 3 2 2 2" xfId="22406"/>
    <cellStyle name="Normal 12 5 3 3 2 3" xfId="16184"/>
    <cellStyle name="Normal 12 5 3 3 3" xfId="10058"/>
    <cellStyle name="Normal 12 5 3 3 3 2" xfId="22405"/>
    <cellStyle name="Normal 12 5 3 3 4" xfId="16183"/>
    <cellStyle name="Normal 12 5 3 4" xfId="3796"/>
    <cellStyle name="Normal 12 5 3 4 2" xfId="10060"/>
    <cellStyle name="Normal 12 5 3 4 2 2" xfId="22407"/>
    <cellStyle name="Normal 12 5 3 4 3" xfId="16185"/>
    <cellStyle name="Normal 12 5 3 5" xfId="10055"/>
    <cellStyle name="Normal 12 5 3 5 2" xfId="22402"/>
    <cellStyle name="Normal 12 5 3 6" xfId="16180"/>
    <cellStyle name="Normal 12 5 4" xfId="3797"/>
    <cellStyle name="Normal 12 5 4 2" xfId="3798"/>
    <cellStyle name="Normal 12 5 4 2 2" xfId="10062"/>
    <cellStyle name="Normal 12 5 4 2 2 2" xfId="22409"/>
    <cellStyle name="Normal 12 5 4 2 3" xfId="16187"/>
    <cellStyle name="Normal 12 5 4 3" xfId="10061"/>
    <cellStyle name="Normal 12 5 4 3 2" xfId="22408"/>
    <cellStyle name="Normal 12 5 4 4" xfId="16186"/>
    <cellStyle name="Normal 12 5 5" xfId="3799"/>
    <cellStyle name="Normal 12 5 5 2" xfId="3800"/>
    <cellStyle name="Normal 12 5 5 2 2" xfId="10064"/>
    <cellStyle name="Normal 12 5 5 2 2 2" xfId="22411"/>
    <cellStyle name="Normal 12 5 5 2 3" xfId="16189"/>
    <cellStyle name="Normal 12 5 5 3" xfId="10063"/>
    <cellStyle name="Normal 12 5 5 3 2" xfId="22410"/>
    <cellStyle name="Normal 12 5 5 4" xfId="16188"/>
    <cellStyle name="Normal 12 5 6" xfId="3801"/>
    <cellStyle name="Normal 12 5 6 2" xfId="10065"/>
    <cellStyle name="Normal 12 5 6 2 2" xfId="22412"/>
    <cellStyle name="Normal 12 5 6 3" xfId="16190"/>
    <cellStyle name="Normal 12 5 7" xfId="10042"/>
    <cellStyle name="Normal 12 5 7 2" xfId="22389"/>
    <cellStyle name="Normal 12 5 8" xfId="16167"/>
    <cellStyle name="Normal 12 6" xfId="3802"/>
    <cellStyle name="Normal 12 6 2" xfId="3803"/>
    <cellStyle name="Normal 12 6 2 2" xfId="3804"/>
    <cellStyle name="Normal 12 6 2 2 2" xfId="3805"/>
    <cellStyle name="Normal 12 6 2 2 2 2" xfId="10069"/>
    <cellStyle name="Normal 12 6 2 2 2 2 2" xfId="22416"/>
    <cellStyle name="Normal 12 6 2 2 2 3" xfId="16193"/>
    <cellStyle name="Normal 12 6 2 2 3" xfId="10068"/>
    <cellStyle name="Normal 12 6 2 2 3 2" xfId="22415"/>
    <cellStyle name="Normal 12 6 2 2 4" xfId="16192"/>
    <cellStyle name="Normal 12 6 2 3" xfId="3806"/>
    <cellStyle name="Normal 12 6 2 3 2" xfId="3807"/>
    <cellStyle name="Normal 12 6 2 3 2 2" xfId="10071"/>
    <cellStyle name="Normal 12 6 2 3 2 2 2" xfId="22418"/>
    <cellStyle name="Normal 12 6 2 3 2 3" xfId="16195"/>
    <cellStyle name="Normal 12 6 2 3 3" xfId="10070"/>
    <cellStyle name="Normal 12 6 2 3 3 2" xfId="22417"/>
    <cellStyle name="Normal 12 6 2 3 4" xfId="16194"/>
    <cellStyle name="Normal 12 6 2 4" xfId="3808"/>
    <cellStyle name="Normal 12 6 2 4 2" xfId="10072"/>
    <cellStyle name="Normal 12 6 2 4 2 2" xfId="22419"/>
    <cellStyle name="Normal 12 6 2 4 3" xfId="16196"/>
    <cellStyle name="Normal 12 6 2 5" xfId="10067"/>
    <cellStyle name="Normal 12 6 2 5 2" xfId="22414"/>
    <cellStyle name="Normal 12 6 2 6" xfId="16191"/>
    <cellStyle name="Normal 12 6 3" xfId="3809"/>
    <cellStyle name="Normal 12 6 3 2" xfId="3810"/>
    <cellStyle name="Normal 12 6 3 2 2" xfId="10074"/>
    <cellStyle name="Normal 12 6 3 2 2 2" xfId="22421"/>
    <cellStyle name="Normal 12 6 3 2 3" xfId="16198"/>
    <cellStyle name="Normal 12 6 3 3" xfId="10073"/>
    <cellStyle name="Normal 12 6 3 3 2" xfId="22420"/>
    <cellStyle name="Normal 12 6 3 4" xfId="16197"/>
    <cellStyle name="Normal 12 6 4" xfId="3811"/>
    <cellStyle name="Normal 12 6 4 2" xfId="3812"/>
    <cellStyle name="Normal 12 6 4 2 2" xfId="10076"/>
    <cellStyle name="Normal 12 6 4 2 2 2" xfId="22423"/>
    <cellStyle name="Normal 12 6 4 2 3" xfId="16200"/>
    <cellStyle name="Normal 12 6 4 3" xfId="10075"/>
    <cellStyle name="Normal 12 6 4 3 2" xfId="22422"/>
    <cellStyle name="Normal 12 6 4 4" xfId="16199"/>
    <cellStyle name="Normal 12 6 5" xfId="3813"/>
    <cellStyle name="Normal 12 6 5 2" xfId="10077"/>
    <cellStyle name="Normal 12 6 5 2 2" xfId="22424"/>
    <cellStyle name="Normal 12 6 5 3" xfId="16201"/>
    <cellStyle name="Normal 12 6 6" xfId="3814"/>
    <cellStyle name="Normal 12 6 6 2" xfId="16202"/>
    <cellStyle name="Normal 12 6 7" xfId="10066"/>
    <cellStyle name="Normal 12 6 7 2" xfId="22413"/>
    <cellStyle name="Normal 12 7" xfId="3815"/>
    <cellStyle name="Normal 12 7 2" xfId="3816"/>
    <cellStyle name="Normal 12 7 2 2" xfId="3817"/>
    <cellStyle name="Normal 12 7 2 2 2" xfId="10079"/>
    <cellStyle name="Normal 12 7 2 2 2 2" xfId="22426"/>
    <cellStyle name="Normal 12 7 2 2 3" xfId="16204"/>
    <cellStyle name="Normal 12 7 2 3" xfId="10078"/>
    <cellStyle name="Normal 12 7 2 3 2" xfId="22425"/>
    <cellStyle name="Normal 12 7 2 4" xfId="16203"/>
    <cellStyle name="Normal 12 7 3" xfId="3818"/>
    <cellStyle name="Normal 12 7 3 2" xfId="3819"/>
    <cellStyle name="Normal 12 7 3 2 2" xfId="10081"/>
    <cellStyle name="Normal 12 7 3 2 2 2" xfId="22428"/>
    <cellStyle name="Normal 12 7 3 2 3" xfId="16206"/>
    <cellStyle name="Normal 12 7 3 3" xfId="10080"/>
    <cellStyle name="Normal 12 7 3 3 2" xfId="22427"/>
    <cellStyle name="Normal 12 7 3 4" xfId="16205"/>
    <cellStyle name="Normal 12 7 4" xfId="3820"/>
    <cellStyle name="Normal 12 7 4 2" xfId="10082"/>
    <cellStyle name="Normal 12 7 4 2 2" xfId="22429"/>
    <cellStyle name="Normal 12 7 4 3" xfId="16207"/>
    <cellStyle name="Normal 12 8" xfId="3821"/>
    <cellStyle name="Normal 12 8 2" xfId="3822"/>
    <cellStyle name="Normal 12 8 2 2" xfId="10083"/>
    <cellStyle name="Normal 12 8 2 2 2" xfId="22430"/>
    <cellStyle name="Normal 12 8 2 3" xfId="16208"/>
    <cellStyle name="Normal 12 9" xfId="3823"/>
    <cellStyle name="Normal 12 9 2" xfId="3824"/>
    <cellStyle name="Normal 12 9 2 2" xfId="10085"/>
    <cellStyle name="Normal 12 9 2 2 2" xfId="22432"/>
    <cellStyle name="Normal 12 9 2 3" xfId="16210"/>
    <cellStyle name="Normal 12 9 3" xfId="10084"/>
    <cellStyle name="Normal 12 9 3 2" xfId="22431"/>
    <cellStyle name="Normal 12 9 4" xfId="16209"/>
    <cellStyle name="Normal 12_2180" xfId="3825"/>
    <cellStyle name="Normal 120" xfId="3826"/>
    <cellStyle name="Normal 120 2" xfId="10086"/>
    <cellStyle name="Normal 120 2 2" xfId="22433"/>
    <cellStyle name="Normal 120 3" xfId="16211"/>
    <cellStyle name="Normal 121" xfId="3827"/>
    <cellStyle name="Normal 121 2" xfId="10087"/>
    <cellStyle name="Normal 121 2 2" xfId="22434"/>
    <cellStyle name="Normal 121 3" xfId="16212"/>
    <cellStyle name="Normal 122" xfId="3828"/>
    <cellStyle name="Normal 122 2" xfId="10088"/>
    <cellStyle name="Normal 122 2 2" xfId="22435"/>
    <cellStyle name="Normal 122 3" xfId="16213"/>
    <cellStyle name="Normal 123" xfId="3829"/>
    <cellStyle name="Normal 123 2" xfId="10089"/>
    <cellStyle name="Normal 123 2 2" xfId="22436"/>
    <cellStyle name="Normal 123 3" xfId="16214"/>
    <cellStyle name="Normal 124" xfId="3830"/>
    <cellStyle name="Normal 124 2" xfId="10090"/>
    <cellStyle name="Normal 124 2 2" xfId="22437"/>
    <cellStyle name="Normal 124 3" xfId="16215"/>
    <cellStyle name="Normal 125" xfId="3831"/>
    <cellStyle name="Normal 125 2" xfId="10091"/>
    <cellStyle name="Normal 125 2 2" xfId="22438"/>
    <cellStyle name="Normal 125 3" xfId="16216"/>
    <cellStyle name="Normal 126" xfId="3832"/>
    <cellStyle name="Normal 126 2" xfId="10092"/>
    <cellStyle name="Normal 126 2 2" xfId="22439"/>
    <cellStyle name="Normal 126 3" xfId="16217"/>
    <cellStyle name="Normal 127" xfId="3833"/>
    <cellStyle name="Normal 127 2" xfId="10093"/>
    <cellStyle name="Normal 127 2 2" xfId="22440"/>
    <cellStyle name="Normal 127 3" xfId="16218"/>
    <cellStyle name="Normal 128" xfId="3834"/>
    <cellStyle name="Normal 128 2" xfId="3835"/>
    <cellStyle name="Normal 128 3" xfId="3836"/>
    <cellStyle name="Normal 128 4" xfId="16219"/>
    <cellStyle name="Normal 129" xfId="3837"/>
    <cellStyle name="Normal 129 2" xfId="10094"/>
    <cellStyle name="Normal 129 2 2" xfId="22441"/>
    <cellStyle name="Normal 129 3" xfId="16220"/>
    <cellStyle name="Normal 13" xfId="3838"/>
    <cellStyle name="Normal 13 10" xfId="3839"/>
    <cellStyle name="Normal 13 10 2" xfId="10096"/>
    <cellStyle name="Normal 13 10 2 2" xfId="22443"/>
    <cellStyle name="Normal 13 10 3" xfId="16222"/>
    <cellStyle name="Normal 13 11" xfId="10095"/>
    <cellStyle name="Normal 13 11 2" xfId="22442"/>
    <cellStyle name="Normal 13 12" xfId="16221"/>
    <cellStyle name="Normal 13 2" xfId="3840"/>
    <cellStyle name="Normal 13 2 2" xfId="3841"/>
    <cellStyle name="Normal 13 2 2 2" xfId="3842"/>
    <cellStyle name="Normal 13 2 2 2 2" xfId="3843"/>
    <cellStyle name="Normal 13 2 2 2 2 2" xfId="3844"/>
    <cellStyle name="Normal 13 2 2 2 2 2 2" xfId="3845"/>
    <cellStyle name="Normal 13 2 2 2 2 2 2 2" xfId="3846"/>
    <cellStyle name="Normal 13 2 2 2 2 2 2 2 2" xfId="10101"/>
    <cellStyle name="Normal 13 2 2 2 2 2 2 2 2 2" xfId="22448"/>
    <cellStyle name="Normal 13 2 2 2 2 2 2 2 3" xfId="16226"/>
    <cellStyle name="Normal 13 2 2 2 2 2 2 3" xfId="10100"/>
    <cellStyle name="Normal 13 2 2 2 2 2 2 3 2" xfId="22447"/>
    <cellStyle name="Normal 13 2 2 2 2 2 2 4" xfId="16225"/>
    <cellStyle name="Normal 13 2 2 2 2 2 3" xfId="3847"/>
    <cellStyle name="Normal 13 2 2 2 2 2 3 2" xfId="3848"/>
    <cellStyle name="Normal 13 2 2 2 2 2 3 2 2" xfId="10103"/>
    <cellStyle name="Normal 13 2 2 2 2 2 3 2 2 2" xfId="22450"/>
    <cellStyle name="Normal 13 2 2 2 2 2 3 2 3" xfId="16228"/>
    <cellStyle name="Normal 13 2 2 2 2 2 3 3" xfId="10102"/>
    <cellStyle name="Normal 13 2 2 2 2 2 3 3 2" xfId="22449"/>
    <cellStyle name="Normal 13 2 2 2 2 2 3 4" xfId="16227"/>
    <cellStyle name="Normal 13 2 2 2 2 2 4" xfId="3849"/>
    <cellStyle name="Normal 13 2 2 2 2 2 4 2" xfId="10104"/>
    <cellStyle name="Normal 13 2 2 2 2 2 4 2 2" xfId="22451"/>
    <cellStyle name="Normal 13 2 2 2 2 2 4 3" xfId="16229"/>
    <cellStyle name="Normal 13 2 2 2 2 2 5" xfId="10099"/>
    <cellStyle name="Normal 13 2 2 2 2 2 5 2" xfId="22446"/>
    <cellStyle name="Normal 13 2 2 2 2 2 6" xfId="16224"/>
    <cellStyle name="Normal 13 2 2 2 2 3" xfId="3850"/>
    <cellStyle name="Normal 13 2 2 2 2 3 2" xfId="3851"/>
    <cellStyle name="Normal 13 2 2 2 2 3 2 2" xfId="10106"/>
    <cellStyle name="Normal 13 2 2 2 2 3 2 2 2" xfId="22453"/>
    <cellStyle name="Normal 13 2 2 2 2 3 2 3" xfId="16231"/>
    <cellStyle name="Normal 13 2 2 2 2 3 3" xfId="10105"/>
    <cellStyle name="Normal 13 2 2 2 2 3 3 2" xfId="22452"/>
    <cellStyle name="Normal 13 2 2 2 2 3 4" xfId="16230"/>
    <cellStyle name="Normal 13 2 2 2 2 4" xfId="3852"/>
    <cellStyle name="Normal 13 2 2 2 2 4 2" xfId="3853"/>
    <cellStyle name="Normal 13 2 2 2 2 4 2 2" xfId="10108"/>
    <cellStyle name="Normal 13 2 2 2 2 4 2 2 2" xfId="22455"/>
    <cellStyle name="Normal 13 2 2 2 2 4 2 3" xfId="16233"/>
    <cellStyle name="Normal 13 2 2 2 2 4 3" xfId="10107"/>
    <cellStyle name="Normal 13 2 2 2 2 4 3 2" xfId="22454"/>
    <cellStyle name="Normal 13 2 2 2 2 4 4" xfId="16232"/>
    <cellStyle name="Normal 13 2 2 2 2 5" xfId="3854"/>
    <cellStyle name="Normal 13 2 2 2 2 5 2" xfId="10109"/>
    <cellStyle name="Normal 13 2 2 2 2 5 2 2" xfId="22456"/>
    <cellStyle name="Normal 13 2 2 2 2 5 3" xfId="16234"/>
    <cellStyle name="Normal 13 2 2 2 2 6" xfId="10098"/>
    <cellStyle name="Normal 13 2 2 2 2 6 2" xfId="22445"/>
    <cellStyle name="Normal 13 2 2 2 2 7" xfId="16223"/>
    <cellStyle name="Normal 13 2 2 2 3" xfId="3855"/>
    <cellStyle name="Normal 13 2 2 2 3 2" xfId="3856"/>
    <cellStyle name="Normal 13 2 2 2 3 2 2" xfId="3857"/>
    <cellStyle name="Normal 13 2 2 2 3 2 2 2" xfId="10112"/>
    <cellStyle name="Normal 13 2 2 2 3 2 2 2 2" xfId="22459"/>
    <cellStyle name="Normal 13 2 2 2 3 2 2 3" xfId="16237"/>
    <cellStyle name="Normal 13 2 2 2 3 2 3" xfId="10111"/>
    <cellStyle name="Normal 13 2 2 2 3 2 3 2" xfId="22458"/>
    <cellStyle name="Normal 13 2 2 2 3 2 4" xfId="16236"/>
    <cellStyle name="Normal 13 2 2 2 3 3" xfId="3858"/>
    <cellStyle name="Normal 13 2 2 2 3 3 2" xfId="3859"/>
    <cellStyle name="Normal 13 2 2 2 3 3 2 2" xfId="10114"/>
    <cellStyle name="Normal 13 2 2 2 3 3 2 2 2" xfId="22461"/>
    <cellStyle name="Normal 13 2 2 2 3 3 2 3" xfId="16239"/>
    <cellStyle name="Normal 13 2 2 2 3 3 3" xfId="10113"/>
    <cellStyle name="Normal 13 2 2 2 3 3 3 2" xfId="22460"/>
    <cellStyle name="Normal 13 2 2 2 3 3 4" xfId="16238"/>
    <cellStyle name="Normal 13 2 2 2 3 4" xfId="3860"/>
    <cellStyle name="Normal 13 2 2 2 3 4 2" xfId="10115"/>
    <cellStyle name="Normal 13 2 2 2 3 4 2 2" xfId="22462"/>
    <cellStyle name="Normal 13 2 2 2 3 4 3" xfId="16240"/>
    <cellStyle name="Normal 13 2 2 2 3 5" xfId="10110"/>
    <cellStyle name="Normal 13 2 2 2 3 5 2" xfId="22457"/>
    <cellStyle name="Normal 13 2 2 2 3 6" xfId="16235"/>
    <cellStyle name="Normal 13 2 2 2 4" xfId="3861"/>
    <cellStyle name="Normal 13 2 2 2 4 2" xfId="3862"/>
    <cellStyle name="Normal 13 2 2 2 4 2 2" xfId="10117"/>
    <cellStyle name="Normal 13 2 2 2 4 2 2 2" xfId="22464"/>
    <cellStyle name="Normal 13 2 2 2 4 2 3" xfId="16242"/>
    <cellStyle name="Normal 13 2 2 2 4 3" xfId="10116"/>
    <cellStyle name="Normal 13 2 2 2 4 3 2" xfId="22463"/>
    <cellStyle name="Normal 13 2 2 2 4 4" xfId="16241"/>
    <cellStyle name="Normal 13 2 2 2 5" xfId="3863"/>
    <cellStyle name="Normal 13 2 2 2 5 2" xfId="3864"/>
    <cellStyle name="Normal 13 2 2 2 5 2 2" xfId="10119"/>
    <cellStyle name="Normal 13 2 2 2 5 2 2 2" xfId="22466"/>
    <cellStyle name="Normal 13 2 2 2 5 2 3" xfId="16244"/>
    <cellStyle name="Normal 13 2 2 2 5 3" xfId="10118"/>
    <cellStyle name="Normal 13 2 2 2 5 3 2" xfId="22465"/>
    <cellStyle name="Normal 13 2 2 2 5 4" xfId="16243"/>
    <cellStyle name="Normal 13 2 2 2 6" xfId="3865"/>
    <cellStyle name="Normal 13 2 2 2 6 2" xfId="10120"/>
    <cellStyle name="Normal 13 2 2 2 6 2 2" xfId="22467"/>
    <cellStyle name="Normal 13 2 2 2 6 3" xfId="16245"/>
    <cellStyle name="Normal 13 2 2 3" xfId="3866"/>
    <cellStyle name="Normal 13 2 2 3 2" xfId="3867"/>
    <cellStyle name="Normal 13 2 2 3 2 2" xfId="3868"/>
    <cellStyle name="Normal 13 2 2 3 2 2 2" xfId="3869"/>
    <cellStyle name="Normal 13 2 2 3 2 2 2 2" xfId="10123"/>
    <cellStyle name="Normal 13 2 2 3 2 2 2 2 2" xfId="22470"/>
    <cellStyle name="Normal 13 2 2 3 2 2 2 3" xfId="16248"/>
    <cellStyle name="Normal 13 2 2 3 2 2 3" xfId="10122"/>
    <cellStyle name="Normal 13 2 2 3 2 2 3 2" xfId="22469"/>
    <cellStyle name="Normal 13 2 2 3 2 2 4" xfId="16247"/>
    <cellStyle name="Normal 13 2 2 3 2 3" xfId="3870"/>
    <cellStyle name="Normal 13 2 2 3 2 3 2" xfId="3871"/>
    <cellStyle name="Normal 13 2 2 3 2 3 2 2" xfId="10125"/>
    <cellStyle name="Normal 13 2 2 3 2 3 2 2 2" xfId="22472"/>
    <cellStyle name="Normal 13 2 2 3 2 3 2 3" xfId="16250"/>
    <cellStyle name="Normal 13 2 2 3 2 3 3" xfId="10124"/>
    <cellStyle name="Normal 13 2 2 3 2 3 3 2" xfId="22471"/>
    <cellStyle name="Normal 13 2 2 3 2 3 4" xfId="16249"/>
    <cellStyle name="Normal 13 2 2 3 2 4" xfId="3872"/>
    <cellStyle name="Normal 13 2 2 3 2 4 2" xfId="10126"/>
    <cellStyle name="Normal 13 2 2 3 2 4 2 2" xfId="22473"/>
    <cellStyle name="Normal 13 2 2 3 2 4 3" xfId="16251"/>
    <cellStyle name="Normal 13 2 2 3 2 5" xfId="10121"/>
    <cellStyle name="Normal 13 2 2 3 2 5 2" xfId="22468"/>
    <cellStyle name="Normal 13 2 2 3 2 6" xfId="16246"/>
    <cellStyle name="Normal 13 2 2 3 3" xfId="3873"/>
    <cellStyle name="Normal 13 2 2 3 3 2" xfId="3874"/>
    <cellStyle name="Normal 13 2 2 3 3 2 2" xfId="10128"/>
    <cellStyle name="Normal 13 2 2 3 3 2 2 2" xfId="22475"/>
    <cellStyle name="Normal 13 2 2 3 3 2 3" xfId="16253"/>
    <cellStyle name="Normal 13 2 2 3 3 3" xfId="10127"/>
    <cellStyle name="Normal 13 2 2 3 3 3 2" xfId="22474"/>
    <cellStyle name="Normal 13 2 2 3 3 4" xfId="16252"/>
    <cellStyle name="Normal 13 2 2 3 4" xfId="3875"/>
    <cellStyle name="Normal 13 2 2 3 4 2" xfId="3876"/>
    <cellStyle name="Normal 13 2 2 3 4 2 2" xfId="10130"/>
    <cellStyle name="Normal 13 2 2 3 4 2 2 2" xfId="22477"/>
    <cellStyle name="Normal 13 2 2 3 4 2 3" xfId="16255"/>
    <cellStyle name="Normal 13 2 2 3 4 3" xfId="10129"/>
    <cellStyle name="Normal 13 2 2 3 4 3 2" xfId="22476"/>
    <cellStyle name="Normal 13 2 2 3 4 4" xfId="16254"/>
    <cellStyle name="Normal 13 2 2 3 5" xfId="3877"/>
    <cellStyle name="Normal 13 2 2 3 5 2" xfId="10131"/>
    <cellStyle name="Normal 13 2 2 3 5 2 2" xfId="22478"/>
    <cellStyle name="Normal 13 2 2 3 5 3" xfId="16256"/>
    <cellStyle name="Normal 13 2 2 4" xfId="3878"/>
    <cellStyle name="Normal 13 2 2 4 2" xfId="3879"/>
    <cellStyle name="Normal 13 2 2 4 2 2" xfId="3880"/>
    <cellStyle name="Normal 13 2 2 4 2 2 2" xfId="10134"/>
    <cellStyle name="Normal 13 2 2 4 2 2 2 2" xfId="22481"/>
    <cellStyle name="Normal 13 2 2 4 2 2 3" xfId="16259"/>
    <cellStyle name="Normal 13 2 2 4 2 3" xfId="10133"/>
    <cellStyle name="Normal 13 2 2 4 2 3 2" xfId="22480"/>
    <cellStyle name="Normal 13 2 2 4 2 4" xfId="16258"/>
    <cellStyle name="Normal 13 2 2 4 3" xfId="3881"/>
    <cellStyle name="Normal 13 2 2 4 3 2" xfId="3882"/>
    <cellStyle name="Normal 13 2 2 4 3 2 2" xfId="10136"/>
    <cellStyle name="Normal 13 2 2 4 3 2 2 2" xfId="22483"/>
    <cellStyle name="Normal 13 2 2 4 3 2 3" xfId="16261"/>
    <cellStyle name="Normal 13 2 2 4 3 3" xfId="10135"/>
    <cellStyle name="Normal 13 2 2 4 3 3 2" xfId="22482"/>
    <cellStyle name="Normal 13 2 2 4 3 4" xfId="16260"/>
    <cellStyle name="Normal 13 2 2 4 4" xfId="3883"/>
    <cellStyle name="Normal 13 2 2 4 4 2" xfId="10137"/>
    <cellStyle name="Normal 13 2 2 4 4 2 2" xfId="22484"/>
    <cellStyle name="Normal 13 2 2 4 4 3" xfId="16262"/>
    <cellStyle name="Normal 13 2 2 4 5" xfId="10132"/>
    <cellStyle name="Normal 13 2 2 4 5 2" xfId="22479"/>
    <cellStyle name="Normal 13 2 2 4 6" xfId="16257"/>
    <cellStyle name="Normal 13 2 2 5" xfId="3884"/>
    <cellStyle name="Normal 13 2 2 5 2" xfId="3885"/>
    <cellStyle name="Normal 13 2 2 5 2 2" xfId="10139"/>
    <cellStyle name="Normal 13 2 2 5 2 2 2" xfId="22486"/>
    <cellStyle name="Normal 13 2 2 5 2 3" xfId="16264"/>
    <cellStyle name="Normal 13 2 2 5 3" xfId="10138"/>
    <cellStyle name="Normal 13 2 2 5 3 2" xfId="22485"/>
    <cellStyle name="Normal 13 2 2 5 4" xfId="16263"/>
    <cellStyle name="Normal 13 2 2 6" xfId="3886"/>
    <cellStyle name="Normal 13 2 2 6 2" xfId="3887"/>
    <cellStyle name="Normal 13 2 2 6 2 2" xfId="10141"/>
    <cellStyle name="Normal 13 2 2 6 2 2 2" xfId="22488"/>
    <cellStyle name="Normal 13 2 2 6 2 3" xfId="16266"/>
    <cellStyle name="Normal 13 2 2 6 3" xfId="10140"/>
    <cellStyle name="Normal 13 2 2 6 3 2" xfId="22487"/>
    <cellStyle name="Normal 13 2 2 6 4" xfId="16265"/>
    <cellStyle name="Normal 13 2 2 7" xfId="3888"/>
    <cellStyle name="Normal 13 2 2 7 2" xfId="10142"/>
    <cellStyle name="Normal 13 2 2 7 2 2" xfId="22489"/>
    <cellStyle name="Normal 13 2 2 7 3" xfId="16267"/>
    <cellStyle name="Normal 13 2 2 8" xfId="3889"/>
    <cellStyle name="Normal 13 2 2 8 2" xfId="16268"/>
    <cellStyle name="Normal 13 2 2 9" xfId="10097"/>
    <cellStyle name="Normal 13 2 2 9 2" xfId="22444"/>
    <cellStyle name="Normal 13 2 3" xfId="3890"/>
    <cellStyle name="Normal 13 2 3 2" xfId="3891"/>
    <cellStyle name="Normal 13 2 3 2 2" xfId="3892"/>
    <cellStyle name="Normal 13 2 3 2 2 2" xfId="3893"/>
    <cellStyle name="Normal 13 2 3 2 2 2 2" xfId="3894"/>
    <cellStyle name="Normal 13 2 3 2 2 2 2 2" xfId="10147"/>
    <cellStyle name="Normal 13 2 3 2 2 2 2 2 2" xfId="22494"/>
    <cellStyle name="Normal 13 2 3 2 2 2 2 3" xfId="16272"/>
    <cellStyle name="Normal 13 2 3 2 2 2 3" xfId="10146"/>
    <cellStyle name="Normal 13 2 3 2 2 2 3 2" xfId="22493"/>
    <cellStyle name="Normal 13 2 3 2 2 2 4" xfId="16271"/>
    <cellStyle name="Normal 13 2 3 2 2 3" xfId="3895"/>
    <cellStyle name="Normal 13 2 3 2 2 3 2" xfId="3896"/>
    <cellStyle name="Normal 13 2 3 2 2 3 2 2" xfId="10149"/>
    <cellStyle name="Normal 13 2 3 2 2 3 2 2 2" xfId="22496"/>
    <cellStyle name="Normal 13 2 3 2 2 3 2 3" xfId="16274"/>
    <cellStyle name="Normal 13 2 3 2 2 3 3" xfId="10148"/>
    <cellStyle name="Normal 13 2 3 2 2 3 3 2" xfId="22495"/>
    <cellStyle name="Normal 13 2 3 2 2 3 4" xfId="16273"/>
    <cellStyle name="Normal 13 2 3 2 2 4" xfId="3897"/>
    <cellStyle name="Normal 13 2 3 2 2 4 2" xfId="10150"/>
    <cellStyle name="Normal 13 2 3 2 2 4 2 2" xfId="22497"/>
    <cellStyle name="Normal 13 2 3 2 2 4 3" xfId="16275"/>
    <cellStyle name="Normal 13 2 3 2 2 5" xfId="10145"/>
    <cellStyle name="Normal 13 2 3 2 2 5 2" xfId="22492"/>
    <cellStyle name="Normal 13 2 3 2 2 6" xfId="16270"/>
    <cellStyle name="Normal 13 2 3 2 3" xfId="3898"/>
    <cellStyle name="Normal 13 2 3 2 3 2" xfId="3899"/>
    <cellStyle name="Normal 13 2 3 2 3 2 2" xfId="10152"/>
    <cellStyle name="Normal 13 2 3 2 3 2 2 2" xfId="22499"/>
    <cellStyle name="Normal 13 2 3 2 3 2 3" xfId="16277"/>
    <cellStyle name="Normal 13 2 3 2 3 3" xfId="10151"/>
    <cellStyle name="Normal 13 2 3 2 3 3 2" xfId="22498"/>
    <cellStyle name="Normal 13 2 3 2 3 4" xfId="16276"/>
    <cellStyle name="Normal 13 2 3 2 4" xfId="3900"/>
    <cellStyle name="Normal 13 2 3 2 4 2" xfId="3901"/>
    <cellStyle name="Normal 13 2 3 2 4 2 2" xfId="10154"/>
    <cellStyle name="Normal 13 2 3 2 4 2 2 2" xfId="22501"/>
    <cellStyle name="Normal 13 2 3 2 4 2 3" xfId="16279"/>
    <cellStyle name="Normal 13 2 3 2 4 3" xfId="10153"/>
    <cellStyle name="Normal 13 2 3 2 4 3 2" xfId="22500"/>
    <cellStyle name="Normal 13 2 3 2 4 4" xfId="16278"/>
    <cellStyle name="Normal 13 2 3 2 5" xfId="3902"/>
    <cellStyle name="Normal 13 2 3 2 5 2" xfId="10155"/>
    <cellStyle name="Normal 13 2 3 2 5 2 2" xfId="22502"/>
    <cellStyle name="Normal 13 2 3 2 5 3" xfId="16280"/>
    <cellStyle name="Normal 13 2 3 2 6" xfId="10144"/>
    <cellStyle name="Normal 13 2 3 2 6 2" xfId="22491"/>
    <cellStyle name="Normal 13 2 3 2 7" xfId="16269"/>
    <cellStyle name="Normal 13 2 3 3" xfId="3903"/>
    <cellStyle name="Normal 13 2 3 3 2" xfId="3904"/>
    <cellStyle name="Normal 13 2 3 3 2 2" xfId="3905"/>
    <cellStyle name="Normal 13 2 3 3 2 2 2" xfId="10158"/>
    <cellStyle name="Normal 13 2 3 3 2 2 2 2" xfId="22505"/>
    <cellStyle name="Normal 13 2 3 3 2 2 3" xfId="16283"/>
    <cellStyle name="Normal 13 2 3 3 2 3" xfId="10157"/>
    <cellStyle name="Normal 13 2 3 3 2 3 2" xfId="22504"/>
    <cellStyle name="Normal 13 2 3 3 2 4" xfId="16282"/>
    <cellStyle name="Normal 13 2 3 3 3" xfId="3906"/>
    <cellStyle name="Normal 13 2 3 3 3 2" xfId="3907"/>
    <cellStyle name="Normal 13 2 3 3 3 2 2" xfId="10160"/>
    <cellStyle name="Normal 13 2 3 3 3 2 2 2" xfId="22507"/>
    <cellStyle name="Normal 13 2 3 3 3 2 3" xfId="16285"/>
    <cellStyle name="Normal 13 2 3 3 3 3" xfId="10159"/>
    <cellStyle name="Normal 13 2 3 3 3 3 2" xfId="22506"/>
    <cellStyle name="Normal 13 2 3 3 3 4" xfId="16284"/>
    <cellStyle name="Normal 13 2 3 3 4" xfId="3908"/>
    <cellStyle name="Normal 13 2 3 3 4 2" xfId="10161"/>
    <cellStyle name="Normal 13 2 3 3 4 2 2" xfId="22508"/>
    <cellStyle name="Normal 13 2 3 3 4 3" xfId="16286"/>
    <cellStyle name="Normal 13 2 3 3 5" xfId="10156"/>
    <cellStyle name="Normal 13 2 3 3 5 2" xfId="22503"/>
    <cellStyle name="Normal 13 2 3 3 6" xfId="16281"/>
    <cellStyle name="Normal 13 2 3 4" xfId="3909"/>
    <cellStyle name="Normal 13 2 3 4 2" xfId="3910"/>
    <cellStyle name="Normal 13 2 3 4 2 2" xfId="10163"/>
    <cellStyle name="Normal 13 2 3 4 2 2 2" xfId="22510"/>
    <cellStyle name="Normal 13 2 3 4 2 3" xfId="16288"/>
    <cellStyle name="Normal 13 2 3 4 3" xfId="10162"/>
    <cellStyle name="Normal 13 2 3 4 3 2" xfId="22509"/>
    <cellStyle name="Normal 13 2 3 4 4" xfId="16287"/>
    <cellStyle name="Normal 13 2 3 5" xfId="3911"/>
    <cellStyle name="Normal 13 2 3 5 2" xfId="3912"/>
    <cellStyle name="Normal 13 2 3 5 2 2" xfId="10165"/>
    <cellStyle name="Normal 13 2 3 5 2 2 2" xfId="22512"/>
    <cellStyle name="Normal 13 2 3 5 2 3" xfId="16290"/>
    <cellStyle name="Normal 13 2 3 5 3" xfId="10164"/>
    <cellStyle name="Normal 13 2 3 5 3 2" xfId="22511"/>
    <cellStyle name="Normal 13 2 3 5 4" xfId="16289"/>
    <cellStyle name="Normal 13 2 3 6" xfId="3913"/>
    <cellStyle name="Normal 13 2 3 6 2" xfId="10166"/>
    <cellStyle name="Normal 13 2 3 6 2 2" xfId="22513"/>
    <cellStyle name="Normal 13 2 3 6 3" xfId="16291"/>
    <cellStyle name="Normal 13 2 3 7" xfId="3914"/>
    <cellStyle name="Normal 13 2 3 7 2" xfId="16292"/>
    <cellStyle name="Normal 13 2 3 8" xfId="10143"/>
    <cellStyle name="Normal 13 2 3 8 2" xfId="22490"/>
    <cellStyle name="Normal 13 2 4" xfId="3915"/>
    <cellStyle name="Normal 13 2 4 2" xfId="3916"/>
    <cellStyle name="Normal 13 2 4 2 2" xfId="3917"/>
    <cellStyle name="Normal 13 2 4 2 2 2" xfId="3918"/>
    <cellStyle name="Normal 13 2 4 2 2 2 2" xfId="10170"/>
    <cellStyle name="Normal 13 2 4 2 2 2 2 2" xfId="22517"/>
    <cellStyle name="Normal 13 2 4 2 2 2 3" xfId="16296"/>
    <cellStyle name="Normal 13 2 4 2 2 3" xfId="10169"/>
    <cellStyle name="Normal 13 2 4 2 2 3 2" xfId="22516"/>
    <cellStyle name="Normal 13 2 4 2 2 4" xfId="16295"/>
    <cellStyle name="Normal 13 2 4 2 3" xfId="3919"/>
    <cellStyle name="Normal 13 2 4 2 3 2" xfId="3920"/>
    <cellStyle name="Normal 13 2 4 2 3 2 2" xfId="10172"/>
    <cellStyle name="Normal 13 2 4 2 3 2 2 2" xfId="22519"/>
    <cellStyle name="Normal 13 2 4 2 3 2 3" xfId="16298"/>
    <cellStyle name="Normal 13 2 4 2 3 3" xfId="10171"/>
    <cellStyle name="Normal 13 2 4 2 3 3 2" xfId="22518"/>
    <cellStyle name="Normal 13 2 4 2 3 4" xfId="16297"/>
    <cellStyle name="Normal 13 2 4 2 4" xfId="3921"/>
    <cellStyle name="Normal 13 2 4 2 4 2" xfId="10173"/>
    <cellStyle name="Normal 13 2 4 2 4 2 2" xfId="22520"/>
    <cellStyle name="Normal 13 2 4 2 4 3" xfId="16299"/>
    <cellStyle name="Normal 13 2 4 2 5" xfId="10168"/>
    <cellStyle name="Normal 13 2 4 2 5 2" xfId="22515"/>
    <cellStyle name="Normal 13 2 4 2 6" xfId="16294"/>
    <cellStyle name="Normal 13 2 4 3" xfId="3922"/>
    <cellStyle name="Normal 13 2 4 3 2" xfId="3923"/>
    <cellStyle name="Normal 13 2 4 3 2 2" xfId="10175"/>
    <cellStyle name="Normal 13 2 4 3 2 2 2" xfId="22522"/>
    <cellStyle name="Normal 13 2 4 3 2 3" xfId="16301"/>
    <cellStyle name="Normal 13 2 4 3 3" xfId="10174"/>
    <cellStyle name="Normal 13 2 4 3 3 2" xfId="22521"/>
    <cellStyle name="Normal 13 2 4 3 4" xfId="16300"/>
    <cellStyle name="Normal 13 2 4 4" xfId="3924"/>
    <cellStyle name="Normal 13 2 4 4 2" xfId="3925"/>
    <cellStyle name="Normal 13 2 4 4 2 2" xfId="10177"/>
    <cellStyle name="Normal 13 2 4 4 2 2 2" xfId="22524"/>
    <cellStyle name="Normal 13 2 4 4 2 3" xfId="16303"/>
    <cellStyle name="Normal 13 2 4 4 3" xfId="10176"/>
    <cellStyle name="Normal 13 2 4 4 3 2" xfId="22523"/>
    <cellStyle name="Normal 13 2 4 4 4" xfId="16302"/>
    <cellStyle name="Normal 13 2 4 5" xfId="3926"/>
    <cellStyle name="Normal 13 2 4 5 2" xfId="10178"/>
    <cellStyle name="Normal 13 2 4 5 2 2" xfId="22525"/>
    <cellStyle name="Normal 13 2 4 5 3" xfId="16304"/>
    <cellStyle name="Normal 13 2 4 6" xfId="10167"/>
    <cellStyle name="Normal 13 2 4 6 2" xfId="22514"/>
    <cellStyle name="Normal 13 2 4 7" xfId="16293"/>
    <cellStyle name="Normal 13 2 5" xfId="3927"/>
    <cellStyle name="Normal 13 2 5 2" xfId="3928"/>
    <cellStyle name="Normal 13 2 5 2 2" xfId="3929"/>
    <cellStyle name="Normal 13 2 5 2 2 2" xfId="10181"/>
    <cellStyle name="Normal 13 2 5 2 2 2 2" xfId="22528"/>
    <cellStyle name="Normal 13 2 5 2 2 3" xfId="16307"/>
    <cellStyle name="Normal 13 2 5 2 3" xfId="10180"/>
    <cellStyle name="Normal 13 2 5 2 3 2" xfId="22527"/>
    <cellStyle name="Normal 13 2 5 2 4" xfId="16306"/>
    <cellStyle name="Normal 13 2 5 3" xfId="3930"/>
    <cellStyle name="Normal 13 2 5 3 2" xfId="3931"/>
    <cellStyle name="Normal 13 2 5 3 2 2" xfId="10183"/>
    <cellStyle name="Normal 13 2 5 3 2 2 2" xfId="22530"/>
    <cellStyle name="Normal 13 2 5 3 2 3" xfId="16309"/>
    <cellStyle name="Normal 13 2 5 3 3" xfId="10182"/>
    <cellStyle name="Normal 13 2 5 3 3 2" xfId="22529"/>
    <cellStyle name="Normal 13 2 5 3 4" xfId="16308"/>
    <cellStyle name="Normal 13 2 5 4" xfId="3932"/>
    <cellStyle name="Normal 13 2 5 4 2" xfId="10184"/>
    <cellStyle name="Normal 13 2 5 4 2 2" xfId="22531"/>
    <cellStyle name="Normal 13 2 5 4 3" xfId="16310"/>
    <cellStyle name="Normal 13 2 5 5" xfId="10179"/>
    <cellStyle name="Normal 13 2 5 5 2" xfId="22526"/>
    <cellStyle name="Normal 13 2 5 6" xfId="16305"/>
    <cellStyle name="Normal 13 2 6" xfId="3933"/>
    <cellStyle name="Normal 13 2 6 2" xfId="3934"/>
    <cellStyle name="Normal 13 2 6 2 2" xfId="10186"/>
    <cellStyle name="Normal 13 2 6 2 2 2" xfId="22533"/>
    <cellStyle name="Normal 13 2 6 2 3" xfId="16312"/>
    <cellStyle name="Normal 13 2 6 3" xfId="10185"/>
    <cellStyle name="Normal 13 2 6 3 2" xfId="22532"/>
    <cellStyle name="Normal 13 2 6 4" xfId="16311"/>
    <cellStyle name="Normal 13 2 7" xfId="3935"/>
    <cellStyle name="Normal 13 2 7 2" xfId="3936"/>
    <cellStyle name="Normal 13 2 7 2 2" xfId="10188"/>
    <cellStyle name="Normal 13 2 7 2 2 2" xfId="22535"/>
    <cellStyle name="Normal 13 2 7 2 3" xfId="16314"/>
    <cellStyle name="Normal 13 2 7 3" xfId="10187"/>
    <cellStyle name="Normal 13 2 7 3 2" xfId="22534"/>
    <cellStyle name="Normal 13 2 7 4" xfId="16313"/>
    <cellStyle name="Normal 13 2 8" xfId="3937"/>
    <cellStyle name="Normal 13 2 8 2" xfId="10189"/>
    <cellStyle name="Normal 13 2 8 2 2" xfId="22536"/>
    <cellStyle name="Normal 13 2 8 3" xfId="16315"/>
    <cellStyle name="Normal 13 3" xfId="3938"/>
    <cellStyle name="Normal 13 3 2" xfId="3939"/>
    <cellStyle name="Normal 13 3 2 2" xfId="3940"/>
    <cellStyle name="Normal 13 3 2 2 2" xfId="3941"/>
    <cellStyle name="Normal 13 3 2 2 2 2" xfId="3942"/>
    <cellStyle name="Normal 13 3 2 2 2 2 2" xfId="3943"/>
    <cellStyle name="Normal 13 3 2 2 2 2 2 2" xfId="10194"/>
    <cellStyle name="Normal 13 3 2 2 2 2 2 2 2" xfId="22541"/>
    <cellStyle name="Normal 13 3 2 2 2 2 2 3" xfId="16320"/>
    <cellStyle name="Normal 13 3 2 2 2 2 3" xfId="10193"/>
    <cellStyle name="Normal 13 3 2 2 2 2 3 2" xfId="22540"/>
    <cellStyle name="Normal 13 3 2 2 2 2 4" xfId="16319"/>
    <cellStyle name="Normal 13 3 2 2 2 3" xfId="3944"/>
    <cellStyle name="Normal 13 3 2 2 2 3 2" xfId="3945"/>
    <cellStyle name="Normal 13 3 2 2 2 3 2 2" xfId="10196"/>
    <cellStyle name="Normal 13 3 2 2 2 3 2 2 2" xfId="22543"/>
    <cellStyle name="Normal 13 3 2 2 2 3 2 3" xfId="16322"/>
    <cellStyle name="Normal 13 3 2 2 2 3 3" xfId="10195"/>
    <cellStyle name="Normal 13 3 2 2 2 3 3 2" xfId="22542"/>
    <cellStyle name="Normal 13 3 2 2 2 3 4" xfId="16321"/>
    <cellStyle name="Normal 13 3 2 2 2 4" xfId="3946"/>
    <cellStyle name="Normal 13 3 2 2 2 4 2" xfId="10197"/>
    <cellStyle name="Normal 13 3 2 2 2 4 2 2" xfId="22544"/>
    <cellStyle name="Normal 13 3 2 2 2 4 3" xfId="16323"/>
    <cellStyle name="Normal 13 3 2 2 2 5" xfId="10192"/>
    <cellStyle name="Normal 13 3 2 2 2 5 2" xfId="22539"/>
    <cellStyle name="Normal 13 3 2 2 2 6" xfId="16318"/>
    <cellStyle name="Normal 13 3 2 2 3" xfId="3947"/>
    <cellStyle name="Normal 13 3 2 2 3 2" xfId="3948"/>
    <cellStyle name="Normal 13 3 2 2 3 2 2" xfId="10199"/>
    <cellStyle name="Normal 13 3 2 2 3 2 2 2" xfId="22546"/>
    <cellStyle name="Normal 13 3 2 2 3 2 3" xfId="16325"/>
    <cellStyle name="Normal 13 3 2 2 3 3" xfId="10198"/>
    <cellStyle name="Normal 13 3 2 2 3 3 2" xfId="22545"/>
    <cellStyle name="Normal 13 3 2 2 3 4" xfId="16324"/>
    <cellStyle name="Normal 13 3 2 2 4" xfId="3949"/>
    <cellStyle name="Normal 13 3 2 2 4 2" xfId="3950"/>
    <cellStyle name="Normal 13 3 2 2 4 2 2" xfId="10201"/>
    <cellStyle name="Normal 13 3 2 2 4 2 2 2" xfId="22548"/>
    <cellStyle name="Normal 13 3 2 2 4 2 3" xfId="16327"/>
    <cellStyle name="Normal 13 3 2 2 4 3" xfId="10200"/>
    <cellStyle name="Normal 13 3 2 2 4 3 2" xfId="22547"/>
    <cellStyle name="Normal 13 3 2 2 4 4" xfId="16326"/>
    <cellStyle name="Normal 13 3 2 2 5" xfId="3951"/>
    <cellStyle name="Normal 13 3 2 2 5 2" xfId="10202"/>
    <cellStyle name="Normal 13 3 2 2 5 2 2" xfId="22549"/>
    <cellStyle name="Normal 13 3 2 2 5 3" xfId="16328"/>
    <cellStyle name="Normal 13 3 2 2 6" xfId="10191"/>
    <cellStyle name="Normal 13 3 2 2 6 2" xfId="22538"/>
    <cellStyle name="Normal 13 3 2 2 7" xfId="16317"/>
    <cellStyle name="Normal 13 3 2 3" xfId="3952"/>
    <cellStyle name="Normal 13 3 2 3 2" xfId="3953"/>
    <cellStyle name="Normal 13 3 2 3 2 2" xfId="3954"/>
    <cellStyle name="Normal 13 3 2 3 2 2 2" xfId="10205"/>
    <cellStyle name="Normal 13 3 2 3 2 2 2 2" xfId="22552"/>
    <cellStyle name="Normal 13 3 2 3 2 2 3" xfId="16331"/>
    <cellStyle name="Normal 13 3 2 3 2 3" xfId="10204"/>
    <cellStyle name="Normal 13 3 2 3 2 3 2" xfId="22551"/>
    <cellStyle name="Normal 13 3 2 3 2 4" xfId="16330"/>
    <cellStyle name="Normal 13 3 2 3 3" xfId="3955"/>
    <cellStyle name="Normal 13 3 2 3 3 2" xfId="3956"/>
    <cellStyle name="Normal 13 3 2 3 3 2 2" xfId="10207"/>
    <cellStyle name="Normal 13 3 2 3 3 2 2 2" xfId="22554"/>
    <cellStyle name="Normal 13 3 2 3 3 2 3" xfId="16333"/>
    <cellStyle name="Normal 13 3 2 3 3 3" xfId="10206"/>
    <cellStyle name="Normal 13 3 2 3 3 3 2" xfId="22553"/>
    <cellStyle name="Normal 13 3 2 3 3 4" xfId="16332"/>
    <cellStyle name="Normal 13 3 2 3 4" xfId="3957"/>
    <cellStyle name="Normal 13 3 2 3 4 2" xfId="10208"/>
    <cellStyle name="Normal 13 3 2 3 4 2 2" xfId="22555"/>
    <cellStyle name="Normal 13 3 2 3 4 3" xfId="16334"/>
    <cellStyle name="Normal 13 3 2 3 5" xfId="10203"/>
    <cellStyle name="Normal 13 3 2 3 5 2" xfId="22550"/>
    <cellStyle name="Normal 13 3 2 3 6" xfId="16329"/>
    <cellStyle name="Normal 13 3 2 4" xfId="3958"/>
    <cellStyle name="Normal 13 3 2 4 2" xfId="3959"/>
    <cellStyle name="Normal 13 3 2 4 2 2" xfId="10210"/>
    <cellStyle name="Normal 13 3 2 4 2 2 2" xfId="22557"/>
    <cellStyle name="Normal 13 3 2 4 2 3" xfId="16336"/>
    <cellStyle name="Normal 13 3 2 4 3" xfId="10209"/>
    <cellStyle name="Normal 13 3 2 4 3 2" xfId="22556"/>
    <cellStyle name="Normal 13 3 2 4 4" xfId="16335"/>
    <cellStyle name="Normal 13 3 2 5" xfId="3960"/>
    <cellStyle name="Normal 13 3 2 5 2" xfId="3961"/>
    <cellStyle name="Normal 13 3 2 5 2 2" xfId="10212"/>
    <cellStyle name="Normal 13 3 2 5 2 2 2" xfId="22559"/>
    <cellStyle name="Normal 13 3 2 5 2 3" xfId="16338"/>
    <cellStyle name="Normal 13 3 2 5 3" xfId="10211"/>
    <cellStyle name="Normal 13 3 2 5 3 2" xfId="22558"/>
    <cellStyle name="Normal 13 3 2 5 4" xfId="16337"/>
    <cellStyle name="Normal 13 3 2 6" xfId="3962"/>
    <cellStyle name="Normal 13 3 2 6 2" xfId="10213"/>
    <cellStyle name="Normal 13 3 2 6 2 2" xfId="22560"/>
    <cellStyle name="Normal 13 3 2 6 3" xfId="16339"/>
    <cellStyle name="Normal 13 3 2 7" xfId="10190"/>
    <cellStyle name="Normal 13 3 2 7 2" xfId="22537"/>
    <cellStyle name="Normal 13 3 2 8" xfId="16316"/>
    <cellStyle name="Normal 13 3 3" xfId="3963"/>
    <cellStyle name="Normal 13 3 3 2" xfId="3964"/>
    <cellStyle name="Normal 13 3 3 2 2" xfId="3965"/>
    <cellStyle name="Normal 13 3 3 2 2 2" xfId="3966"/>
    <cellStyle name="Normal 13 3 3 2 2 2 2" xfId="10217"/>
    <cellStyle name="Normal 13 3 3 2 2 2 2 2" xfId="22564"/>
    <cellStyle name="Normal 13 3 3 2 2 2 3" xfId="16343"/>
    <cellStyle name="Normal 13 3 3 2 2 3" xfId="10216"/>
    <cellStyle name="Normal 13 3 3 2 2 3 2" xfId="22563"/>
    <cellStyle name="Normal 13 3 3 2 2 4" xfId="16342"/>
    <cellStyle name="Normal 13 3 3 2 3" xfId="3967"/>
    <cellStyle name="Normal 13 3 3 2 3 2" xfId="3968"/>
    <cellStyle name="Normal 13 3 3 2 3 2 2" xfId="10219"/>
    <cellStyle name="Normal 13 3 3 2 3 2 2 2" xfId="22566"/>
    <cellStyle name="Normal 13 3 3 2 3 2 3" xfId="16345"/>
    <cellStyle name="Normal 13 3 3 2 3 3" xfId="10218"/>
    <cellStyle name="Normal 13 3 3 2 3 3 2" xfId="22565"/>
    <cellStyle name="Normal 13 3 3 2 3 4" xfId="16344"/>
    <cellStyle name="Normal 13 3 3 2 4" xfId="3969"/>
    <cellStyle name="Normal 13 3 3 2 4 2" xfId="10220"/>
    <cellStyle name="Normal 13 3 3 2 4 2 2" xfId="22567"/>
    <cellStyle name="Normal 13 3 3 2 4 3" xfId="16346"/>
    <cellStyle name="Normal 13 3 3 2 5" xfId="10215"/>
    <cellStyle name="Normal 13 3 3 2 5 2" xfId="22562"/>
    <cellStyle name="Normal 13 3 3 2 6" xfId="16341"/>
    <cellStyle name="Normal 13 3 3 3" xfId="3970"/>
    <cellStyle name="Normal 13 3 3 3 2" xfId="3971"/>
    <cellStyle name="Normal 13 3 3 3 2 2" xfId="10222"/>
    <cellStyle name="Normal 13 3 3 3 2 2 2" xfId="22569"/>
    <cellStyle name="Normal 13 3 3 3 2 3" xfId="16348"/>
    <cellStyle name="Normal 13 3 3 3 3" xfId="10221"/>
    <cellStyle name="Normal 13 3 3 3 3 2" xfId="22568"/>
    <cellStyle name="Normal 13 3 3 3 4" xfId="16347"/>
    <cellStyle name="Normal 13 3 3 4" xfId="3972"/>
    <cellStyle name="Normal 13 3 3 4 2" xfId="3973"/>
    <cellStyle name="Normal 13 3 3 4 2 2" xfId="10224"/>
    <cellStyle name="Normal 13 3 3 4 2 2 2" xfId="22571"/>
    <cellStyle name="Normal 13 3 3 4 2 3" xfId="16350"/>
    <cellStyle name="Normal 13 3 3 4 3" xfId="10223"/>
    <cellStyle name="Normal 13 3 3 4 3 2" xfId="22570"/>
    <cellStyle name="Normal 13 3 3 4 4" xfId="16349"/>
    <cellStyle name="Normal 13 3 3 5" xfId="3974"/>
    <cellStyle name="Normal 13 3 3 5 2" xfId="10225"/>
    <cellStyle name="Normal 13 3 3 5 2 2" xfId="22572"/>
    <cellStyle name="Normal 13 3 3 5 3" xfId="16351"/>
    <cellStyle name="Normal 13 3 3 6" xfId="10214"/>
    <cellStyle name="Normal 13 3 3 6 2" xfId="22561"/>
    <cellStyle name="Normal 13 3 3 7" xfId="16340"/>
    <cellStyle name="Normal 13 3 4" xfId="3975"/>
    <cellStyle name="Normal 13 3 4 2" xfId="3976"/>
    <cellStyle name="Normal 13 3 4 2 2" xfId="3977"/>
    <cellStyle name="Normal 13 3 4 2 2 2" xfId="10228"/>
    <cellStyle name="Normal 13 3 4 2 2 2 2" xfId="22575"/>
    <cellStyle name="Normal 13 3 4 2 2 3" xfId="16354"/>
    <cellStyle name="Normal 13 3 4 2 3" xfId="10227"/>
    <cellStyle name="Normal 13 3 4 2 3 2" xfId="22574"/>
    <cellStyle name="Normal 13 3 4 2 4" xfId="16353"/>
    <cellStyle name="Normal 13 3 4 3" xfId="3978"/>
    <cellStyle name="Normal 13 3 4 3 2" xfId="3979"/>
    <cellStyle name="Normal 13 3 4 3 2 2" xfId="10230"/>
    <cellStyle name="Normal 13 3 4 3 2 2 2" xfId="22577"/>
    <cellStyle name="Normal 13 3 4 3 2 3" xfId="16356"/>
    <cellStyle name="Normal 13 3 4 3 3" xfId="10229"/>
    <cellStyle name="Normal 13 3 4 3 3 2" xfId="22576"/>
    <cellStyle name="Normal 13 3 4 3 4" xfId="16355"/>
    <cellStyle name="Normal 13 3 4 4" xfId="3980"/>
    <cellStyle name="Normal 13 3 4 4 2" xfId="10231"/>
    <cellStyle name="Normal 13 3 4 4 2 2" xfId="22578"/>
    <cellStyle name="Normal 13 3 4 4 3" xfId="16357"/>
    <cellStyle name="Normal 13 3 4 5" xfId="10226"/>
    <cellStyle name="Normal 13 3 4 5 2" xfId="22573"/>
    <cellStyle name="Normal 13 3 4 6" xfId="16352"/>
    <cellStyle name="Normal 13 3 5" xfId="3981"/>
    <cellStyle name="Normal 13 3 5 2" xfId="3982"/>
    <cellStyle name="Normal 13 3 5 2 2" xfId="10233"/>
    <cellStyle name="Normal 13 3 5 2 2 2" xfId="22580"/>
    <cellStyle name="Normal 13 3 5 2 3" xfId="16359"/>
    <cellStyle name="Normal 13 3 5 3" xfId="10232"/>
    <cellStyle name="Normal 13 3 5 3 2" xfId="22579"/>
    <cellStyle name="Normal 13 3 5 4" xfId="16358"/>
    <cellStyle name="Normal 13 3 6" xfId="3983"/>
    <cellStyle name="Normal 13 3 6 2" xfId="3984"/>
    <cellStyle name="Normal 13 3 6 2 2" xfId="10235"/>
    <cellStyle name="Normal 13 3 6 2 2 2" xfId="22582"/>
    <cellStyle name="Normal 13 3 6 2 3" xfId="16361"/>
    <cellStyle name="Normal 13 3 6 3" xfId="10234"/>
    <cellStyle name="Normal 13 3 6 3 2" xfId="22581"/>
    <cellStyle name="Normal 13 3 6 4" xfId="16360"/>
    <cellStyle name="Normal 13 3 7" xfId="3985"/>
    <cellStyle name="Normal 13 3 7 2" xfId="10236"/>
    <cellStyle name="Normal 13 3 7 2 2" xfId="22583"/>
    <cellStyle name="Normal 13 3 7 3" xfId="16362"/>
    <cellStyle name="Normal 13 3 8" xfId="3986"/>
    <cellStyle name="Normal 13 3 9" xfId="3987"/>
    <cellStyle name="Normal 13 4" xfId="3988"/>
    <cellStyle name="Normal 13 4 2" xfId="3989"/>
    <cellStyle name="Normal 13 4 2 2" xfId="3990"/>
    <cellStyle name="Normal 13 4 2 2 2" xfId="3991"/>
    <cellStyle name="Normal 13 4 2 2 2 2" xfId="3992"/>
    <cellStyle name="Normal 13 4 2 2 2 2 2" xfId="3993"/>
    <cellStyle name="Normal 13 4 2 2 2 2 2 2" xfId="10241"/>
    <cellStyle name="Normal 13 4 2 2 2 2 2 2 2" xfId="22588"/>
    <cellStyle name="Normal 13 4 2 2 2 2 2 3" xfId="16367"/>
    <cellStyle name="Normal 13 4 2 2 2 2 3" xfId="10240"/>
    <cellStyle name="Normal 13 4 2 2 2 2 3 2" xfId="22587"/>
    <cellStyle name="Normal 13 4 2 2 2 2 4" xfId="16366"/>
    <cellStyle name="Normal 13 4 2 2 2 3" xfId="3994"/>
    <cellStyle name="Normal 13 4 2 2 2 3 2" xfId="3995"/>
    <cellStyle name="Normal 13 4 2 2 2 3 2 2" xfId="10243"/>
    <cellStyle name="Normal 13 4 2 2 2 3 2 2 2" xfId="22590"/>
    <cellStyle name="Normal 13 4 2 2 2 3 2 3" xfId="16369"/>
    <cellStyle name="Normal 13 4 2 2 2 3 3" xfId="10242"/>
    <cellStyle name="Normal 13 4 2 2 2 3 3 2" xfId="22589"/>
    <cellStyle name="Normal 13 4 2 2 2 3 4" xfId="16368"/>
    <cellStyle name="Normal 13 4 2 2 2 4" xfId="3996"/>
    <cellStyle name="Normal 13 4 2 2 2 4 2" xfId="10244"/>
    <cellStyle name="Normal 13 4 2 2 2 4 2 2" xfId="22591"/>
    <cellStyle name="Normal 13 4 2 2 2 4 3" xfId="16370"/>
    <cellStyle name="Normal 13 4 2 2 2 5" xfId="10239"/>
    <cellStyle name="Normal 13 4 2 2 2 5 2" xfId="22586"/>
    <cellStyle name="Normal 13 4 2 2 2 6" xfId="16365"/>
    <cellStyle name="Normal 13 4 2 2 3" xfId="3997"/>
    <cellStyle name="Normal 13 4 2 2 3 2" xfId="3998"/>
    <cellStyle name="Normal 13 4 2 2 3 2 2" xfId="10246"/>
    <cellStyle name="Normal 13 4 2 2 3 2 2 2" xfId="22593"/>
    <cellStyle name="Normal 13 4 2 2 3 2 3" xfId="16372"/>
    <cellStyle name="Normal 13 4 2 2 3 3" xfId="10245"/>
    <cellStyle name="Normal 13 4 2 2 3 3 2" xfId="22592"/>
    <cellStyle name="Normal 13 4 2 2 3 4" xfId="16371"/>
    <cellStyle name="Normal 13 4 2 2 4" xfId="3999"/>
    <cellStyle name="Normal 13 4 2 2 4 2" xfId="4000"/>
    <cellStyle name="Normal 13 4 2 2 4 2 2" xfId="10248"/>
    <cellStyle name="Normal 13 4 2 2 4 2 2 2" xfId="22595"/>
    <cellStyle name="Normal 13 4 2 2 4 2 3" xfId="16374"/>
    <cellStyle name="Normal 13 4 2 2 4 3" xfId="10247"/>
    <cellStyle name="Normal 13 4 2 2 4 3 2" xfId="22594"/>
    <cellStyle name="Normal 13 4 2 2 4 4" xfId="16373"/>
    <cellStyle name="Normal 13 4 2 2 5" xfId="4001"/>
    <cellStyle name="Normal 13 4 2 2 5 2" xfId="10249"/>
    <cellStyle name="Normal 13 4 2 2 5 2 2" xfId="22596"/>
    <cellStyle name="Normal 13 4 2 2 5 3" xfId="16375"/>
    <cellStyle name="Normal 13 4 2 2 6" xfId="10238"/>
    <cellStyle name="Normal 13 4 2 2 6 2" xfId="22585"/>
    <cellStyle name="Normal 13 4 2 2 7" xfId="16364"/>
    <cellStyle name="Normal 13 4 2 3" xfId="4002"/>
    <cellStyle name="Normal 13 4 2 3 2" xfId="4003"/>
    <cellStyle name="Normal 13 4 2 3 2 2" xfId="4004"/>
    <cellStyle name="Normal 13 4 2 3 2 2 2" xfId="10252"/>
    <cellStyle name="Normal 13 4 2 3 2 2 2 2" xfId="22599"/>
    <cellStyle name="Normal 13 4 2 3 2 2 3" xfId="16378"/>
    <cellStyle name="Normal 13 4 2 3 2 3" xfId="10251"/>
    <cellStyle name="Normal 13 4 2 3 2 3 2" xfId="22598"/>
    <cellStyle name="Normal 13 4 2 3 2 4" xfId="16377"/>
    <cellStyle name="Normal 13 4 2 3 3" xfId="4005"/>
    <cellStyle name="Normal 13 4 2 3 3 2" xfId="4006"/>
    <cellStyle name="Normal 13 4 2 3 3 2 2" xfId="10254"/>
    <cellStyle name="Normal 13 4 2 3 3 2 2 2" xfId="22601"/>
    <cellStyle name="Normal 13 4 2 3 3 2 3" xfId="16380"/>
    <cellStyle name="Normal 13 4 2 3 3 3" xfId="10253"/>
    <cellStyle name="Normal 13 4 2 3 3 3 2" xfId="22600"/>
    <cellStyle name="Normal 13 4 2 3 3 4" xfId="16379"/>
    <cellStyle name="Normal 13 4 2 3 4" xfId="4007"/>
    <cellStyle name="Normal 13 4 2 3 4 2" xfId="10255"/>
    <cellStyle name="Normal 13 4 2 3 4 2 2" xfId="22602"/>
    <cellStyle name="Normal 13 4 2 3 4 3" xfId="16381"/>
    <cellStyle name="Normal 13 4 2 3 5" xfId="10250"/>
    <cellStyle name="Normal 13 4 2 3 5 2" xfId="22597"/>
    <cellStyle name="Normal 13 4 2 3 6" xfId="16376"/>
    <cellStyle name="Normal 13 4 2 4" xfId="4008"/>
    <cellStyle name="Normal 13 4 2 4 2" xfId="4009"/>
    <cellStyle name="Normal 13 4 2 4 2 2" xfId="10257"/>
    <cellStyle name="Normal 13 4 2 4 2 2 2" xfId="22604"/>
    <cellStyle name="Normal 13 4 2 4 2 3" xfId="16383"/>
    <cellStyle name="Normal 13 4 2 4 3" xfId="10256"/>
    <cellStyle name="Normal 13 4 2 4 3 2" xfId="22603"/>
    <cellStyle name="Normal 13 4 2 4 4" xfId="16382"/>
    <cellStyle name="Normal 13 4 2 5" xfId="4010"/>
    <cellStyle name="Normal 13 4 2 5 2" xfId="4011"/>
    <cellStyle name="Normal 13 4 2 5 2 2" xfId="10259"/>
    <cellStyle name="Normal 13 4 2 5 2 2 2" xfId="22606"/>
    <cellStyle name="Normal 13 4 2 5 2 3" xfId="16385"/>
    <cellStyle name="Normal 13 4 2 5 3" xfId="10258"/>
    <cellStyle name="Normal 13 4 2 5 3 2" xfId="22605"/>
    <cellStyle name="Normal 13 4 2 5 4" xfId="16384"/>
    <cellStyle name="Normal 13 4 2 6" xfId="4012"/>
    <cellStyle name="Normal 13 4 2 6 2" xfId="10260"/>
    <cellStyle name="Normal 13 4 2 6 2 2" xfId="22607"/>
    <cellStyle name="Normal 13 4 2 6 3" xfId="16386"/>
    <cellStyle name="Normal 13 4 2 7" xfId="10237"/>
    <cellStyle name="Normal 13 4 2 7 2" xfId="22584"/>
    <cellStyle name="Normal 13 4 2 8" xfId="16363"/>
    <cellStyle name="Normal 13 4 3" xfId="4013"/>
    <cellStyle name="Normal 13 4 3 2" xfId="4014"/>
    <cellStyle name="Normal 13 4 3 2 2" xfId="4015"/>
    <cellStyle name="Normal 13 4 3 2 2 2" xfId="4016"/>
    <cellStyle name="Normal 13 4 3 2 2 2 2" xfId="10264"/>
    <cellStyle name="Normal 13 4 3 2 2 2 2 2" xfId="22611"/>
    <cellStyle name="Normal 13 4 3 2 2 2 3" xfId="16390"/>
    <cellStyle name="Normal 13 4 3 2 2 3" xfId="10263"/>
    <cellStyle name="Normal 13 4 3 2 2 3 2" xfId="22610"/>
    <cellStyle name="Normal 13 4 3 2 2 4" xfId="16389"/>
    <cellStyle name="Normal 13 4 3 2 3" xfId="4017"/>
    <cellStyle name="Normal 13 4 3 2 3 2" xfId="4018"/>
    <cellStyle name="Normal 13 4 3 2 3 2 2" xfId="10266"/>
    <cellStyle name="Normal 13 4 3 2 3 2 2 2" xfId="22613"/>
    <cellStyle name="Normal 13 4 3 2 3 2 3" xfId="16392"/>
    <cellStyle name="Normal 13 4 3 2 3 3" xfId="10265"/>
    <cellStyle name="Normal 13 4 3 2 3 3 2" xfId="22612"/>
    <cellStyle name="Normal 13 4 3 2 3 4" xfId="16391"/>
    <cellStyle name="Normal 13 4 3 2 4" xfId="4019"/>
    <cellStyle name="Normal 13 4 3 2 4 2" xfId="10267"/>
    <cellStyle name="Normal 13 4 3 2 4 2 2" xfId="22614"/>
    <cellStyle name="Normal 13 4 3 2 4 3" xfId="16393"/>
    <cellStyle name="Normal 13 4 3 2 5" xfId="10262"/>
    <cellStyle name="Normal 13 4 3 2 5 2" xfId="22609"/>
    <cellStyle name="Normal 13 4 3 2 6" xfId="16388"/>
    <cellStyle name="Normal 13 4 3 3" xfId="4020"/>
    <cellStyle name="Normal 13 4 3 3 2" xfId="4021"/>
    <cellStyle name="Normal 13 4 3 3 2 2" xfId="10269"/>
    <cellStyle name="Normal 13 4 3 3 2 2 2" xfId="22616"/>
    <cellStyle name="Normal 13 4 3 3 2 3" xfId="16395"/>
    <cellStyle name="Normal 13 4 3 3 3" xfId="10268"/>
    <cellStyle name="Normal 13 4 3 3 3 2" xfId="22615"/>
    <cellStyle name="Normal 13 4 3 3 4" xfId="16394"/>
    <cellStyle name="Normal 13 4 3 4" xfId="4022"/>
    <cellStyle name="Normal 13 4 3 4 2" xfId="4023"/>
    <cellStyle name="Normal 13 4 3 4 2 2" xfId="10271"/>
    <cellStyle name="Normal 13 4 3 4 2 2 2" xfId="22618"/>
    <cellStyle name="Normal 13 4 3 4 2 3" xfId="16397"/>
    <cellStyle name="Normal 13 4 3 4 3" xfId="10270"/>
    <cellStyle name="Normal 13 4 3 4 3 2" xfId="22617"/>
    <cellStyle name="Normal 13 4 3 4 4" xfId="16396"/>
    <cellStyle name="Normal 13 4 3 5" xfId="4024"/>
    <cellStyle name="Normal 13 4 3 5 2" xfId="10272"/>
    <cellStyle name="Normal 13 4 3 5 2 2" xfId="22619"/>
    <cellStyle name="Normal 13 4 3 5 3" xfId="16398"/>
    <cellStyle name="Normal 13 4 3 6" xfId="10261"/>
    <cellStyle name="Normal 13 4 3 6 2" xfId="22608"/>
    <cellStyle name="Normal 13 4 3 7" xfId="16387"/>
    <cellStyle name="Normal 13 4 4" xfId="4025"/>
    <cellStyle name="Normal 13 4 4 2" xfId="4026"/>
    <cellStyle name="Normal 13 4 4 2 2" xfId="4027"/>
    <cellStyle name="Normal 13 4 4 2 2 2" xfId="10275"/>
    <cellStyle name="Normal 13 4 4 2 2 2 2" xfId="22622"/>
    <cellStyle name="Normal 13 4 4 2 2 3" xfId="16401"/>
    <cellStyle name="Normal 13 4 4 2 3" xfId="10274"/>
    <cellStyle name="Normal 13 4 4 2 3 2" xfId="22621"/>
    <cellStyle name="Normal 13 4 4 2 4" xfId="16400"/>
    <cellStyle name="Normal 13 4 4 3" xfId="4028"/>
    <cellStyle name="Normal 13 4 4 3 2" xfId="4029"/>
    <cellStyle name="Normal 13 4 4 3 2 2" xfId="10277"/>
    <cellStyle name="Normal 13 4 4 3 2 2 2" xfId="22624"/>
    <cellStyle name="Normal 13 4 4 3 2 3" xfId="16403"/>
    <cellStyle name="Normal 13 4 4 3 3" xfId="10276"/>
    <cellStyle name="Normal 13 4 4 3 3 2" xfId="22623"/>
    <cellStyle name="Normal 13 4 4 3 4" xfId="16402"/>
    <cellStyle name="Normal 13 4 4 4" xfId="4030"/>
    <cellStyle name="Normal 13 4 4 4 2" xfId="10278"/>
    <cellStyle name="Normal 13 4 4 4 2 2" xfId="22625"/>
    <cellStyle name="Normal 13 4 4 4 3" xfId="16404"/>
    <cellStyle name="Normal 13 4 4 5" xfId="10273"/>
    <cellStyle name="Normal 13 4 4 5 2" xfId="22620"/>
    <cellStyle name="Normal 13 4 4 6" xfId="16399"/>
    <cellStyle name="Normal 13 4 5" xfId="4031"/>
    <cellStyle name="Normal 13 4 5 2" xfId="4032"/>
    <cellStyle name="Normal 13 4 5 2 2" xfId="10280"/>
    <cellStyle name="Normal 13 4 5 2 2 2" xfId="22627"/>
    <cellStyle name="Normal 13 4 5 2 3" xfId="16406"/>
    <cellStyle name="Normal 13 4 5 3" xfId="10279"/>
    <cellStyle name="Normal 13 4 5 3 2" xfId="22626"/>
    <cellStyle name="Normal 13 4 5 4" xfId="16405"/>
    <cellStyle name="Normal 13 4 6" xfId="4033"/>
    <cellStyle name="Normal 13 4 6 2" xfId="4034"/>
    <cellStyle name="Normal 13 4 6 2 2" xfId="10282"/>
    <cellStyle name="Normal 13 4 6 2 2 2" xfId="22629"/>
    <cellStyle name="Normal 13 4 6 2 3" xfId="16408"/>
    <cellStyle name="Normal 13 4 6 3" xfId="10281"/>
    <cellStyle name="Normal 13 4 6 3 2" xfId="22628"/>
    <cellStyle name="Normal 13 4 6 4" xfId="16407"/>
    <cellStyle name="Normal 13 4 7" xfId="4035"/>
    <cellStyle name="Normal 13 4 7 2" xfId="10283"/>
    <cellStyle name="Normal 13 4 7 2 2" xfId="22630"/>
    <cellStyle name="Normal 13 4 7 3" xfId="16409"/>
    <cellStyle name="Normal 13 5" xfId="4036"/>
    <cellStyle name="Normal 13 5 2" xfId="4037"/>
    <cellStyle name="Normal 13 5 2 2" xfId="4038"/>
    <cellStyle name="Normal 13 5 2 2 2" xfId="4039"/>
    <cellStyle name="Normal 13 5 2 2 2 2" xfId="4040"/>
    <cellStyle name="Normal 13 5 2 2 2 2 2" xfId="10288"/>
    <cellStyle name="Normal 13 5 2 2 2 2 2 2" xfId="22635"/>
    <cellStyle name="Normal 13 5 2 2 2 2 3" xfId="16414"/>
    <cellStyle name="Normal 13 5 2 2 2 3" xfId="10287"/>
    <cellStyle name="Normal 13 5 2 2 2 3 2" xfId="22634"/>
    <cellStyle name="Normal 13 5 2 2 2 4" xfId="16413"/>
    <cellStyle name="Normal 13 5 2 2 3" xfId="4041"/>
    <cellStyle name="Normal 13 5 2 2 3 2" xfId="4042"/>
    <cellStyle name="Normal 13 5 2 2 3 2 2" xfId="10290"/>
    <cellStyle name="Normal 13 5 2 2 3 2 2 2" xfId="22637"/>
    <cellStyle name="Normal 13 5 2 2 3 2 3" xfId="16416"/>
    <cellStyle name="Normal 13 5 2 2 3 3" xfId="10289"/>
    <cellStyle name="Normal 13 5 2 2 3 3 2" xfId="22636"/>
    <cellStyle name="Normal 13 5 2 2 3 4" xfId="16415"/>
    <cellStyle name="Normal 13 5 2 2 4" xfId="4043"/>
    <cellStyle name="Normal 13 5 2 2 4 2" xfId="10291"/>
    <cellStyle name="Normal 13 5 2 2 4 2 2" xfId="22638"/>
    <cellStyle name="Normal 13 5 2 2 4 3" xfId="16417"/>
    <cellStyle name="Normal 13 5 2 2 5" xfId="10286"/>
    <cellStyle name="Normal 13 5 2 2 5 2" xfId="22633"/>
    <cellStyle name="Normal 13 5 2 2 6" xfId="16412"/>
    <cellStyle name="Normal 13 5 2 3" xfId="4044"/>
    <cellStyle name="Normal 13 5 2 3 2" xfId="4045"/>
    <cellStyle name="Normal 13 5 2 3 2 2" xfId="10293"/>
    <cellStyle name="Normal 13 5 2 3 2 2 2" xfId="22640"/>
    <cellStyle name="Normal 13 5 2 3 2 3" xfId="16419"/>
    <cellStyle name="Normal 13 5 2 3 3" xfId="10292"/>
    <cellStyle name="Normal 13 5 2 3 3 2" xfId="22639"/>
    <cellStyle name="Normal 13 5 2 3 4" xfId="16418"/>
    <cellStyle name="Normal 13 5 2 4" xfId="4046"/>
    <cellStyle name="Normal 13 5 2 4 2" xfId="4047"/>
    <cellStyle name="Normal 13 5 2 4 2 2" xfId="10295"/>
    <cellStyle name="Normal 13 5 2 4 2 2 2" xfId="22642"/>
    <cellStyle name="Normal 13 5 2 4 2 3" xfId="16421"/>
    <cellStyle name="Normal 13 5 2 4 3" xfId="10294"/>
    <cellStyle name="Normal 13 5 2 4 3 2" xfId="22641"/>
    <cellStyle name="Normal 13 5 2 4 4" xfId="16420"/>
    <cellStyle name="Normal 13 5 2 5" xfId="4048"/>
    <cellStyle name="Normal 13 5 2 5 2" xfId="10296"/>
    <cellStyle name="Normal 13 5 2 5 2 2" xfId="22643"/>
    <cellStyle name="Normal 13 5 2 5 3" xfId="16422"/>
    <cellStyle name="Normal 13 5 2 6" xfId="10285"/>
    <cellStyle name="Normal 13 5 2 6 2" xfId="22632"/>
    <cellStyle name="Normal 13 5 2 7" xfId="16411"/>
    <cellStyle name="Normal 13 5 3" xfId="4049"/>
    <cellStyle name="Normal 13 5 3 2" xfId="4050"/>
    <cellStyle name="Normal 13 5 3 2 2" xfId="4051"/>
    <cellStyle name="Normal 13 5 3 2 2 2" xfId="10299"/>
    <cellStyle name="Normal 13 5 3 2 2 2 2" xfId="22646"/>
    <cellStyle name="Normal 13 5 3 2 2 3" xfId="16425"/>
    <cellStyle name="Normal 13 5 3 2 3" xfId="10298"/>
    <cellStyle name="Normal 13 5 3 2 3 2" xfId="22645"/>
    <cellStyle name="Normal 13 5 3 2 4" xfId="16424"/>
    <cellStyle name="Normal 13 5 3 3" xfId="4052"/>
    <cellStyle name="Normal 13 5 3 3 2" xfId="4053"/>
    <cellStyle name="Normal 13 5 3 3 2 2" xfId="10301"/>
    <cellStyle name="Normal 13 5 3 3 2 2 2" xfId="22648"/>
    <cellStyle name="Normal 13 5 3 3 2 3" xfId="16427"/>
    <cellStyle name="Normal 13 5 3 3 3" xfId="10300"/>
    <cellStyle name="Normal 13 5 3 3 3 2" xfId="22647"/>
    <cellStyle name="Normal 13 5 3 3 4" xfId="16426"/>
    <cellStyle name="Normal 13 5 3 4" xfId="4054"/>
    <cellStyle name="Normal 13 5 3 4 2" xfId="10302"/>
    <cellStyle name="Normal 13 5 3 4 2 2" xfId="22649"/>
    <cellStyle name="Normal 13 5 3 4 3" xfId="16428"/>
    <cellStyle name="Normal 13 5 3 5" xfId="10297"/>
    <cellStyle name="Normal 13 5 3 5 2" xfId="22644"/>
    <cellStyle name="Normal 13 5 3 6" xfId="16423"/>
    <cellStyle name="Normal 13 5 4" xfId="4055"/>
    <cellStyle name="Normal 13 5 4 2" xfId="4056"/>
    <cellStyle name="Normal 13 5 4 2 2" xfId="10304"/>
    <cellStyle name="Normal 13 5 4 2 2 2" xfId="22651"/>
    <cellStyle name="Normal 13 5 4 2 3" xfId="16430"/>
    <cellStyle name="Normal 13 5 4 3" xfId="10303"/>
    <cellStyle name="Normal 13 5 4 3 2" xfId="22650"/>
    <cellStyle name="Normal 13 5 4 4" xfId="16429"/>
    <cellStyle name="Normal 13 5 5" xfId="4057"/>
    <cellStyle name="Normal 13 5 5 2" xfId="4058"/>
    <cellStyle name="Normal 13 5 5 2 2" xfId="10306"/>
    <cellStyle name="Normal 13 5 5 2 2 2" xfId="22653"/>
    <cellStyle name="Normal 13 5 5 2 3" xfId="16432"/>
    <cellStyle name="Normal 13 5 5 3" xfId="10305"/>
    <cellStyle name="Normal 13 5 5 3 2" xfId="22652"/>
    <cellStyle name="Normal 13 5 5 4" xfId="16431"/>
    <cellStyle name="Normal 13 5 6" xfId="4059"/>
    <cellStyle name="Normal 13 5 6 2" xfId="10307"/>
    <cellStyle name="Normal 13 5 6 2 2" xfId="22654"/>
    <cellStyle name="Normal 13 5 6 3" xfId="16433"/>
    <cellStyle name="Normal 13 5 7" xfId="10284"/>
    <cellStyle name="Normal 13 5 7 2" xfId="22631"/>
    <cellStyle name="Normal 13 5 8" xfId="16410"/>
    <cellStyle name="Normal 13 6" xfId="4060"/>
    <cellStyle name="Normal 13 6 2" xfId="4061"/>
    <cellStyle name="Normal 13 6 2 2" xfId="4062"/>
    <cellStyle name="Normal 13 6 2 2 2" xfId="4063"/>
    <cellStyle name="Normal 13 6 2 2 2 2" xfId="10311"/>
    <cellStyle name="Normal 13 6 2 2 2 2 2" xfId="22657"/>
    <cellStyle name="Normal 13 6 2 2 2 3" xfId="16437"/>
    <cellStyle name="Normal 13 6 2 2 3" xfId="10310"/>
    <cellStyle name="Normal 13 6 2 2 3 2" xfId="22656"/>
    <cellStyle name="Normal 13 6 2 2 4" xfId="16436"/>
    <cellStyle name="Normal 13 6 2 3" xfId="4064"/>
    <cellStyle name="Normal 13 6 2 3 2" xfId="4065"/>
    <cellStyle name="Normal 13 6 2 3 2 2" xfId="10313"/>
    <cellStyle name="Normal 13 6 2 3 2 2 2" xfId="22659"/>
    <cellStyle name="Normal 13 6 2 3 2 3" xfId="16439"/>
    <cellStyle name="Normal 13 6 2 3 3" xfId="10312"/>
    <cellStyle name="Normal 13 6 2 3 3 2" xfId="22658"/>
    <cellStyle name="Normal 13 6 2 3 4" xfId="16438"/>
    <cellStyle name="Normal 13 6 2 4" xfId="4066"/>
    <cellStyle name="Normal 13 6 2 4 2" xfId="10314"/>
    <cellStyle name="Normal 13 6 2 4 2 2" xfId="22660"/>
    <cellStyle name="Normal 13 6 2 4 3" xfId="16440"/>
    <cellStyle name="Normal 13 6 2 5" xfId="10309"/>
    <cellStyle name="Normal 13 6 2 5 2" xfId="22655"/>
    <cellStyle name="Normal 13 6 2 6" xfId="16435"/>
    <cellStyle name="Normal 13 6 3" xfId="4067"/>
    <cellStyle name="Normal 13 6 3 2" xfId="4068"/>
    <cellStyle name="Normal 13 6 3 2 2" xfId="10316"/>
    <cellStyle name="Normal 13 6 3 2 2 2" xfId="22662"/>
    <cellStyle name="Normal 13 6 3 2 3" xfId="16442"/>
    <cellStyle name="Normal 13 6 3 3" xfId="10315"/>
    <cellStyle name="Normal 13 6 3 3 2" xfId="22661"/>
    <cellStyle name="Normal 13 6 3 4" xfId="16441"/>
    <cellStyle name="Normal 13 6 4" xfId="4069"/>
    <cellStyle name="Normal 13 6 4 2" xfId="4070"/>
    <cellStyle name="Normal 13 6 4 2 2" xfId="10318"/>
    <cellStyle name="Normal 13 6 4 2 2 2" xfId="22664"/>
    <cellStyle name="Normal 13 6 4 2 3" xfId="16444"/>
    <cellStyle name="Normal 13 6 4 3" xfId="10317"/>
    <cellStyle name="Normal 13 6 4 3 2" xfId="22663"/>
    <cellStyle name="Normal 13 6 4 4" xfId="16443"/>
    <cellStyle name="Normal 13 6 5" xfId="4071"/>
    <cellStyle name="Normal 13 6 5 2" xfId="10319"/>
    <cellStyle name="Normal 13 6 5 2 2" xfId="22665"/>
    <cellStyle name="Normal 13 6 5 3" xfId="16445"/>
    <cellStyle name="Normal 13 6 6" xfId="4072"/>
    <cellStyle name="Normal 13 6 6 2" xfId="16446"/>
    <cellStyle name="Normal 13 6 7" xfId="10308"/>
    <cellStyle name="Normal 13 6 8" xfId="16434"/>
    <cellStyle name="Normal 13 7" xfId="4073"/>
    <cellStyle name="Normal 13 7 2" xfId="4074"/>
    <cellStyle name="Normal 13 7 2 2" xfId="4075"/>
    <cellStyle name="Normal 13 7 2 2 2" xfId="10322"/>
    <cellStyle name="Normal 13 7 2 2 2 2" xfId="22667"/>
    <cellStyle name="Normal 13 7 2 2 3" xfId="16448"/>
    <cellStyle name="Normal 13 7 2 3" xfId="10321"/>
    <cellStyle name="Normal 13 7 2 3 2" xfId="22666"/>
    <cellStyle name="Normal 13 7 2 4" xfId="16447"/>
    <cellStyle name="Normal 13 7 3" xfId="4076"/>
    <cellStyle name="Normal 13 7 3 2" xfId="4077"/>
    <cellStyle name="Normal 13 7 3 2 2" xfId="10324"/>
    <cellStyle name="Normal 13 7 3 2 2 2" xfId="22669"/>
    <cellStyle name="Normal 13 7 3 2 3" xfId="16450"/>
    <cellStyle name="Normal 13 7 3 3" xfId="10323"/>
    <cellStyle name="Normal 13 7 3 3 2" xfId="22668"/>
    <cellStyle name="Normal 13 7 3 4" xfId="16449"/>
    <cellStyle name="Normal 13 7 4" xfId="4078"/>
    <cellStyle name="Normal 13 7 4 2" xfId="10325"/>
    <cellStyle name="Normal 13 7 4 2 2" xfId="22670"/>
    <cellStyle name="Normal 13 7 4 3" xfId="16451"/>
    <cellStyle name="Normal 13 7 5" xfId="10320"/>
    <cellStyle name="Normal 13 8" xfId="4079"/>
    <cellStyle name="Normal 13 8 2" xfId="4080"/>
    <cellStyle name="Normal 13 8 2 2" xfId="10327"/>
    <cellStyle name="Normal 13 8 2 2 2" xfId="22671"/>
    <cellStyle name="Normal 13 8 2 3" xfId="16453"/>
    <cellStyle name="Normal 13 8 3" xfId="10326"/>
    <cellStyle name="Normal 13 8 4" xfId="16452"/>
    <cellStyle name="Normal 13 9" xfId="4081"/>
    <cellStyle name="Normal 13 9 2" xfId="4082"/>
    <cellStyle name="Normal 13 9 2 2" xfId="10329"/>
    <cellStyle name="Normal 13 9 2 2 2" xfId="22673"/>
    <cellStyle name="Normal 13 9 2 3" xfId="16455"/>
    <cellStyle name="Normal 13 9 3" xfId="10328"/>
    <cellStyle name="Normal 13 9 3 2" xfId="22672"/>
    <cellStyle name="Normal 13 9 4" xfId="16454"/>
    <cellStyle name="Normal 13_Recycling Tons" xfId="4083"/>
    <cellStyle name="Normal 130" xfId="4084"/>
    <cellStyle name="Normal 130 2" xfId="16456"/>
    <cellStyle name="Normal 131" xfId="4085"/>
    <cellStyle name="Normal 131 2" xfId="16457"/>
    <cellStyle name="Normal 132" xfId="4086"/>
    <cellStyle name="Normal 132 2" xfId="16458"/>
    <cellStyle name="Normal 133" xfId="4087"/>
    <cellStyle name="Normal 133 2" xfId="16459"/>
    <cellStyle name="Normal 134" xfId="4088"/>
    <cellStyle name="Normal 134 2" xfId="16460"/>
    <cellStyle name="Normal 135" xfId="4089"/>
    <cellStyle name="Normal 135 2" xfId="16461"/>
    <cellStyle name="Normal 136" xfId="4090"/>
    <cellStyle name="Normal 136 2" xfId="16462"/>
    <cellStyle name="Normal 137" xfId="9214"/>
    <cellStyle name="Normal 138" xfId="15198"/>
    <cellStyle name="Normal 138 2" xfId="22830"/>
    <cellStyle name="Normal 139" xfId="15203"/>
    <cellStyle name="Normal 139 2" xfId="22833"/>
    <cellStyle name="Normal 14" xfId="4091"/>
    <cellStyle name="Normal 14 10" xfId="10330"/>
    <cellStyle name="Normal 14 10 2" xfId="22674"/>
    <cellStyle name="Normal 14 11" xfId="16463"/>
    <cellStyle name="Normal 14 2" xfId="4092"/>
    <cellStyle name="Normal 14 2 2" xfId="4093"/>
    <cellStyle name="Normal 14 2 2 2" xfId="4094"/>
    <cellStyle name="Normal 14 2 2 2 2" xfId="4095"/>
    <cellStyle name="Normal 14 2 2 2 2 2" xfId="4096"/>
    <cellStyle name="Normal 14 2 2 2 2 2 2" xfId="4097"/>
    <cellStyle name="Normal 14 2 2 2 2 2 2 2" xfId="10336"/>
    <cellStyle name="Normal 14 2 2 2 2 2 2 2 2" xfId="22678"/>
    <cellStyle name="Normal 14 2 2 2 2 2 2 3" xfId="16469"/>
    <cellStyle name="Normal 14 2 2 2 2 2 3" xfId="10335"/>
    <cellStyle name="Normal 14 2 2 2 2 2 3 2" xfId="22677"/>
    <cellStyle name="Normal 14 2 2 2 2 2 4" xfId="16468"/>
    <cellStyle name="Normal 14 2 2 2 2 3" xfId="4098"/>
    <cellStyle name="Normal 14 2 2 2 2 3 2" xfId="4099"/>
    <cellStyle name="Normal 14 2 2 2 2 3 2 2" xfId="10338"/>
    <cellStyle name="Normal 14 2 2 2 2 3 2 2 2" xfId="22680"/>
    <cellStyle name="Normal 14 2 2 2 2 3 2 3" xfId="16471"/>
    <cellStyle name="Normal 14 2 2 2 2 3 3" xfId="10337"/>
    <cellStyle name="Normal 14 2 2 2 2 3 3 2" xfId="22679"/>
    <cellStyle name="Normal 14 2 2 2 2 3 4" xfId="16470"/>
    <cellStyle name="Normal 14 2 2 2 2 4" xfId="4100"/>
    <cellStyle name="Normal 14 2 2 2 2 4 2" xfId="10339"/>
    <cellStyle name="Normal 14 2 2 2 2 4 2 2" xfId="22681"/>
    <cellStyle name="Normal 14 2 2 2 2 4 3" xfId="16472"/>
    <cellStyle name="Normal 14 2 2 2 2 5" xfId="10334"/>
    <cellStyle name="Normal 14 2 2 2 2 5 2" xfId="22676"/>
    <cellStyle name="Normal 14 2 2 2 2 6" xfId="16467"/>
    <cellStyle name="Normal 14 2 2 2 3" xfId="4101"/>
    <cellStyle name="Normal 14 2 2 2 3 2" xfId="4102"/>
    <cellStyle name="Normal 14 2 2 2 3 2 2" xfId="10341"/>
    <cellStyle name="Normal 14 2 2 2 3 2 2 2" xfId="22683"/>
    <cellStyle name="Normal 14 2 2 2 3 2 3" xfId="16474"/>
    <cellStyle name="Normal 14 2 2 2 3 3" xfId="10340"/>
    <cellStyle name="Normal 14 2 2 2 3 3 2" xfId="22682"/>
    <cellStyle name="Normal 14 2 2 2 3 4" xfId="16473"/>
    <cellStyle name="Normal 14 2 2 2 4" xfId="4103"/>
    <cellStyle name="Normal 14 2 2 2 4 2" xfId="4104"/>
    <cellStyle name="Normal 14 2 2 2 4 2 2" xfId="10343"/>
    <cellStyle name="Normal 14 2 2 2 4 2 2 2" xfId="22685"/>
    <cellStyle name="Normal 14 2 2 2 4 2 3" xfId="16476"/>
    <cellStyle name="Normal 14 2 2 2 4 3" xfId="10342"/>
    <cellStyle name="Normal 14 2 2 2 4 3 2" xfId="22684"/>
    <cellStyle name="Normal 14 2 2 2 4 4" xfId="16475"/>
    <cellStyle name="Normal 14 2 2 2 5" xfId="4105"/>
    <cellStyle name="Normal 14 2 2 2 5 2" xfId="10344"/>
    <cellStyle name="Normal 14 2 2 2 5 2 2" xfId="22686"/>
    <cellStyle name="Normal 14 2 2 2 5 3" xfId="16477"/>
    <cellStyle name="Normal 14 2 2 2 6" xfId="10333"/>
    <cellStyle name="Normal 14 2 2 2 7" xfId="16466"/>
    <cellStyle name="Normal 14 2 2 3" xfId="4106"/>
    <cellStyle name="Normal 14 2 2 3 2" xfId="4107"/>
    <cellStyle name="Normal 14 2 2 3 2 2" xfId="4108"/>
    <cellStyle name="Normal 14 2 2 3 2 2 2" xfId="10347"/>
    <cellStyle name="Normal 14 2 2 3 2 2 2 2" xfId="22689"/>
    <cellStyle name="Normal 14 2 2 3 2 2 3" xfId="16480"/>
    <cellStyle name="Normal 14 2 2 3 2 3" xfId="10346"/>
    <cellStyle name="Normal 14 2 2 3 2 3 2" xfId="22688"/>
    <cellStyle name="Normal 14 2 2 3 2 4" xfId="16479"/>
    <cellStyle name="Normal 14 2 2 3 3" xfId="4109"/>
    <cellStyle name="Normal 14 2 2 3 3 2" xfId="4110"/>
    <cellStyle name="Normal 14 2 2 3 3 2 2" xfId="10349"/>
    <cellStyle name="Normal 14 2 2 3 3 2 2 2" xfId="22691"/>
    <cellStyle name="Normal 14 2 2 3 3 2 3" xfId="16482"/>
    <cellStyle name="Normal 14 2 2 3 3 3" xfId="10348"/>
    <cellStyle name="Normal 14 2 2 3 3 3 2" xfId="22690"/>
    <cellStyle name="Normal 14 2 2 3 3 4" xfId="16481"/>
    <cellStyle name="Normal 14 2 2 3 4" xfId="4111"/>
    <cellStyle name="Normal 14 2 2 3 4 2" xfId="10350"/>
    <cellStyle name="Normal 14 2 2 3 4 2 2" xfId="22692"/>
    <cellStyle name="Normal 14 2 2 3 4 3" xfId="16483"/>
    <cellStyle name="Normal 14 2 2 3 5" xfId="10345"/>
    <cellStyle name="Normal 14 2 2 3 5 2" xfId="22687"/>
    <cellStyle name="Normal 14 2 2 3 6" xfId="16478"/>
    <cellStyle name="Normal 14 2 2 4" xfId="4112"/>
    <cellStyle name="Normal 14 2 2 4 2" xfId="4113"/>
    <cellStyle name="Normal 14 2 2 4 2 2" xfId="10352"/>
    <cellStyle name="Normal 14 2 2 4 2 2 2" xfId="22694"/>
    <cellStyle name="Normal 14 2 2 4 2 3" xfId="16485"/>
    <cellStyle name="Normal 14 2 2 4 3" xfId="10351"/>
    <cellStyle name="Normal 14 2 2 4 3 2" xfId="22693"/>
    <cellStyle name="Normal 14 2 2 4 4" xfId="16484"/>
    <cellStyle name="Normal 14 2 2 5" xfId="4114"/>
    <cellStyle name="Normal 14 2 2 5 2" xfId="4115"/>
    <cellStyle name="Normal 14 2 2 5 2 2" xfId="10354"/>
    <cellStyle name="Normal 14 2 2 5 2 2 2" xfId="22696"/>
    <cellStyle name="Normal 14 2 2 5 2 3" xfId="16487"/>
    <cellStyle name="Normal 14 2 2 5 3" xfId="10353"/>
    <cellStyle name="Normal 14 2 2 5 3 2" xfId="22695"/>
    <cellStyle name="Normal 14 2 2 5 4" xfId="16486"/>
    <cellStyle name="Normal 14 2 2 6" xfId="4116"/>
    <cellStyle name="Normal 14 2 2 6 2" xfId="10355"/>
    <cellStyle name="Normal 14 2 2 6 2 2" xfId="22697"/>
    <cellStyle name="Normal 14 2 2 6 3" xfId="16488"/>
    <cellStyle name="Normal 14 2 2 7" xfId="4117"/>
    <cellStyle name="Normal 14 2 2 7 2" xfId="16489"/>
    <cellStyle name="Normal 14 2 2 8" xfId="10332"/>
    <cellStyle name="Normal 14 2 2 8 2" xfId="22675"/>
    <cellStyle name="Normal 14 2 2 9" xfId="16465"/>
    <cellStyle name="Normal 14 2 3" xfId="4118"/>
    <cellStyle name="Normal 14 2 3 2" xfId="4119"/>
    <cellStyle name="Normal 14 2 3 2 2" xfId="4120"/>
    <cellStyle name="Normal 14 2 3 2 2 2" xfId="4121"/>
    <cellStyle name="Normal 14 2 3 2 2 2 2" xfId="10359"/>
    <cellStyle name="Normal 14 2 3 2 2 2 2 2" xfId="22701"/>
    <cellStyle name="Normal 14 2 3 2 2 2 3" xfId="16493"/>
    <cellStyle name="Normal 14 2 3 2 2 3" xfId="10358"/>
    <cellStyle name="Normal 14 2 3 2 2 3 2" xfId="22700"/>
    <cellStyle name="Normal 14 2 3 2 2 4" xfId="16492"/>
    <cellStyle name="Normal 14 2 3 2 3" xfId="4122"/>
    <cellStyle name="Normal 14 2 3 2 3 2" xfId="4123"/>
    <cellStyle name="Normal 14 2 3 2 3 2 2" xfId="10361"/>
    <cellStyle name="Normal 14 2 3 2 3 2 3" xfId="16495"/>
    <cellStyle name="Normal 14 2 3 2 3 3" xfId="10360"/>
    <cellStyle name="Normal 14 2 3 2 3 4" xfId="16494"/>
    <cellStyle name="Normal 14 2 3 2 4" xfId="4124"/>
    <cellStyle name="Normal 14 2 3 2 4 2" xfId="10362"/>
    <cellStyle name="Normal 14 2 3 2 4 3" xfId="16496"/>
    <cellStyle name="Normal 14 2 3 2 5" xfId="10357"/>
    <cellStyle name="Normal 14 2 3 2 5 2" xfId="22699"/>
    <cellStyle name="Normal 14 2 3 2 6" xfId="16491"/>
    <cellStyle name="Normal 14 2 3 3" xfId="4125"/>
    <cellStyle name="Normal 14 2 3 3 2" xfId="4126"/>
    <cellStyle name="Normal 14 2 3 3 2 2" xfId="10364"/>
    <cellStyle name="Normal 14 2 3 3 2 3" xfId="16498"/>
    <cellStyle name="Normal 14 2 3 3 3" xfId="10363"/>
    <cellStyle name="Normal 14 2 3 3 4" xfId="16497"/>
    <cellStyle name="Normal 14 2 3 4" xfId="4127"/>
    <cellStyle name="Normal 14 2 3 4 2" xfId="4128"/>
    <cellStyle name="Normal 14 2 3 4 2 2" xfId="10366"/>
    <cellStyle name="Normal 14 2 3 4 2 3" xfId="16500"/>
    <cellStyle name="Normal 14 2 3 4 3" xfId="10365"/>
    <cellStyle name="Normal 14 2 3 4 4" xfId="16499"/>
    <cellStyle name="Normal 14 2 3 5" xfId="4129"/>
    <cellStyle name="Normal 14 2 3 5 2" xfId="10367"/>
    <cellStyle name="Normal 14 2 3 5 3" xfId="16501"/>
    <cellStyle name="Normal 14 2 3 6" xfId="4130"/>
    <cellStyle name="Normal 14 2 3 6 2" xfId="16502"/>
    <cellStyle name="Normal 14 2 3 7" xfId="10356"/>
    <cellStyle name="Normal 14 2 3 7 2" xfId="22698"/>
    <cellStyle name="Normal 14 2 3 8" xfId="16490"/>
    <cellStyle name="Normal 14 2 4" xfId="4131"/>
    <cellStyle name="Normal 14 2 4 2" xfId="4132"/>
    <cellStyle name="Normal 14 2 4 2 2" xfId="4133"/>
    <cellStyle name="Normal 14 2 4 2 2 2" xfId="10370"/>
    <cellStyle name="Normal 14 2 4 2 2 3" xfId="16505"/>
    <cellStyle name="Normal 14 2 4 2 3" xfId="10369"/>
    <cellStyle name="Normal 14 2 4 2 4" xfId="16504"/>
    <cellStyle name="Normal 14 2 4 3" xfId="4134"/>
    <cellStyle name="Normal 14 2 4 3 2" xfId="4135"/>
    <cellStyle name="Normal 14 2 4 3 2 2" xfId="10372"/>
    <cellStyle name="Normal 14 2 4 3 2 3" xfId="16507"/>
    <cellStyle name="Normal 14 2 4 3 3" xfId="10371"/>
    <cellStyle name="Normal 14 2 4 3 4" xfId="16506"/>
    <cellStyle name="Normal 14 2 4 4" xfId="4136"/>
    <cellStyle name="Normal 14 2 4 4 2" xfId="10373"/>
    <cellStyle name="Normal 14 2 4 4 3" xfId="16508"/>
    <cellStyle name="Normal 14 2 4 5" xfId="10368"/>
    <cellStyle name="Normal 14 2 4 6" xfId="16503"/>
    <cellStyle name="Normal 14 2 5" xfId="4137"/>
    <cellStyle name="Normal 14 2 5 2" xfId="4138"/>
    <cellStyle name="Normal 14 2 5 2 2" xfId="10375"/>
    <cellStyle name="Normal 14 2 5 2 3" xfId="16510"/>
    <cellStyle name="Normal 14 2 5 3" xfId="10374"/>
    <cellStyle name="Normal 14 2 5 4" xfId="16509"/>
    <cellStyle name="Normal 14 2 6" xfId="4139"/>
    <cellStyle name="Normal 14 2 6 2" xfId="4140"/>
    <cellStyle name="Normal 14 2 6 2 2" xfId="10377"/>
    <cellStyle name="Normal 14 2 6 2 3" xfId="16512"/>
    <cellStyle name="Normal 14 2 6 3" xfId="10376"/>
    <cellStyle name="Normal 14 2 6 4" xfId="16511"/>
    <cellStyle name="Normal 14 2 7" xfId="4141"/>
    <cellStyle name="Normal 14 2 7 2" xfId="10378"/>
    <cellStyle name="Normal 14 2 7 3" xfId="16513"/>
    <cellStyle name="Normal 14 2 8" xfId="10331"/>
    <cellStyle name="Normal 14 2 9" xfId="16464"/>
    <cellStyle name="Normal 14 3" xfId="4142"/>
    <cellStyle name="Normal 14 3 10" xfId="10379"/>
    <cellStyle name="Normal 14 3 11" xfId="16514"/>
    <cellStyle name="Normal 14 3 2" xfId="4143"/>
    <cellStyle name="Normal 14 3 2 2" xfId="4144"/>
    <cellStyle name="Normal 14 3 2 2 2" xfId="4145"/>
    <cellStyle name="Normal 14 3 2 2 2 2" xfId="4146"/>
    <cellStyle name="Normal 14 3 2 2 2 2 2" xfId="4147"/>
    <cellStyle name="Normal 14 3 2 2 2 2 2 2" xfId="10384"/>
    <cellStyle name="Normal 14 3 2 2 2 2 2 3" xfId="16519"/>
    <cellStyle name="Normal 14 3 2 2 2 2 3" xfId="10383"/>
    <cellStyle name="Normal 14 3 2 2 2 2 4" xfId="16518"/>
    <cellStyle name="Normal 14 3 2 2 2 3" xfId="4148"/>
    <cellStyle name="Normal 14 3 2 2 2 3 2" xfId="4149"/>
    <cellStyle name="Normal 14 3 2 2 2 3 2 2" xfId="10386"/>
    <cellStyle name="Normal 14 3 2 2 2 3 2 3" xfId="16521"/>
    <cellStyle name="Normal 14 3 2 2 2 3 3" xfId="10385"/>
    <cellStyle name="Normal 14 3 2 2 2 3 4" xfId="16520"/>
    <cellStyle name="Normal 14 3 2 2 2 4" xfId="4150"/>
    <cellStyle name="Normal 14 3 2 2 2 4 2" xfId="10387"/>
    <cellStyle name="Normal 14 3 2 2 2 4 3" xfId="16522"/>
    <cellStyle name="Normal 14 3 2 2 2 5" xfId="10382"/>
    <cellStyle name="Normal 14 3 2 2 2 6" xfId="16517"/>
    <cellStyle name="Normal 14 3 2 2 3" xfId="4151"/>
    <cellStyle name="Normal 14 3 2 2 3 2" xfId="4152"/>
    <cellStyle name="Normal 14 3 2 2 3 2 2" xfId="10389"/>
    <cellStyle name="Normal 14 3 2 2 3 2 3" xfId="16524"/>
    <cellStyle name="Normal 14 3 2 2 3 3" xfId="10388"/>
    <cellStyle name="Normal 14 3 2 2 3 4" xfId="16523"/>
    <cellStyle name="Normal 14 3 2 2 4" xfId="4153"/>
    <cellStyle name="Normal 14 3 2 2 4 2" xfId="4154"/>
    <cellStyle name="Normal 14 3 2 2 4 2 2" xfId="10391"/>
    <cellStyle name="Normal 14 3 2 2 4 2 3" xfId="16526"/>
    <cellStyle name="Normal 14 3 2 2 4 3" xfId="10390"/>
    <cellStyle name="Normal 14 3 2 2 4 4" xfId="16525"/>
    <cellStyle name="Normal 14 3 2 2 5" xfId="4155"/>
    <cellStyle name="Normal 14 3 2 2 5 2" xfId="10392"/>
    <cellStyle name="Normal 14 3 2 2 5 3" xfId="16527"/>
    <cellStyle name="Normal 14 3 2 2 6" xfId="10381"/>
    <cellStyle name="Normal 14 3 2 2 7" xfId="16516"/>
    <cellStyle name="Normal 14 3 2 3" xfId="4156"/>
    <cellStyle name="Normal 14 3 2 3 2" xfId="4157"/>
    <cellStyle name="Normal 14 3 2 3 2 2" xfId="4158"/>
    <cellStyle name="Normal 14 3 2 3 2 2 2" xfId="10395"/>
    <cellStyle name="Normal 14 3 2 3 2 2 3" xfId="16530"/>
    <cellStyle name="Normal 14 3 2 3 2 3" xfId="10394"/>
    <cellStyle name="Normal 14 3 2 3 2 4" xfId="16529"/>
    <cellStyle name="Normal 14 3 2 3 3" xfId="4159"/>
    <cellStyle name="Normal 14 3 2 3 3 2" xfId="4160"/>
    <cellStyle name="Normal 14 3 2 3 3 2 2" xfId="10397"/>
    <cellStyle name="Normal 14 3 2 3 3 2 3" xfId="16532"/>
    <cellStyle name="Normal 14 3 2 3 3 3" xfId="10396"/>
    <cellStyle name="Normal 14 3 2 3 3 4" xfId="16531"/>
    <cellStyle name="Normal 14 3 2 3 4" xfId="4161"/>
    <cellStyle name="Normal 14 3 2 3 4 2" xfId="10398"/>
    <cellStyle name="Normal 14 3 2 3 4 3" xfId="16533"/>
    <cellStyle name="Normal 14 3 2 3 5" xfId="10393"/>
    <cellStyle name="Normal 14 3 2 3 6" xfId="16528"/>
    <cellStyle name="Normal 14 3 2 4" xfId="4162"/>
    <cellStyle name="Normal 14 3 2 4 2" xfId="4163"/>
    <cellStyle name="Normal 14 3 2 4 2 2" xfId="10400"/>
    <cellStyle name="Normal 14 3 2 4 2 3" xfId="16535"/>
    <cellStyle name="Normal 14 3 2 4 3" xfId="10399"/>
    <cellStyle name="Normal 14 3 2 4 4" xfId="16534"/>
    <cellStyle name="Normal 14 3 2 5" xfId="4164"/>
    <cellStyle name="Normal 14 3 2 5 2" xfId="4165"/>
    <cellStyle name="Normal 14 3 2 5 2 2" xfId="10402"/>
    <cellStyle name="Normal 14 3 2 5 2 3" xfId="16537"/>
    <cellStyle name="Normal 14 3 2 5 3" xfId="10401"/>
    <cellStyle name="Normal 14 3 2 5 4" xfId="16536"/>
    <cellStyle name="Normal 14 3 2 6" xfId="4166"/>
    <cellStyle name="Normal 14 3 2 6 2" xfId="10403"/>
    <cellStyle name="Normal 14 3 2 6 3" xfId="16538"/>
    <cellStyle name="Normal 14 3 2 7" xfId="10380"/>
    <cellStyle name="Normal 14 3 2 8" xfId="16515"/>
    <cellStyle name="Normal 14 3 3" xfId="4167"/>
    <cellStyle name="Normal 14 3 3 2" xfId="4168"/>
    <cellStyle name="Normal 14 3 3 2 2" xfId="4169"/>
    <cellStyle name="Normal 14 3 3 2 2 2" xfId="4170"/>
    <cellStyle name="Normal 14 3 3 2 2 2 2" xfId="10407"/>
    <cellStyle name="Normal 14 3 3 2 2 2 3" xfId="16542"/>
    <cellStyle name="Normal 14 3 3 2 2 3" xfId="10406"/>
    <cellStyle name="Normal 14 3 3 2 2 4" xfId="16541"/>
    <cellStyle name="Normal 14 3 3 2 3" xfId="4171"/>
    <cellStyle name="Normal 14 3 3 2 3 2" xfId="4172"/>
    <cellStyle name="Normal 14 3 3 2 3 2 2" xfId="10409"/>
    <cellStyle name="Normal 14 3 3 2 3 2 3" xfId="16544"/>
    <cellStyle name="Normal 14 3 3 2 3 3" xfId="10408"/>
    <cellStyle name="Normal 14 3 3 2 3 4" xfId="16543"/>
    <cellStyle name="Normal 14 3 3 2 4" xfId="4173"/>
    <cellStyle name="Normal 14 3 3 2 4 2" xfId="10410"/>
    <cellStyle name="Normal 14 3 3 2 4 3" xfId="16545"/>
    <cellStyle name="Normal 14 3 3 2 5" xfId="10405"/>
    <cellStyle name="Normal 14 3 3 2 6" xfId="16540"/>
    <cellStyle name="Normal 14 3 3 3" xfId="4174"/>
    <cellStyle name="Normal 14 3 3 3 2" xfId="4175"/>
    <cellStyle name="Normal 14 3 3 3 2 2" xfId="10412"/>
    <cellStyle name="Normal 14 3 3 3 2 3" xfId="16547"/>
    <cellStyle name="Normal 14 3 3 3 3" xfId="10411"/>
    <cellStyle name="Normal 14 3 3 3 4" xfId="16546"/>
    <cellStyle name="Normal 14 3 3 4" xfId="4176"/>
    <cellStyle name="Normal 14 3 3 4 2" xfId="4177"/>
    <cellStyle name="Normal 14 3 3 4 2 2" xfId="10414"/>
    <cellStyle name="Normal 14 3 3 4 2 3" xfId="16549"/>
    <cellStyle name="Normal 14 3 3 4 3" xfId="10413"/>
    <cellStyle name="Normal 14 3 3 4 4" xfId="16548"/>
    <cellStyle name="Normal 14 3 3 5" xfId="4178"/>
    <cellStyle name="Normal 14 3 3 5 2" xfId="10415"/>
    <cellStyle name="Normal 14 3 3 5 3" xfId="16550"/>
    <cellStyle name="Normal 14 3 3 6" xfId="10404"/>
    <cellStyle name="Normal 14 3 3 7" xfId="16539"/>
    <cellStyle name="Normal 14 3 4" xfId="4179"/>
    <cellStyle name="Normal 14 3 4 2" xfId="4180"/>
    <cellStyle name="Normal 14 3 4 2 2" xfId="4181"/>
    <cellStyle name="Normal 14 3 4 2 2 2" xfId="10418"/>
    <cellStyle name="Normal 14 3 4 2 2 3" xfId="16553"/>
    <cellStyle name="Normal 14 3 4 2 3" xfId="10417"/>
    <cellStyle name="Normal 14 3 4 2 4" xfId="16552"/>
    <cellStyle name="Normal 14 3 4 3" xfId="4182"/>
    <cellStyle name="Normal 14 3 4 3 2" xfId="4183"/>
    <cellStyle name="Normal 14 3 4 3 2 2" xfId="10420"/>
    <cellStyle name="Normal 14 3 4 3 2 3" xfId="16555"/>
    <cellStyle name="Normal 14 3 4 3 3" xfId="10419"/>
    <cellStyle name="Normal 14 3 4 3 4" xfId="16554"/>
    <cellStyle name="Normal 14 3 4 4" xfId="4184"/>
    <cellStyle name="Normal 14 3 4 4 2" xfId="10421"/>
    <cellStyle name="Normal 14 3 4 4 3" xfId="16556"/>
    <cellStyle name="Normal 14 3 4 5" xfId="10416"/>
    <cellStyle name="Normal 14 3 4 6" xfId="16551"/>
    <cellStyle name="Normal 14 3 5" xfId="4185"/>
    <cellStyle name="Normal 14 3 5 2" xfId="4186"/>
    <cellStyle name="Normal 14 3 5 2 2" xfId="10423"/>
    <cellStyle name="Normal 14 3 5 2 3" xfId="16558"/>
    <cellStyle name="Normal 14 3 5 3" xfId="10422"/>
    <cellStyle name="Normal 14 3 5 4" xfId="16557"/>
    <cellStyle name="Normal 14 3 6" xfId="4187"/>
    <cellStyle name="Normal 14 3 6 2" xfId="4188"/>
    <cellStyle name="Normal 14 3 6 2 2" xfId="10425"/>
    <cellStyle name="Normal 14 3 6 2 3" xfId="16560"/>
    <cellStyle name="Normal 14 3 6 3" xfId="10424"/>
    <cellStyle name="Normal 14 3 6 4" xfId="16559"/>
    <cellStyle name="Normal 14 3 7" xfId="4189"/>
    <cellStyle name="Normal 14 3 7 2" xfId="10426"/>
    <cellStyle name="Normal 14 3 7 3" xfId="16561"/>
    <cellStyle name="Normal 14 3 8" xfId="4190"/>
    <cellStyle name="Normal 14 3 8 2" xfId="10427"/>
    <cellStyle name="Normal 14 3 8 3" xfId="16562"/>
    <cellStyle name="Normal 14 3 9" xfId="4191"/>
    <cellStyle name="Normal 14 3 9 2" xfId="16563"/>
    <cellStyle name="Normal 14 4" xfId="4192"/>
    <cellStyle name="Normal 14 4 2" xfId="4193"/>
    <cellStyle name="Normal 14 4 2 2" xfId="4194"/>
    <cellStyle name="Normal 14 4 2 2 2" xfId="4195"/>
    <cellStyle name="Normal 14 4 2 2 2 2" xfId="4196"/>
    <cellStyle name="Normal 14 4 2 2 2 2 2" xfId="10432"/>
    <cellStyle name="Normal 14 4 2 2 2 2 3" xfId="16568"/>
    <cellStyle name="Normal 14 4 2 2 2 3" xfId="10431"/>
    <cellStyle name="Normal 14 4 2 2 2 4" xfId="16567"/>
    <cellStyle name="Normal 14 4 2 2 3" xfId="4197"/>
    <cellStyle name="Normal 14 4 2 2 3 2" xfId="4198"/>
    <cellStyle name="Normal 14 4 2 2 3 2 2" xfId="10434"/>
    <cellStyle name="Normal 14 4 2 2 3 2 3" xfId="16570"/>
    <cellStyle name="Normal 14 4 2 2 3 3" xfId="10433"/>
    <cellStyle name="Normal 14 4 2 2 3 4" xfId="16569"/>
    <cellStyle name="Normal 14 4 2 2 4" xfId="4199"/>
    <cellStyle name="Normal 14 4 2 2 4 2" xfId="10435"/>
    <cellStyle name="Normal 14 4 2 2 4 3" xfId="16571"/>
    <cellStyle name="Normal 14 4 2 2 5" xfId="10430"/>
    <cellStyle name="Normal 14 4 2 2 6" xfId="16566"/>
    <cellStyle name="Normal 14 4 2 3" xfId="4200"/>
    <cellStyle name="Normal 14 4 2 3 2" xfId="4201"/>
    <cellStyle name="Normal 14 4 2 3 2 2" xfId="10437"/>
    <cellStyle name="Normal 14 4 2 3 2 3" xfId="16573"/>
    <cellStyle name="Normal 14 4 2 3 3" xfId="10436"/>
    <cellStyle name="Normal 14 4 2 3 4" xfId="16572"/>
    <cellStyle name="Normal 14 4 2 4" xfId="4202"/>
    <cellStyle name="Normal 14 4 2 4 2" xfId="4203"/>
    <cellStyle name="Normal 14 4 2 4 2 2" xfId="10439"/>
    <cellStyle name="Normal 14 4 2 4 2 3" xfId="16575"/>
    <cellStyle name="Normal 14 4 2 4 3" xfId="10438"/>
    <cellStyle name="Normal 14 4 2 4 4" xfId="16574"/>
    <cellStyle name="Normal 14 4 2 5" xfId="4204"/>
    <cellStyle name="Normal 14 4 2 5 2" xfId="10440"/>
    <cellStyle name="Normal 14 4 2 5 3" xfId="16576"/>
    <cellStyle name="Normal 14 4 2 6" xfId="10429"/>
    <cellStyle name="Normal 14 4 2 7" xfId="16565"/>
    <cellStyle name="Normal 14 4 3" xfId="4205"/>
    <cellStyle name="Normal 14 4 3 2" xfId="4206"/>
    <cellStyle name="Normal 14 4 3 2 2" xfId="4207"/>
    <cellStyle name="Normal 14 4 3 2 2 2" xfId="10443"/>
    <cellStyle name="Normal 14 4 3 2 2 3" xfId="16579"/>
    <cellStyle name="Normal 14 4 3 2 3" xfId="10442"/>
    <cellStyle name="Normal 14 4 3 2 4" xfId="16578"/>
    <cellStyle name="Normal 14 4 3 3" xfId="4208"/>
    <cellStyle name="Normal 14 4 3 3 2" xfId="4209"/>
    <cellStyle name="Normal 14 4 3 3 2 2" xfId="10445"/>
    <cellStyle name="Normal 14 4 3 3 2 3" xfId="16581"/>
    <cellStyle name="Normal 14 4 3 3 3" xfId="10444"/>
    <cellStyle name="Normal 14 4 3 3 4" xfId="16580"/>
    <cellStyle name="Normal 14 4 3 4" xfId="4210"/>
    <cellStyle name="Normal 14 4 3 4 2" xfId="10446"/>
    <cellStyle name="Normal 14 4 3 4 3" xfId="16582"/>
    <cellStyle name="Normal 14 4 3 5" xfId="10441"/>
    <cellStyle name="Normal 14 4 3 6" xfId="16577"/>
    <cellStyle name="Normal 14 4 4" xfId="4211"/>
    <cellStyle name="Normal 14 4 4 2" xfId="4212"/>
    <cellStyle name="Normal 14 4 4 2 2" xfId="10448"/>
    <cellStyle name="Normal 14 4 4 2 3" xfId="16584"/>
    <cellStyle name="Normal 14 4 4 3" xfId="10447"/>
    <cellStyle name="Normal 14 4 4 4" xfId="16583"/>
    <cellStyle name="Normal 14 4 5" xfId="4213"/>
    <cellStyle name="Normal 14 4 5 2" xfId="4214"/>
    <cellStyle name="Normal 14 4 5 2 2" xfId="10450"/>
    <cellStyle name="Normal 14 4 5 2 3" xfId="16586"/>
    <cellStyle name="Normal 14 4 5 3" xfId="10449"/>
    <cellStyle name="Normal 14 4 5 4" xfId="16585"/>
    <cellStyle name="Normal 14 4 6" xfId="4215"/>
    <cellStyle name="Normal 14 4 6 2" xfId="10451"/>
    <cellStyle name="Normal 14 4 6 3" xfId="16587"/>
    <cellStyle name="Normal 14 4 7" xfId="4216"/>
    <cellStyle name="Normal 14 4 7 2" xfId="16588"/>
    <cellStyle name="Normal 14 4 8" xfId="10428"/>
    <cellStyle name="Normal 14 4 9" xfId="16564"/>
    <cellStyle name="Normal 14 5" xfId="4217"/>
    <cellStyle name="Normal 14 5 2" xfId="4218"/>
    <cellStyle name="Normal 14 5 2 2" xfId="4219"/>
    <cellStyle name="Normal 14 5 2 2 2" xfId="4220"/>
    <cellStyle name="Normal 14 5 2 2 2 2" xfId="10455"/>
    <cellStyle name="Normal 14 5 2 2 2 3" xfId="16592"/>
    <cellStyle name="Normal 14 5 2 2 3" xfId="10454"/>
    <cellStyle name="Normal 14 5 2 2 4" xfId="16591"/>
    <cellStyle name="Normal 14 5 2 3" xfId="4221"/>
    <cellStyle name="Normal 14 5 2 3 2" xfId="4222"/>
    <cellStyle name="Normal 14 5 2 3 2 2" xfId="10457"/>
    <cellStyle name="Normal 14 5 2 3 2 3" xfId="16594"/>
    <cellStyle name="Normal 14 5 2 3 3" xfId="10456"/>
    <cellStyle name="Normal 14 5 2 3 4" xfId="16593"/>
    <cellStyle name="Normal 14 5 2 4" xfId="4223"/>
    <cellStyle name="Normal 14 5 2 4 2" xfId="10458"/>
    <cellStyle name="Normal 14 5 2 4 3" xfId="16595"/>
    <cellStyle name="Normal 14 5 2 5" xfId="10453"/>
    <cellStyle name="Normal 14 5 2 6" xfId="16590"/>
    <cellStyle name="Normal 14 5 3" xfId="4224"/>
    <cellStyle name="Normal 14 5 3 2" xfId="4225"/>
    <cellStyle name="Normal 14 5 3 2 2" xfId="10460"/>
    <cellStyle name="Normal 14 5 3 2 3" xfId="16597"/>
    <cellStyle name="Normal 14 5 3 3" xfId="10459"/>
    <cellStyle name="Normal 14 5 3 4" xfId="16596"/>
    <cellStyle name="Normal 14 5 4" xfId="4226"/>
    <cellStyle name="Normal 14 5 4 2" xfId="4227"/>
    <cellStyle name="Normal 14 5 4 2 2" xfId="10462"/>
    <cellStyle name="Normal 14 5 4 2 3" xfId="16599"/>
    <cellStyle name="Normal 14 5 4 3" xfId="10461"/>
    <cellStyle name="Normal 14 5 4 4" xfId="16598"/>
    <cellStyle name="Normal 14 5 5" xfId="4228"/>
    <cellStyle name="Normal 14 5 5 2" xfId="10463"/>
    <cellStyle name="Normal 14 5 5 3" xfId="16600"/>
    <cellStyle name="Normal 14 5 6" xfId="4229"/>
    <cellStyle name="Normal 14 5 6 2" xfId="16601"/>
    <cellStyle name="Normal 14 5 7" xfId="10452"/>
    <cellStyle name="Normal 14 5 8" xfId="16589"/>
    <cellStyle name="Normal 14 6" xfId="4230"/>
    <cellStyle name="Normal 14 6 2" xfId="4231"/>
    <cellStyle name="Normal 14 6 2 2" xfId="4232"/>
    <cellStyle name="Normal 14 6 2 2 2" xfId="10466"/>
    <cellStyle name="Normal 14 6 2 2 3" xfId="16604"/>
    <cellStyle name="Normal 14 6 2 3" xfId="10465"/>
    <cellStyle name="Normal 14 6 2 4" xfId="16603"/>
    <cellStyle name="Normal 14 6 3" xfId="4233"/>
    <cellStyle name="Normal 14 6 3 2" xfId="4234"/>
    <cellStyle name="Normal 14 6 3 2 2" xfId="10468"/>
    <cellStyle name="Normal 14 6 3 2 3" xfId="16606"/>
    <cellStyle name="Normal 14 6 3 3" xfId="10467"/>
    <cellStyle name="Normal 14 6 3 4" xfId="16605"/>
    <cellStyle name="Normal 14 6 4" xfId="4235"/>
    <cellStyle name="Normal 14 6 4 2" xfId="10469"/>
    <cellStyle name="Normal 14 6 4 3" xfId="16607"/>
    <cellStyle name="Normal 14 6 5" xfId="10464"/>
    <cellStyle name="Normal 14 6 6" xfId="16602"/>
    <cellStyle name="Normal 14 7" xfId="4236"/>
    <cellStyle name="Normal 14 7 2" xfId="4237"/>
    <cellStyle name="Normal 14 7 2 2" xfId="10471"/>
    <cellStyle name="Normal 14 7 2 3" xfId="16609"/>
    <cellStyle name="Normal 14 7 3" xfId="10470"/>
    <cellStyle name="Normal 14 7 4" xfId="16608"/>
    <cellStyle name="Normal 14 8" xfId="4238"/>
    <cellStyle name="Normal 14 8 2" xfId="4239"/>
    <cellStyle name="Normal 14 8 2 2" xfId="10473"/>
    <cellStyle name="Normal 14 8 2 3" xfId="16611"/>
    <cellStyle name="Normal 14 8 3" xfId="10472"/>
    <cellStyle name="Normal 14 8 4" xfId="16610"/>
    <cellStyle name="Normal 14 9" xfId="4240"/>
    <cellStyle name="Normal 14 9 2" xfId="10474"/>
    <cellStyle name="Normal 14 9 3" xfId="16612"/>
    <cellStyle name="Normal 14_Recycling Tons" xfId="4241"/>
    <cellStyle name="Normal 140" xfId="15205"/>
    <cellStyle name="Normal 140 2" xfId="22834"/>
    <cellStyle name="Normal 141" xfId="15206"/>
    <cellStyle name="Normal 141 2" xfId="22835"/>
    <cellStyle name="Normal 142" xfId="15210"/>
    <cellStyle name="Normal 142 2" xfId="22836"/>
    <cellStyle name="Normal 143" xfId="15212"/>
    <cellStyle name="Normal 143 2" xfId="22837"/>
    <cellStyle name="Normal 144" xfId="22965"/>
    <cellStyle name="Normal 145" xfId="22967"/>
    <cellStyle name="Normal 146" xfId="22968"/>
    <cellStyle name="Normal 147" xfId="22969"/>
    <cellStyle name="Normal 148" xfId="22970"/>
    <cellStyle name="Normal 149" xfId="22971"/>
    <cellStyle name="Normal 15" xfId="4242"/>
    <cellStyle name="Normal 15 2" xfId="4243"/>
    <cellStyle name="Normal 15 2 2" xfId="4244"/>
    <cellStyle name="Normal 15 2 2 2" xfId="4245"/>
    <cellStyle name="Normal 15 2 2 2 2" xfId="10478"/>
    <cellStyle name="Normal 15 2 2 2 3" xfId="16616"/>
    <cellStyle name="Normal 15 2 2 3" xfId="10477"/>
    <cellStyle name="Normal 15 2 2 4" xfId="16615"/>
    <cellStyle name="Normal 15 2 3" xfId="4246"/>
    <cellStyle name="Normal 15 2 3 2" xfId="10479"/>
    <cellStyle name="Normal 15 2 3 3" xfId="16617"/>
    <cellStyle name="Normal 15 2 4" xfId="10476"/>
    <cellStyle name="Normal 15 2 5" xfId="16614"/>
    <cellStyle name="Normal 15 3" xfId="4247"/>
    <cellStyle name="Normal 15 3 2" xfId="4248"/>
    <cellStyle name="Normal 15 3 2 2" xfId="10481"/>
    <cellStyle name="Normal 15 3 2 3" xfId="16619"/>
    <cellStyle name="Normal 15 3 3" xfId="4249"/>
    <cellStyle name="Normal 15 3 3 2" xfId="10482"/>
    <cellStyle name="Normal 15 3 3 3" xfId="16620"/>
    <cellStyle name="Normal 15 3 4" xfId="4250"/>
    <cellStyle name="Normal 15 3 4 2" xfId="16621"/>
    <cellStyle name="Normal 15 3 5" xfId="10480"/>
    <cellStyle name="Normal 15 3 6" xfId="16618"/>
    <cellStyle name="Normal 15 4" xfId="4251"/>
    <cellStyle name="Normal 15 4 2" xfId="4252"/>
    <cellStyle name="Normal 15 4 2 2" xfId="10484"/>
    <cellStyle name="Normal 15 4 2 3" xfId="16623"/>
    <cellStyle name="Normal 15 4 3" xfId="4253"/>
    <cellStyle name="Normal 15 4 3 2" xfId="16624"/>
    <cellStyle name="Normal 15 4 4" xfId="10483"/>
    <cellStyle name="Normal 15 4 5" xfId="16622"/>
    <cellStyle name="Normal 15 5" xfId="4254"/>
    <cellStyle name="Normal 15 5 2" xfId="4255"/>
    <cellStyle name="Normal 15 5 2 2" xfId="16626"/>
    <cellStyle name="Normal 15 5 3" xfId="10485"/>
    <cellStyle name="Normal 15 5 4" xfId="16625"/>
    <cellStyle name="Normal 15 6" xfId="10475"/>
    <cellStyle name="Normal 15 7" xfId="16613"/>
    <cellStyle name="Normal 15_Recycling Tons" xfId="4256"/>
    <cellStyle name="Normal 150" xfId="22972"/>
    <cellStyle name="Normal 151" xfId="22973"/>
    <cellStyle name="Normal 152" xfId="22974"/>
    <cellStyle name="Normal 153" xfId="22975"/>
    <cellStyle name="Normal 154" xfId="22977"/>
    <cellStyle name="Normal 155" xfId="22978"/>
    <cellStyle name="Normal 156" xfId="22979"/>
    <cellStyle name="Normal 157" xfId="22980"/>
    <cellStyle name="Normal 158" xfId="22981"/>
    <cellStyle name="Normal 159" xfId="22982"/>
    <cellStyle name="Normal 16" xfId="4257"/>
    <cellStyle name="Normal 16 10" xfId="10486"/>
    <cellStyle name="Normal 16 11" xfId="16627"/>
    <cellStyle name="Normal 16 2" xfId="4258"/>
    <cellStyle name="Normal 16 2 2" xfId="4259"/>
    <cellStyle name="Normal 16 2 2 2" xfId="4260"/>
    <cellStyle name="Normal 16 2 2 2 2" xfId="10489"/>
    <cellStyle name="Normal 16 2 2 2 3" xfId="16630"/>
    <cellStyle name="Normal 16 2 2 3" xfId="10488"/>
    <cellStyle name="Normal 16 2 2 4" xfId="16629"/>
    <cellStyle name="Normal 16 2 3" xfId="4261"/>
    <cellStyle name="Normal 16 2 3 2" xfId="10490"/>
    <cellStyle name="Normal 16 2 3 3" xfId="16631"/>
    <cellStyle name="Normal 16 2 4" xfId="10487"/>
    <cellStyle name="Normal 16 2 5" xfId="16628"/>
    <cellStyle name="Normal 16 3" xfId="4262"/>
    <cellStyle name="Normal 16 3 10" xfId="10491"/>
    <cellStyle name="Normal 16 3 11" xfId="16632"/>
    <cellStyle name="Normal 16 3 2" xfId="4263"/>
    <cellStyle name="Normal 16 3 2 2" xfId="4264"/>
    <cellStyle name="Normal 16 3 2 2 2" xfId="4265"/>
    <cellStyle name="Normal 16 3 2 2 2 2" xfId="4266"/>
    <cellStyle name="Normal 16 3 2 2 2 2 2" xfId="4267"/>
    <cellStyle name="Normal 16 3 2 2 2 2 2 2" xfId="10496"/>
    <cellStyle name="Normal 16 3 2 2 2 2 2 3" xfId="16637"/>
    <cellStyle name="Normal 16 3 2 2 2 2 3" xfId="10495"/>
    <cellStyle name="Normal 16 3 2 2 2 2 4" xfId="16636"/>
    <cellStyle name="Normal 16 3 2 2 2 3" xfId="4268"/>
    <cellStyle name="Normal 16 3 2 2 2 3 2" xfId="4269"/>
    <cellStyle name="Normal 16 3 2 2 2 3 2 2" xfId="10498"/>
    <cellStyle name="Normal 16 3 2 2 2 3 2 3" xfId="16639"/>
    <cellStyle name="Normal 16 3 2 2 2 3 3" xfId="10497"/>
    <cellStyle name="Normal 16 3 2 2 2 3 4" xfId="16638"/>
    <cellStyle name="Normal 16 3 2 2 2 4" xfId="4270"/>
    <cellStyle name="Normal 16 3 2 2 2 4 2" xfId="10499"/>
    <cellStyle name="Normal 16 3 2 2 2 4 3" xfId="16640"/>
    <cellStyle name="Normal 16 3 2 2 2 5" xfId="10494"/>
    <cellStyle name="Normal 16 3 2 2 2 6" xfId="16635"/>
    <cellStyle name="Normal 16 3 2 2 3" xfId="4271"/>
    <cellStyle name="Normal 16 3 2 2 3 2" xfId="4272"/>
    <cellStyle name="Normal 16 3 2 2 3 2 2" xfId="10501"/>
    <cellStyle name="Normal 16 3 2 2 3 2 3" xfId="16642"/>
    <cellStyle name="Normal 16 3 2 2 3 3" xfId="10500"/>
    <cellStyle name="Normal 16 3 2 2 3 4" xfId="16641"/>
    <cellStyle name="Normal 16 3 2 2 4" xfId="4273"/>
    <cellStyle name="Normal 16 3 2 2 4 2" xfId="4274"/>
    <cellStyle name="Normal 16 3 2 2 4 2 2" xfId="10503"/>
    <cellStyle name="Normal 16 3 2 2 4 2 3" xfId="16644"/>
    <cellStyle name="Normal 16 3 2 2 4 3" xfId="10502"/>
    <cellStyle name="Normal 16 3 2 2 4 4" xfId="16643"/>
    <cellStyle name="Normal 16 3 2 2 5" xfId="4275"/>
    <cellStyle name="Normal 16 3 2 2 5 2" xfId="10504"/>
    <cellStyle name="Normal 16 3 2 2 5 3" xfId="16645"/>
    <cellStyle name="Normal 16 3 2 2 6" xfId="10493"/>
    <cellStyle name="Normal 16 3 2 2 7" xfId="16634"/>
    <cellStyle name="Normal 16 3 2 3" xfId="4276"/>
    <cellStyle name="Normal 16 3 2 3 2" xfId="4277"/>
    <cellStyle name="Normal 16 3 2 3 2 2" xfId="4278"/>
    <cellStyle name="Normal 16 3 2 3 2 2 2" xfId="10507"/>
    <cellStyle name="Normal 16 3 2 3 2 2 3" xfId="16648"/>
    <cellStyle name="Normal 16 3 2 3 2 3" xfId="10506"/>
    <cellStyle name="Normal 16 3 2 3 2 4" xfId="16647"/>
    <cellStyle name="Normal 16 3 2 3 3" xfId="4279"/>
    <cellStyle name="Normal 16 3 2 3 3 2" xfId="4280"/>
    <cellStyle name="Normal 16 3 2 3 3 2 2" xfId="10509"/>
    <cellStyle name="Normal 16 3 2 3 3 2 3" xfId="16650"/>
    <cellStyle name="Normal 16 3 2 3 3 3" xfId="10508"/>
    <cellStyle name="Normal 16 3 2 3 3 4" xfId="16649"/>
    <cellStyle name="Normal 16 3 2 3 4" xfId="4281"/>
    <cellStyle name="Normal 16 3 2 3 4 2" xfId="10510"/>
    <cellStyle name="Normal 16 3 2 3 4 3" xfId="16651"/>
    <cellStyle name="Normal 16 3 2 3 5" xfId="10505"/>
    <cellStyle name="Normal 16 3 2 3 6" xfId="16646"/>
    <cellStyle name="Normal 16 3 2 4" xfId="4282"/>
    <cellStyle name="Normal 16 3 2 4 2" xfId="4283"/>
    <cellStyle name="Normal 16 3 2 4 2 2" xfId="10512"/>
    <cellStyle name="Normal 16 3 2 4 2 3" xfId="16653"/>
    <cellStyle name="Normal 16 3 2 4 3" xfId="10511"/>
    <cellStyle name="Normal 16 3 2 4 4" xfId="16652"/>
    <cellStyle name="Normal 16 3 2 5" xfId="4284"/>
    <cellStyle name="Normal 16 3 2 5 2" xfId="4285"/>
    <cellStyle name="Normal 16 3 2 5 2 2" xfId="10514"/>
    <cellStyle name="Normal 16 3 2 5 2 3" xfId="16655"/>
    <cellStyle name="Normal 16 3 2 5 3" xfId="10513"/>
    <cellStyle name="Normal 16 3 2 5 4" xfId="16654"/>
    <cellStyle name="Normal 16 3 2 6" xfId="4286"/>
    <cellStyle name="Normal 16 3 2 6 2" xfId="10515"/>
    <cellStyle name="Normal 16 3 2 6 3" xfId="16656"/>
    <cellStyle name="Normal 16 3 2 7" xfId="10492"/>
    <cellStyle name="Normal 16 3 2 8" xfId="16633"/>
    <cellStyle name="Normal 16 3 3" xfId="4287"/>
    <cellStyle name="Normal 16 3 3 2" xfId="4288"/>
    <cellStyle name="Normal 16 3 3 2 2" xfId="4289"/>
    <cellStyle name="Normal 16 3 3 2 2 2" xfId="4290"/>
    <cellStyle name="Normal 16 3 3 2 2 2 2" xfId="10519"/>
    <cellStyle name="Normal 16 3 3 2 2 2 3" xfId="16660"/>
    <cellStyle name="Normal 16 3 3 2 2 3" xfId="10518"/>
    <cellStyle name="Normal 16 3 3 2 2 4" xfId="16659"/>
    <cellStyle name="Normal 16 3 3 2 3" xfId="4291"/>
    <cellStyle name="Normal 16 3 3 2 3 2" xfId="4292"/>
    <cellStyle name="Normal 16 3 3 2 3 2 2" xfId="10521"/>
    <cellStyle name="Normal 16 3 3 2 3 2 3" xfId="16662"/>
    <cellStyle name="Normal 16 3 3 2 3 3" xfId="10520"/>
    <cellStyle name="Normal 16 3 3 2 3 4" xfId="16661"/>
    <cellStyle name="Normal 16 3 3 2 4" xfId="4293"/>
    <cellStyle name="Normal 16 3 3 2 4 2" xfId="10522"/>
    <cellStyle name="Normal 16 3 3 2 4 3" xfId="16663"/>
    <cellStyle name="Normal 16 3 3 2 5" xfId="10517"/>
    <cellStyle name="Normal 16 3 3 2 6" xfId="16658"/>
    <cellStyle name="Normal 16 3 3 3" xfId="4294"/>
    <cellStyle name="Normal 16 3 3 3 2" xfId="4295"/>
    <cellStyle name="Normal 16 3 3 3 2 2" xfId="10524"/>
    <cellStyle name="Normal 16 3 3 3 2 3" xfId="16665"/>
    <cellStyle name="Normal 16 3 3 3 3" xfId="10523"/>
    <cellStyle name="Normal 16 3 3 3 4" xfId="16664"/>
    <cellStyle name="Normal 16 3 3 4" xfId="4296"/>
    <cellStyle name="Normal 16 3 3 4 2" xfId="4297"/>
    <cellStyle name="Normal 16 3 3 4 2 2" xfId="10526"/>
    <cellStyle name="Normal 16 3 3 4 2 3" xfId="16667"/>
    <cellStyle name="Normal 16 3 3 4 3" xfId="10525"/>
    <cellStyle name="Normal 16 3 3 4 4" xfId="16666"/>
    <cellStyle name="Normal 16 3 3 5" xfId="4298"/>
    <cellStyle name="Normal 16 3 3 5 2" xfId="10527"/>
    <cellStyle name="Normal 16 3 3 5 3" xfId="16668"/>
    <cellStyle name="Normal 16 3 3 6" xfId="10516"/>
    <cellStyle name="Normal 16 3 3 7" xfId="16657"/>
    <cellStyle name="Normal 16 3 4" xfId="4299"/>
    <cellStyle name="Normal 16 3 4 2" xfId="4300"/>
    <cellStyle name="Normal 16 3 4 2 2" xfId="4301"/>
    <cellStyle name="Normal 16 3 4 2 2 2" xfId="10530"/>
    <cellStyle name="Normal 16 3 4 2 2 3" xfId="16671"/>
    <cellStyle name="Normal 16 3 4 2 3" xfId="10529"/>
    <cellStyle name="Normal 16 3 4 2 4" xfId="16670"/>
    <cellStyle name="Normal 16 3 4 3" xfId="4302"/>
    <cellStyle name="Normal 16 3 4 3 2" xfId="4303"/>
    <cellStyle name="Normal 16 3 4 3 2 2" xfId="10532"/>
    <cellStyle name="Normal 16 3 4 3 2 3" xfId="16673"/>
    <cellStyle name="Normal 16 3 4 3 3" xfId="10531"/>
    <cellStyle name="Normal 16 3 4 3 4" xfId="16672"/>
    <cellStyle name="Normal 16 3 4 4" xfId="4304"/>
    <cellStyle name="Normal 16 3 4 4 2" xfId="10533"/>
    <cellStyle name="Normal 16 3 4 4 3" xfId="16674"/>
    <cellStyle name="Normal 16 3 4 5" xfId="10528"/>
    <cellStyle name="Normal 16 3 4 6" xfId="16669"/>
    <cellStyle name="Normal 16 3 5" xfId="4305"/>
    <cellStyle name="Normal 16 3 5 2" xfId="4306"/>
    <cellStyle name="Normal 16 3 5 2 2" xfId="10535"/>
    <cellStyle name="Normal 16 3 5 2 3" xfId="16676"/>
    <cellStyle name="Normal 16 3 5 3" xfId="10534"/>
    <cellStyle name="Normal 16 3 5 4" xfId="16675"/>
    <cellStyle name="Normal 16 3 6" xfId="4307"/>
    <cellStyle name="Normal 16 3 6 2" xfId="4308"/>
    <cellStyle name="Normal 16 3 6 2 2" xfId="10537"/>
    <cellStyle name="Normal 16 3 6 2 3" xfId="16678"/>
    <cellStyle name="Normal 16 3 6 3" xfId="10536"/>
    <cellStyle name="Normal 16 3 6 4" xfId="16677"/>
    <cellStyle name="Normal 16 3 7" xfId="4309"/>
    <cellStyle name="Normal 16 3 7 2" xfId="10538"/>
    <cellStyle name="Normal 16 3 7 3" xfId="16679"/>
    <cellStyle name="Normal 16 3 8" xfId="4310"/>
    <cellStyle name="Normal 16 3 8 2" xfId="10539"/>
    <cellStyle name="Normal 16 3 8 3" xfId="16680"/>
    <cellStyle name="Normal 16 3 9" xfId="4311"/>
    <cellStyle name="Normal 16 3 9 2" xfId="16681"/>
    <cellStyle name="Normal 16 4" xfId="4312"/>
    <cellStyle name="Normal 16 4 2" xfId="4313"/>
    <cellStyle name="Normal 16 4 2 2" xfId="4314"/>
    <cellStyle name="Normal 16 4 2 2 2" xfId="4315"/>
    <cellStyle name="Normal 16 4 2 2 2 2" xfId="4316"/>
    <cellStyle name="Normal 16 4 2 2 2 2 2" xfId="10544"/>
    <cellStyle name="Normal 16 4 2 2 2 2 3" xfId="16686"/>
    <cellStyle name="Normal 16 4 2 2 2 3" xfId="10543"/>
    <cellStyle name="Normal 16 4 2 2 2 4" xfId="16685"/>
    <cellStyle name="Normal 16 4 2 2 3" xfId="4317"/>
    <cellStyle name="Normal 16 4 2 2 3 2" xfId="4318"/>
    <cellStyle name="Normal 16 4 2 2 3 2 2" xfId="10546"/>
    <cellStyle name="Normal 16 4 2 2 3 2 3" xfId="16688"/>
    <cellStyle name="Normal 16 4 2 2 3 3" xfId="10545"/>
    <cellStyle name="Normal 16 4 2 2 3 4" xfId="16687"/>
    <cellStyle name="Normal 16 4 2 2 4" xfId="4319"/>
    <cellStyle name="Normal 16 4 2 2 4 2" xfId="10547"/>
    <cellStyle name="Normal 16 4 2 2 4 3" xfId="16689"/>
    <cellStyle name="Normal 16 4 2 2 5" xfId="10542"/>
    <cellStyle name="Normal 16 4 2 2 6" xfId="16684"/>
    <cellStyle name="Normal 16 4 2 3" xfId="4320"/>
    <cellStyle name="Normal 16 4 2 3 2" xfId="4321"/>
    <cellStyle name="Normal 16 4 2 3 2 2" xfId="10549"/>
    <cellStyle name="Normal 16 4 2 3 2 3" xfId="16691"/>
    <cellStyle name="Normal 16 4 2 3 3" xfId="10548"/>
    <cellStyle name="Normal 16 4 2 3 4" xfId="16690"/>
    <cellStyle name="Normal 16 4 2 4" xfId="4322"/>
    <cellStyle name="Normal 16 4 2 4 2" xfId="4323"/>
    <cellStyle name="Normal 16 4 2 4 2 2" xfId="10551"/>
    <cellStyle name="Normal 16 4 2 4 2 3" xfId="16693"/>
    <cellStyle name="Normal 16 4 2 4 3" xfId="10550"/>
    <cellStyle name="Normal 16 4 2 4 4" xfId="16692"/>
    <cellStyle name="Normal 16 4 2 5" xfId="4324"/>
    <cellStyle name="Normal 16 4 2 5 2" xfId="10552"/>
    <cellStyle name="Normal 16 4 2 5 3" xfId="16694"/>
    <cellStyle name="Normal 16 4 2 6" xfId="10541"/>
    <cellStyle name="Normal 16 4 2 7" xfId="16683"/>
    <cellStyle name="Normal 16 4 3" xfId="4325"/>
    <cellStyle name="Normal 16 4 3 2" xfId="4326"/>
    <cellStyle name="Normal 16 4 3 2 2" xfId="4327"/>
    <cellStyle name="Normal 16 4 3 2 2 2" xfId="10555"/>
    <cellStyle name="Normal 16 4 3 2 2 3" xfId="16697"/>
    <cellStyle name="Normal 16 4 3 2 3" xfId="10554"/>
    <cellStyle name="Normal 16 4 3 2 4" xfId="16696"/>
    <cellStyle name="Normal 16 4 3 3" xfId="4328"/>
    <cellStyle name="Normal 16 4 3 3 2" xfId="4329"/>
    <cellStyle name="Normal 16 4 3 3 2 2" xfId="10557"/>
    <cellStyle name="Normal 16 4 3 3 2 3" xfId="16699"/>
    <cellStyle name="Normal 16 4 3 3 3" xfId="10556"/>
    <cellStyle name="Normal 16 4 3 3 4" xfId="16698"/>
    <cellStyle name="Normal 16 4 3 4" xfId="4330"/>
    <cellStyle name="Normal 16 4 3 4 2" xfId="10558"/>
    <cellStyle name="Normal 16 4 3 4 3" xfId="16700"/>
    <cellStyle name="Normal 16 4 3 5" xfId="10553"/>
    <cellStyle name="Normal 16 4 3 6" xfId="16695"/>
    <cellStyle name="Normal 16 4 4" xfId="4331"/>
    <cellStyle name="Normal 16 4 4 2" xfId="4332"/>
    <cellStyle name="Normal 16 4 4 2 2" xfId="10560"/>
    <cellStyle name="Normal 16 4 4 2 3" xfId="16702"/>
    <cellStyle name="Normal 16 4 4 3" xfId="10559"/>
    <cellStyle name="Normal 16 4 4 4" xfId="16701"/>
    <cellStyle name="Normal 16 4 5" xfId="4333"/>
    <cellStyle name="Normal 16 4 5 2" xfId="4334"/>
    <cellStyle name="Normal 16 4 5 2 2" xfId="10562"/>
    <cellStyle name="Normal 16 4 5 2 3" xfId="16704"/>
    <cellStyle name="Normal 16 4 5 3" xfId="10561"/>
    <cellStyle name="Normal 16 4 5 4" xfId="16703"/>
    <cellStyle name="Normal 16 4 6" xfId="4335"/>
    <cellStyle name="Normal 16 4 6 2" xfId="10563"/>
    <cellStyle name="Normal 16 4 6 3" xfId="16705"/>
    <cellStyle name="Normal 16 4 7" xfId="4336"/>
    <cellStyle name="Normal 16 4 7 2" xfId="16706"/>
    <cellStyle name="Normal 16 4 8" xfId="10540"/>
    <cellStyle name="Normal 16 4 9" xfId="16682"/>
    <cellStyle name="Normal 16 5" xfId="4337"/>
    <cellStyle name="Normal 16 5 2" xfId="4338"/>
    <cellStyle name="Normal 16 5 2 2" xfId="4339"/>
    <cellStyle name="Normal 16 5 2 2 2" xfId="4340"/>
    <cellStyle name="Normal 16 5 2 2 2 2" xfId="10567"/>
    <cellStyle name="Normal 16 5 2 2 2 3" xfId="16710"/>
    <cellStyle name="Normal 16 5 2 2 3" xfId="10566"/>
    <cellStyle name="Normal 16 5 2 2 4" xfId="16709"/>
    <cellStyle name="Normal 16 5 2 3" xfId="4341"/>
    <cellStyle name="Normal 16 5 2 3 2" xfId="4342"/>
    <cellStyle name="Normal 16 5 2 3 2 2" xfId="10569"/>
    <cellStyle name="Normal 16 5 2 3 2 3" xfId="16712"/>
    <cellStyle name="Normal 16 5 2 3 3" xfId="10568"/>
    <cellStyle name="Normal 16 5 2 3 4" xfId="16711"/>
    <cellStyle name="Normal 16 5 2 4" xfId="4343"/>
    <cellStyle name="Normal 16 5 2 4 2" xfId="10570"/>
    <cellStyle name="Normal 16 5 2 4 3" xfId="16713"/>
    <cellStyle name="Normal 16 5 2 5" xfId="10565"/>
    <cellStyle name="Normal 16 5 2 6" xfId="16708"/>
    <cellStyle name="Normal 16 5 3" xfId="4344"/>
    <cellStyle name="Normal 16 5 3 2" xfId="4345"/>
    <cellStyle name="Normal 16 5 3 2 2" xfId="10572"/>
    <cellStyle name="Normal 16 5 3 2 3" xfId="16715"/>
    <cellStyle name="Normal 16 5 3 3" xfId="10571"/>
    <cellStyle name="Normal 16 5 3 4" xfId="16714"/>
    <cellStyle name="Normal 16 5 4" xfId="4346"/>
    <cellStyle name="Normal 16 5 4 2" xfId="4347"/>
    <cellStyle name="Normal 16 5 4 2 2" xfId="10574"/>
    <cellStyle name="Normal 16 5 4 2 3" xfId="16717"/>
    <cellStyle name="Normal 16 5 4 3" xfId="10573"/>
    <cellStyle name="Normal 16 5 4 4" xfId="16716"/>
    <cellStyle name="Normal 16 5 5" xfId="4348"/>
    <cellStyle name="Normal 16 5 5 2" xfId="10575"/>
    <cellStyle name="Normal 16 5 5 3" xfId="16718"/>
    <cellStyle name="Normal 16 5 6" xfId="10564"/>
    <cellStyle name="Normal 16 5 7" xfId="16707"/>
    <cellStyle name="Normal 16 6" xfId="4349"/>
    <cellStyle name="Normal 16 6 2" xfId="4350"/>
    <cellStyle name="Normal 16 6 2 2" xfId="4351"/>
    <cellStyle name="Normal 16 6 2 2 2" xfId="10578"/>
    <cellStyle name="Normal 16 6 2 2 3" xfId="16721"/>
    <cellStyle name="Normal 16 6 2 3" xfId="10577"/>
    <cellStyle name="Normal 16 6 2 4" xfId="16720"/>
    <cellStyle name="Normal 16 6 3" xfId="4352"/>
    <cellStyle name="Normal 16 6 3 2" xfId="4353"/>
    <cellStyle name="Normal 16 6 3 2 2" xfId="10580"/>
    <cellStyle name="Normal 16 6 3 2 3" xfId="16723"/>
    <cellStyle name="Normal 16 6 3 3" xfId="10579"/>
    <cellStyle name="Normal 16 6 3 4" xfId="16722"/>
    <cellStyle name="Normal 16 6 4" xfId="4354"/>
    <cellStyle name="Normal 16 6 4 2" xfId="10581"/>
    <cellStyle name="Normal 16 6 4 3" xfId="16724"/>
    <cellStyle name="Normal 16 6 5" xfId="10576"/>
    <cellStyle name="Normal 16 6 6" xfId="16719"/>
    <cellStyle name="Normal 16 7" xfId="4355"/>
    <cellStyle name="Normal 16 7 2" xfId="4356"/>
    <cellStyle name="Normal 16 7 2 2" xfId="10583"/>
    <cellStyle name="Normal 16 7 2 3" xfId="16726"/>
    <cellStyle name="Normal 16 7 3" xfId="10582"/>
    <cellStyle name="Normal 16 7 4" xfId="16725"/>
    <cellStyle name="Normal 16 8" xfId="4357"/>
    <cellStyle name="Normal 16 8 2" xfId="4358"/>
    <cellStyle name="Normal 16 8 2 2" xfId="10585"/>
    <cellStyle name="Normal 16 8 2 3" xfId="16728"/>
    <cellStyle name="Normal 16 8 3" xfId="10584"/>
    <cellStyle name="Normal 16 8 4" xfId="16727"/>
    <cellStyle name="Normal 16 9" xfId="4359"/>
    <cellStyle name="Normal 16 9 2" xfId="10586"/>
    <cellStyle name="Normal 16 9 3" xfId="16729"/>
    <cellStyle name="Normal 160" xfId="22983"/>
    <cellStyle name="Normal 161" xfId="22976"/>
    <cellStyle name="Normal 162" xfId="22984"/>
    <cellStyle name="Normal 163" xfId="22986"/>
    <cellStyle name="Normal 164" xfId="22987"/>
    <cellStyle name="Normal 165" xfId="22988"/>
    <cellStyle name="Normal 166" xfId="22989"/>
    <cellStyle name="Normal 167" xfId="22990"/>
    <cellStyle name="Normal 168" xfId="22991"/>
    <cellStyle name="Normal 169" xfId="22992"/>
    <cellStyle name="Normal 17" xfId="4360"/>
    <cellStyle name="Normal 17 2" xfId="4361"/>
    <cellStyle name="Normal 17 2 2" xfId="4362"/>
    <cellStyle name="Normal 17 2 2 2" xfId="4363"/>
    <cellStyle name="Normal 17 2 2 2 2" xfId="10590"/>
    <cellStyle name="Normal 17 2 2 2 3" xfId="16733"/>
    <cellStyle name="Normal 17 2 2 3" xfId="10589"/>
    <cellStyle name="Normal 17 2 2 4" xfId="16732"/>
    <cellStyle name="Normal 17 2 3" xfId="4364"/>
    <cellStyle name="Normal 17 2 3 2" xfId="10591"/>
    <cellStyle name="Normal 17 2 3 3" xfId="16734"/>
    <cellStyle name="Normal 17 2 4" xfId="10588"/>
    <cellStyle name="Normal 17 2 5" xfId="16731"/>
    <cellStyle name="Normal 17 3" xfId="4365"/>
    <cellStyle name="Normal 17 3 2" xfId="4366"/>
    <cellStyle name="Normal 17 3 2 2" xfId="10593"/>
    <cellStyle name="Normal 17 3 2 3" xfId="16736"/>
    <cellStyle name="Normal 17 3 3" xfId="4367"/>
    <cellStyle name="Normal 17 3 3 2" xfId="10594"/>
    <cellStyle name="Normal 17 3 3 3" xfId="16737"/>
    <cellStyle name="Normal 17 3 4" xfId="4368"/>
    <cellStyle name="Normal 17 3 4 2" xfId="16738"/>
    <cellStyle name="Normal 17 3 5" xfId="10592"/>
    <cellStyle name="Normal 17 3 6" xfId="16735"/>
    <cellStyle name="Normal 17 4" xfId="4369"/>
    <cellStyle name="Normal 17 4 2" xfId="4370"/>
    <cellStyle name="Normal 17 4 2 2" xfId="16740"/>
    <cellStyle name="Normal 17 4 3" xfId="10595"/>
    <cellStyle name="Normal 17 4 4" xfId="16739"/>
    <cellStyle name="Normal 17 5" xfId="10587"/>
    <cellStyle name="Normal 17 6" xfId="16730"/>
    <cellStyle name="Normal 170" xfId="22993"/>
    <cellStyle name="Normal 171" xfId="22994"/>
    <cellStyle name="Normal 172" xfId="22995"/>
    <cellStyle name="Normal 173" xfId="22996"/>
    <cellStyle name="Normal 174" xfId="22997"/>
    <cellStyle name="Normal 175" xfId="22998"/>
    <cellStyle name="Normal 176" xfId="22999"/>
    <cellStyle name="Normal 177" xfId="23000"/>
    <cellStyle name="Normal 178" xfId="23001"/>
    <cellStyle name="Normal 179" xfId="23004"/>
    <cellStyle name="Normal 18" xfId="4371"/>
    <cellStyle name="Normal 18 10" xfId="4372"/>
    <cellStyle name="Normal 18 10 2" xfId="10597"/>
    <cellStyle name="Normal 18 10 3" xfId="16742"/>
    <cellStyle name="Normal 18 11" xfId="10596"/>
    <cellStyle name="Normal 18 12" xfId="16741"/>
    <cellStyle name="Normal 18 2" xfId="4373"/>
    <cellStyle name="Normal 18 2 2" xfId="4374"/>
    <cellStyle name="Normal 18 2 2 2" xfId="4375"/>
    <cellStyle name="Normal 18 2 2 2 2" xfId="4376"/>
    <cellStyle name="Normal 18 2 2 2 2 2" xfId="4377"/>
    <cellStyle name="Normal 18 2 2 2 2 2 2" xfId="4378"/>
    <cellStyle name="Normal 18 2 2 2 2 2 2 2" xfId="10603"/>
    <cellStyle name="Normal 18 2 2 2 2 2 2 3" xfId="16748"/>
    <cellStyle name="Normal 18 2 2 2 2 2 3" xfId="10602"/>
    <cellStyle name="Normal 18 2 2 2 2 2 4" xfId="16747"/>
    <cellStyle name="Normal 18 2 2 2 2 3" xfId="4379"/>
    <cellStyle name="Normal 18 2 2 2 2 3 2" xfId="4380"/>
    <cellStyle name="Normal 18 2 2 2 2 3 2 2" xfId="10605"/>
    <cellStyle name="Normal 18 2 2 2 2 3 2 3" xfId="16750"/>
    <cellStyle name="Normal 18 2 2 2 2 3 3" xfId="10604"/>
    <cellStyle name="Normal 18 2 2 2 2 3 4" xfId="16749"/>
    <cellStyle name="Normal 18 2 2 2 2 4" xfId="4381"/>
    <cellStyle name="Normal 18 2 2 2 2 4 2" xfId="10606"/>
    <cellStyle name="Normal 18 2 2 2 2 4 3" xfId="16751"/>
    <cellStyle name="Normal 18 2 2 2 2 5" xfId="10601"/>
    <cellStyle name="Normal 18 2 2 2 2 6" xfId="16746"/>
    <cellStyle name="Normal 18 2 2 2 3" xfId="4382"/>
    <cellStyle name="Normal 18 2 2 2 3 2" xfId="4383"/>
    <cellStyle name="Normal 18 2 2 2 3 2 2" xfId="10608"/>
    <cellStyle name="Normal 18 2 2 2 3 2 3" xfId="16753"/>
    <cellStyle name="Normal 18 2 2 2 3 3" xfId="10607"/>
    <cellStyle name="Normal 18 2 2 2 3 4" xfId="16752"/>
    <cellStyle name="Normal 18 2 2 2 4" xfId="4384"/>
    <cellStyle name="Normal 18 2 2 2 4 2" xfId="4385"/>
    <cellStyle name="Normal 18 2 2 2 4 2 2" xfId="10610"/>
    <cellStyle name="Normal 18 2 2 2 4 2 3" xfId="16755"/>
    <cellStyle name="Normal 18 2 2 2 4 3" xfId="10609"/>
    <cellStyle name="Normal 18 2 2 2 4 4" xfId="16754"/>
    <cellStyle name="Normal 18 2 2 2 5" xfId="4386"/>
    <cellStyle name="Normal 18 2 2 2 5 2" xfId="10611"/>
    <cellStyle name="Normal 18 2 2 2 5 3" xfId="16756"/>
    <cellStyle name="Normal 18 2 2 2 6" xfId="10600"/>
    <cellStyle name="Normal 18 2 2 2 7" xfId="16745"/>
    <cellStyle name="Normal 18 2 2 3" xfId="4387"/>
    <cellStyle name="Normal 18 2 2 3 2" xfId="4388"/>
    <cellStyle name="Normal 18 2 2 3 2 2" xfId="4389"/>
    <cellStyle name="Normal 18 2 2 3 2 2 2" xfId="10614"/>
    <cellStyle name="Normal 18 2 2 3 2 2 3" xfId="16759"/>
    <cellStyle name="Normal 18 2 2 3 2 3" xfId="10613"/>
    <cellStyle name="Normal 18 2 2 3 2 4" xfId="16758"/>
    <cellStyle name="Normal 18 2 2 3 3" xfId="4390"/>
    <cellStyle name="Normal 18 2 2 3 3 2" xfId="4391"/>
    <cellStyle name="Normal 18 2 2 3 3 2 2" xfId="10616"/>
    <cellStyle name="Normal 18 2 2 3 3 2 3" xfId="16761"/>
    <cellStyle name="Normal 18 2 2 3 3 3" xfId="10615"/>
    <cellStyle name="Normal 18 2 2 3 3 4" xfId="16760"/>
    <cellStyle name="Normal 18 2 2 3 4" xfId="4392"/>
    <cellStyle name="Normal 18 2 2 3 4 2" xfId="10617"/>
    <cellStyle name="Normal 18 2 2 3 4 3" xfId="16762"/>
    <cellStyle name="Normal 18 2 2 3 5" xfId="10612"/>
    <cellStyle name="Normal 18 2 2 3 6" xfId="16757"/>
    <cellStyle name="Normal 18 2 2 4" xfId="4393"/>
    <cellStyle name="Normal 18 2 2 4 2" xfId="4394"/>
    <cellStyle name="Normal 18 2 2 4 2 2" xfId="10619"/>
    <cellStyle name="Normal 18 2 2 4 2 3" xfId="16764"/>
    <cellStyle name="Normal 18 2 2 4 3" xfId="10618"/>
    <cellStyle name="Normal 18 2 2 4 4" xfId="16763"/>
    <cellStyle name="Normal 18 2 2 5" xfId="4395"/>
    <cellStyle name="Normal 18 2 2 5 2" xfId="4396"/>
    <cellStyle name="Normal 18 2 2 5 2 2" xfId="10621"/>
    <cellStyle name="Normal 18 2 2 5 2 3" xfId="16766"/>
    <cellStyle name="Normal 18 2 2 5 3" xfId="10620"/>
    <cellStyle name="Normal 18 2 2 5 4" xfId="16765"/>
    <cellStyle name="Normal 18 2 2 6" xfId="4397"/>
    <cellStyle name="Normal 18 2 2 6 2" xfId="10622"/>
    <cellStyle name="Normal 18 2 2 6 3" xfId="16767"/>
    <cellStyle name="Normal 18 2 2 7" xfId="10599"/>
    <cellStyle name="Normal 18 2 2 8" xfId="16744"/>
    <cellStyle name="Normal 18 2 3" xfId="4398"/>
    <cellStyle name="Normal 18 2 3 2" xfId="4399"/>
    <cellStyle name="Normal 18 2 3 2 2" xfId="4400"/>
    <cellStyle name="Normal 18 2 3 2 2 2" xfId="4401"/>
    <cellStyle name="Normal 18 2 3 2 2 2 2" xfId="10626"/>
    <cellStyle name="Normal 18 2 3 2 2 2 3" xfId="16771"/>
    <cellStyle name="Normal 18 2 3 2 2 3" xfId="10625"/>
    <cellStyle name="Normal 18 2 3 2 2 4" xfId="16770"/>
    <cellStyle name="Normal 18 2 3 2 3" xfId="4402"/>
    <cellStyle name="Normal 18 2 3 2 3 2" xfId="4403"/>
    <cellStyle name="Normal 18 2 3 2 3 2 2" xfId="10628"/>
    <cellStyle name="Normal 18 2 3 2 3 2 3" xfId="16773"/>
    <cellStyle name="Normal 18 2 3 2 3 3" xfId="10627"/>
    <cellStyle name="Normal 18 2 3 2 3 4" xfId="16772"/>
    <cellStyle name="Normal 18 2 3 2 4" xfId="4404"/>
    <cellStyle name="Normal 18 2 3 2 4 2" xfId="10629"/>
    <cellStyle name="Normal 18 2 3 2 4 3" xfId="16774"/>
    <cellStyle name="Normal 18 2 3 2 5" xfId="10624"/>
    <cellStyle name="Normal 18 2 3 2 6" xfId="16769"/>
    <cellStyle name="Normal 18 2 3 3" xfId="4405"/>
    <cellStyle name="Normal 18 2 3 3 2" xfId="4406"/>
    <cellStyle name="Normal 18 2 3 3 2 2" xfId="10631"/>
    <cellStyle name="Normal 18 2 3 3 2 3" xfId="16776"/>
    <cellStyle name="Normal 18 2 3 3 3" xfId="10630"/>
    <cellStyle name="Normal 18 2 3 3 4" xfId="16775"/>
    <cellStyle name="Normal 18 2 3 4" xfId="4407"/>
    <cellStyle name="Normal 18 2 3 4 2" xfId="4408"/>
    <cellStyle name="Normal 18 2 3 4 2 2" xfId="10633"/>
    <cellStyle name="Normal 18 2 3 4 2 3" xfId="16778"/>
    <cellStyle name="Normal 18 2 3 4 3" xfId="10632"/>
    <cellStyle name="Normal 18 2 3 4 4" xfId="16777"/>
    <cellStyle name="Normal 18 2 3 5" xfId="4409"/>
    <cellStyle name="Normal 18 2 3 5 2" xfId="10634"/>
    <cellStyle name="Normal 18 2 3 5 3" xfId="16779"/>
    <cellStyle name="Normal 18 2 3 6" xfId="10623"/>
    <cellStyle name="Normal 18 2 3 7" xfId="16768"/>
    <cellStyle name="Normal 18 2 4" xfId="4410"/>
    <cellStyle name="Normal 18 2 4 2" xfId="4411"/>
    <cellStyle name="Normal 18 2 4 2 2" xfId="4412"/>
    <cellStyle name="Normal 18 2 4 2 2 2" xfId="10637"/>
    <cellStyle name="Normal 18 2 4 2 2 3" xfId="16782"/>
    <cellStyle name="Normal 18 2 4 2 3" xfId="10636"/>
    <cellStyle name="Normal 18 2 4 2 4" xfId="16781"/>
    <cellStyle name="Normal 18 2 4 3" xfId="4413"/>
    <cellStyle name="Normal 18 2 4 3 2" xfId="4414"/>
    <cellStyle name="Normal 18 2 4 3 2 2" xfId="10639"/>
    <cellStyle name="Normal 18 2 4 3 2 3" xfId="16784"/>
    <cellStyle name="Normal 18 2 4 3 3" xfId="10638"/>
    <cellStyle name="Normal 18 2 4 3 4" xfId="16783"/>
    <cellStyle name="Normal 18 2 4 4" xfId="4415"/>
    <cellStyle name="Normal 18 2 4 4 2" xfId="10640"/>
    <cellStyle name="Normal 18 2 4 4 3" xfId="16785"/>
    <cellStyle name="Normal 18 2 4 5" xfId="10635"/>
    <cellStyle name="Normal 18 2 4 6" xfId="16780"/>
    <cellStyle name="Normal 18 2 5" xfId="4416"/>
    <cellStyle name="Normal 18 2 5 2" xfId="4417"/>
    <cellStyle name="Normal 18 2 5 2 2" xfId="10642"/>
    <cellStyle name="Normal 18 2 5 2 3" xfId="16787"/>
    <cellStyle name="Normal 18 2 5 3" xfId="10641"/>
    <cellStyle name="Normal 18 2 5 4" xfId="16786"/>
    <cellStyle name="Normal 18 2 6" xfId="4418"/>
    <cellStyle name="Normal 18 2 6 2" xfId="4419"/>
    <cellStyle name="Normal 18 2 6 2 2" xfId="10644"/>
    <cellStyle name="Normal 18 2 6 2 3" xfId="16789"/>
    <cellStyle name="Normal 18 2 6 3" xfId="10643"/>
    <cellStyle name="Normal 18 2 6 4" xfId="16788"/>
    <cellStyle name="Normal 18 2 7" xfId="4420"/>
    <cellStyle name="Normal 18 2 7 2" xfId="10645"/>
    <cellStyle name="Normal 18 2 7 3" xfId="16790"/>
    <cellStyle name="Normal 18 2 8" xfId="10598"/>
    <cellStyle name="Normal 18 2 9" xfId="16743"/>
    <cellStyle name="Normal 18 3" xfId="4421"/>
    <cellStyle name="Normal 18 3 10" xfId="10646"/>
    <cellStyle name="Normal 18 3 11" xfId="16791"/>
    <cellStyle name="Normal 18 3 2" xfId="4422"/>
    <cellStyle name="Normal 18 3 2 2" xfId="4423"/>
    <cellStyle name="Normal 18 3 2 2 2" xfId="4424"/>
    <cellStyle name="Normal 18 3 2 2 2 2" xfId="4425"/>
    <cellStyle name="Normal 18 3 2 2 2 2 2" xfId="4426"/>
    <cellStyle name="Normal 18 3 2 2 2 2 2 2" xfId="10651"/>
    <cellStyle name="Normal 18 3 2 2 2 2 2 3" xfId="16796"/>
    <cellStyle name="Normal 18 3 2 2 2 2 3" xfId="10650"/>
    <cellStyle name="Normal 18 3 2 2 2 2 4" xfId="16795"/>
    <cellStyle name="Normal 18 3 2 2 2 3" xfId="4427"/>
    <cellStyle name="Normal 18 3 2 2 2 3 2" xfId="4428"/>
    <cellStyle name="Normal 18 3 2 2 2 3 2 2" xfId="10653"/>
    <cellStyle name="Normal 18 3 2 2 2 3 2 3" xfId="16798"/>
    <cellStyle name="Normal 18 3 2 2 2 3 3" xfId="10652"/>
    <cellStyle name="Normal 18 3 2 2 2 3 4" xfId="16797"/>
    <cellStyle name="Normal 18 3 2 2 2 4" xfId="4429"/>
    <cellStyle name="Normal 18 3 2 2 2 4 2" xfId="10654"/>
    <cellStyle name="Normal 18 3 2 2 2 4 3" xfId="16799"/>
    <cellStyle name="Normal 18 3 2 2 2 5" xfId="10649"/>
    <cellStyle name="Normal 18 3 2 2 2 6" xfId="16794"/>
    <cellStyle name="Normal 18 3 2 2 3" xfId="4430"/>
    <cellStyle name="Normal 18 3 2 2 3 2" xfId="4431"/>
    <cellStyle name="Normal 18 3 2 2 3 2 2" xfId="10656"/>
    <cellStyle name="Normal 18 3 2 2 3 2 3" xfId="16801"/>
    <cellStyle name="Normal 18 3 2 2 3 3" xfId="10655"/>
    <cellStyle name="Normal 18 3 2 2 3 4" xfId="16800"/>
    <cellStyle name="Normal 18 3 2 2 4" xfId="4432"/>
    <cellStyle name="Normal 18 3 2 2 4 2" xfId="4433"/>
    <cellStyle name="Normal 18 3 2 2 4 2 2" xfId="10658"/>
    <cellStyle name="Normal 18 3 2 2 4 2 3" xfId="16803"/>
    <cellStyle name="Normal 18 3 2 2 4 3" xfId="10657"/>
    <cellStyle name="Normal 18 3 2 2 4 4" xfId="16802"/>
    <cellStyle name="Normal 18 3 2 2 5" xfId="4434"/>
    <cellStyle name="Normal 18 3 2 2 5 2" xfId="10659"/>
    <cellStyle name="Normal 18 3 2 2 5 3" xfId="16804"/>
    <cellStyle name="Normal 18 3 2 2 6" xfId="10648"/>
    <cellStyle name="Normal 18 3 2 2 7" xfId="16793"/>
    <cellStyle name="Normal 18 3 2 3" xfId="4435"/>
    <cellStyle name="Normal 18 3 2 3 2" xfId="4436"/>
    <cellStyle name="Normal 18 3 2 3 2 2" xfId="4437"/>
    <cellStyle name="Normal 18 3 2 3 2 2 2" xfId="10662"/>
    <cellStyle name="Normal 18 3 2 3 2 2 3" xfId="16807"/>
    <cellStyle name="Normal 18 3 2 3 2 3" xfId="10661"/>
    <cellStyle name="Normal 18 3 2 3 2 4" xfId="16806"/>
    <cellStyle name="Normal 18 3 2 3 3" xfId="4438"/>
    <cellStyle name="Normal 18 3 2 3 3 2" xfId="4439"/>
    <cellStyle name="Normal 18 3 2 3 3 2 2" xfId="10664"/>
    <cellStyle name="Normal 18 3 2 3 3 2 3" xfId="16809"/>
    <cellStyle name="Normal 18 3 2 3 3 3" xfId="10663"/>
    <cellStyle name="Normal 18 3 2 3 3 4" xfId="16808"/>
    <cellStyle name="Normal 18 3 2 3 4" xfId="4440"/>
    <cellStyle name="Normal 18 3 2 3 4 2" xfId="10665"/>
    <cellStyle name="Normal 18 3 2 3 4 3" xfId="16810"/>
    <cellStyle name="Normal 18 3 2 3 5" xfId="10660"/>
    <cellStyle name="Normal 18 3 2 3 6" xfId="16805"/>
    <cellStyle name="Normal 18 3 2 4" xfId="4441"/>
    <cellStyle name="Normal 18 3 2 4 2" xfId="4442"/>
    <cellStyle name="Normal 18 3 2 4 2 2" xfId="10667"/>
    <cellStyle name="Normal 18 3 2 4 2 3" xfId="16812"/>
    <cellStyle name="Normal 18 3 2 4 3" xfId="10666"/>
    <cellStyle name="Normal 18 3 2 4 4" xfId="16811"/>
    <cellStyle name="Normal 18 3 2 5" xfId="4443"/>
    <cellStyle name="Normal 18 3 2 5 2" xfId="4444"/>
    <cellStyle name="Normal 18 3 2 5 2 2" xfId="10669"/>
    <cellStyle name="Normal 18 3 2 5 2 3" xfId="16814"/>
    <cellStyle name="Normal 18 3 2 5 3" xfId="10668"/>
    <cellStyle name="Normal 18 3 2 5 4" xfId="16813"/>
    <cellStyle name="Normal 18 3 2 6" xfId="4445"/>
    <cellStyle name="Normal 18 3 2 6 2" xfId="10670"/>
    <cellStyle name="Normal 18 3 2 6 3" xfId="16815"/>
    <cellStyle name="Normal 18 3 2 7" xfId="10647"/>
    <cellStyle name="Normal 18 3 2 8" xfId="16792"/>
    <cellStyle name="Normal 18 3 3" xfId="4446"/>
    <cellStyle name="Normal 18 3 3 2" xfId="4447"/>
    <cellStyle name="Normal 18 3 3 2 2" xfId="4448"/>
    <cellStyle name="Normal 18 3 3 2 2 2" xfId="4449"/>
    <cellStyle name="Normal 18 3 3 2 2 2 2" xfId="10674"/>
    <cellStyle name="Normal 18 3 3 2 2 2 3" xfId="16819"/>
    <cellStyle name="Normal 18 3 3 2 2 3" xfId="10673"/>
    <cellStyle name="Normal 18 3 3 2 2 4" xfId="16818"/>
    <cellStyle name="Normal 18 3 3 2 3" xfId="4450"/>
    <cellStyle name="Normal 18 3 3 2 3 2" xfId="4451"/>
    <cellStyle name="Normal 18 3 3 2 3 2 2" xfId="10676"/>
    <cellStyle name="Normal 18 3 3 2 3 2 3" xfId="16821"/>
    <cellStyle name="Normal 18 3 3 2 3 3" xfId="10675"/>
    <cellStyle name="Normal 18 3 3 2 3 4" xfId="16820"/>
    <cellStyle name="Normal 18 3 3 2 4" xfId="4452"/>
    <cellStyle name="Normal 18 3 3 2 4 2" xfId="10677"/>
    <cellStyle name="Normal 18 3 3 2 4 3" xfId="16822"/>
    <cellStyle name="Normal 18 3 3 2 5" xfId="10672"/>
    <cellStyle name="Normal 18 3 3 2 6" xfId="16817"/>
    <cellStyle name="Normal 18 3 3 3" xfId="4453"/>
    <cellStyle name="Normal 18 3 3 3 2" xfId="4454"/>
    <cellStyle name="Normal 18 3 3 3 2 2" xfId="10679"/>
    <cellStyle name="Normal 18 3 3 3 2 3" xfId="16824"/>
    <cellStyle name="Normal 18 3 3 3 3" xfId="10678"/>
    <cellStyle name="Normal 18 3 3 3 4" xfId="16823"/>
    <cellStyle name="Normal 18 3 3 4" xfId="4455"/>
    <cellStyle name="Normal 18 3 3 4 2" xfId="4456"/>
    <cellStyle name="Normal 18 3 3 4 2 2" xfId="10681"/>
    <cellStyle name="Normal 18 3 3 4 2 3" xfId="16826"/>
    <cellStyle name="Normal 18 3 3 4 3" xfId="10680"/>
    <cellStyle name="Normal 18 3 3 4 4" xfId="16825"/>
    <cellStyle name="Normal 18 3 3 5" xfId="4457"/>
    <cellStyle name="Normal 18 3 3 5 2" xfId="10682"/>
    <cellStyle name="Normal 18 3 3 5 3" xfId="16827"/>
    <cellStyle name="Normal 18 3 3 6" xfId="10671"/>
    <cellStyle name="Normal 18 3 3 7" xfId="16816"/>
    <cellStyle name="Normal 18 3 4" xfId="4458"/>
    <cellStyle name="Normal 18 3 4 2" xfId="4459"/>
    <cellStyle name="Normal 18 3 4 2 2" xfId="4460"/>
    <cellStyle name="Normal 18 3 4 2 2 2" xfId="10685"/>
    <cellStyle name="Normal 18 3 4 2 2 3" xfId="16830"/>
    <cellStyle name="Normal 18 3 4 2 3" xfId="10684"/>
    <cellStyle name="Normal 18 3 4 2 4" xfId="16829"/>
    <cellStyle name="Normal 18 3 4 3" xfId="4461"/>
    <cellStyle name="Normal 18 3 4 3 2" xfId="4462"/>
    <cellStyle name="Normal 18 3 4 3 2 2" xfId="10687"/>
    <cellStyle name="Normal 18 3 4 3 2 3" xfId="16832"/>
    <cellStyle name="Normal 18 3 4 3 3" xfId="10686"/>
    <cellStyle name="Normal 18 3 4 3 4" xfId="16831"/>
    <cellStyle name="Normal 18 3 4 4" xfId="4463"/>
    <cellStyle name="Normal 18 3 4 4 2" xfId="10688"/>
    <cellStyle name="Normal 18 3 4 4 3" xfId="16833"/>
    <cellStyle name="Normal 18 3 4 5" xfId="10683"/>
    <cellStyle name="Normal 18 3 4 6" xfId="16828"/>
    <cellStyle name="Normal 18 3 5" xfId="4464"/>
    <cellStyle name="Normal 18 3 5 2" xfId="4465"/>
    <cellStyle name="Normal 18 3 5 2 2" xfId="10690"/>
    <cellStyle name="Normal 18 3 5 2 3" xfId="16835"/>
    <cellStyle name="Normal 18 3 5 3" xfId="10689"/>
    <cellStyle name="Normal 18 3 5 4" xfId="16834"/>
    <cellStyle name="Normal 18 3 6" xfId="4466"/>
    <cellStyle name="Normal 18 3 6 2" xfId="4467"/>
    <cellStyle name="Normal 18 3 6 2 2" xfId="10692"/>
    <cellStyle name="Normal 18 3 6 2 3" xfId="16837"/>
    <cellStyle name="Normal 18 3 6 3" xfId="10691"/>
    <cellStyle name="Normal 18 3 6 4" xfId="16836"/>
    <cellStyle name="Normal 18 3 7" xfId="4468"/>
    <cellStyle name="Normal 18 3 7 2" xfId="10693"/>
    <cellStyle name="Normal 18 3 7 3" xfId="16838"/>
    <cellStyle name="Normal 18 3 8" xfId="4469"/>
    <cellStyle name="Normal 18 3 8 2" xfId="10694"/>
    <cellStyle name="Normal 18 3 8 3" xfId="16839"/>
    <cellStyle name="Normal 18 3 9" xfId="4470"/>
    <cellStyle name="Normal 18 3 9 2" xfId="16840"/>
    <cellStyle name="Normal 18 4" xfId="4471"/>
    <cellStyle name="Normal 18 4 2" xfId="4472"/>
    <cellStyle name="Normal 18 4 2 2" xfId="10696"/>
    <cellStyle name="Normal 18 4 2 3" xfId="16842"/>
    <cellStyle name="Normal 18 4 3" xfId="4473"/>
    <cellStyle name="Normal 18 4 3 2" xfId="16843"/>
    <cellStyle name="Normal 18 4 4" xfId="10695"/>
    <cellStyle name="Normal 18 4 5" xfId="16841"/>
    <cellStyle name="Normal 18 5" xfId="4474"/>
    <cellStyle name="Normal 18 5 2" xfId="4475"/>
    <cellStyle name="Normal 18 5 2 2" xfId="4476"/>
    <cellStyle name="Normal 18 5 2 2 2" xfId="4477"/>
    <cellStyle name="Normal 18 5 2 2 2 2" xfId="4478"/>
    <cellStyle name="Normal 18 5 2 2 2 2 2" xfId="10701"/>
    <cellStyle name="Normal 18 5 2 2 2 2 3" xfId="16848"/>
    <cellStyle name="Normal 18 5 2 2 2 3" xfId="10700"/>
    <cellStyle name="Normal 18 5 2 2 2 4" xfId="16847"/>
    <cellStyle name="Normal 18 5 2 2 3" xfId="4479"/>
    <cellStyle name="Normal 18 5 2 2 3 2" xfId="4480"/>
    <cellStyle name="Normal 18 5 2 2 3 2 2" xfId="10703"/>
    <cellStyle name="Normal 18 5 2 2 3 2 3" xfId="16850"/>
    <cellStyle name="Normal 18 5 2 2 3 3" xfId="10702"/>
    <cellStyle name="Normal 18 5 2 2 3 4" xfId="16849"/>
    <cellStyle name="Normal 18 5 2 2 4" xfId="4481"/>
    <cellStyle name="Normal 18 5 2 2 4 2" xfId="10704"/>
    <cellStyle name="Normal 18 5 2 2 4 3" xfId="16851"/>
    <cellStyle name="Normal 18 5 2 2 5" xfId="10699"/>
    <cellStyle name="Normal 18 5 2 2 6" xfId="16846"/>
    <cellStyle name="Normal 18 5 2 3" xfId="4482"/>
    <cellStyle name="Normal 18 5 2 3 2" xfId="4483"/>
    <cellStyle name="Normal 18 5 2 3 2 2" xfId="10706"/>
    <cellStyle name="Normal 18 5 2 3 2 3" xfId="16853"/>
    <cellStyle name="Normal 18 5 2 3 3" xfId="10705"/>
    <cellStyle name="Normal 18 5 2 3 4" xfId="16852"/>
    <cellStyle name="Normal 18 5 2 4" xfId="4484"/>
    <cellStyle name="Normal 18 5 2 4 2" xfId="4485"/>
    <cellStyle name="Normal 18 5 2 4 2 2" xfId="10708"/>
    <cellStyle name="Normal 18 5 2 4 2 3" xfId="16855"/>
    <cellStyle name="Normal 18 5 2 4 3" xfId="10707"/>
    <cellStyle name="Normal 18 5 2 4 4" xfId="16854"/>
    <cellStyle name="Normal 18 5 2 5" xfId="4486"/>
    <cellStyle name="Normal 18 5 2 5 2" xfId="10709"/>
    <cellStyle name="Normal 18 5 2 5 3" xfId="16856"/>
    <cellStyle name="Normal 18 5 2 6" xfId="10698"/>
    <cellStyle name="Normal 18 5 2 7" xfId="16845"/>
    <cellStyle name="Normal 18 5 3" xfId="4487"/>
    <cellStyle name="Normal 18 5 3 2" xfId="4488"/>
    <cellStyle name="Normal 18 5 3 2 2" xfId="4489"/>
    <cellStyle name="Normal 18 5 3 2 2 2" xfId="10712"/>
    <cellStyle name="Normal 18 5 3 2 2 3" xfId="16859"/>
    <cellStyle name="Normal 18 5 3 2 3" xfId="10711"/>
    <cellStyle name="Normal 18 5 3 2 4" xfId="16858"/>
    <cellStyle name="Normal 18 5 3 3" xfId="4490"/>
    <cellStyle name="Normal 18 5 3 3 2" xfId="4491"/>
    <cellStyle name="Normal 18 5 3 3 2 2" xfId="10714"/>
    <cellStyle name="Normal 18 5 3 3 2 3" xfId="16861"/>
    <cellStyle name="Normal 18 5 3 3 3" xfId="10713"/>
    <cellStyle name="Normal 18 5 3 3 4" xfId="16860"/>
    <cellStyle name="Normal 18 5 3 4" xfId="4492"/>
    <cellStyle name="Normal 18 5 3 4 2" xfId="10715"/>
    <cellStyle name="Normal 18 5 3 4 3" xfId="16862"/>
    <cellStyle name="Normal 18 5 3 5" xfId="10710"/>
    <cellStyle name="Normal 18 5 3 6" xfId="16857"/>
    <cellStyle name="Normal 18 5 4" xfId="4493"/>
    <cellStyle name="Normal 18 5 4 2" xfId="4494"/>
    <cellStyle name="Normal 18 5 4 2 2" xfId="10717"/>
    <cellStyle name="Normal 18 5 4 2 3" xfId="16864"/>
    <cellStyle name="Normal 18 5 4 3" xfId="10716"/>
    <cellStyle name="Normal 18 5 4 4" xfId="16863"/>
    <cellStyle name="Normal 18 5 5" xfId="4495"/>
    <cellStyle name="Normal 18 5 5 2" xfId="4496"/>
    <cellStyle name="Normal 18 5 5 2 2" xfId="10719"/>
    <cellStyle name="Normal 18 5 5 2 3" xfId="16866"/>
    <cellStyle name="Normal 18 5 5 3" xfId="10718"/>
    <cellStyle name="Normal 18 5 5 4" xfId="16865"/>
    <cellStyle name="Normal 18 5 6" xfId="4497"/>
    <cellStyle name="Normal 18 5 6 2" xfId="10720"/>
    <cellStyle name="Normal 18 5 6 3" xfId="16867"/>
    <cellStyle name="Normal 18 5 7" xfId="10697"/>
    <cellStyle name="Normal 18 5 8" xfId="16844"/>
    <cellStyle name="Normal 18 6" xfId="4498"/>
    <cellStyle name="Normal 18 6 2" xfId="4499"/>
    <cellStyle name="Normal 18 6 2 2" xfId="4500"/>
    <cellStyle name="Normal 18 6 2 2 2" xfId="4501"/>
    <cellStyle name="Normal 18 6 2 2 2 2" xfId="10724"/>
    <cellStyle name="Normal 18 6 2 2 2 3" xfId="16871"/>
    <cellStyle name="Normal 18 6 2 2 3" xfId="10723"/>
    <cellStyle name="Normal 18 6 2 2 4" xfId="16870"/>
    <cellStyle name="Normal 18 6 2 3" xfId="4502"/>
    <cellStyle name="Normal 18 6 2 3 2" xfId="4503"/>
    <cellStyle name="Normal 18 6 2 3 2 2" xfId="10726"/>
    <cellStyle name="Normal 18 6 2 3 2 3" xfId="16873"/>
    <cellStyle name="Normal 18 6 2 3 3" xfId="10725"/>
    <cellStyle name="Normal 18 6 2 3 4" xfId="16872"/>
    <cellStyle name="Normal 18 6 2 4" xfId="4504"/>
    <cellStyle name="Normal 18 6 2 4 2" xfId="10727"/>
    <cellStyle name="Normal 18 6 2 4 3" xfId="16874"/>
    <cellStyle name="Normal 18 6 2 5" xfId="10722"/>
    <cellStyle name="Normal 18 6 2 6" xfId="16869"/>
    <cellStyle name="Normal 18 6 3" xfId="4505"/>
    <cellStyle name="Normal 18 6 3 2" xfId="4506"/>
    <cellStyle name="Normal 18 6 3 2 2" xfId="10729"/>
    <cellStyle name="Normal 18 6 3 2 3" xfId="16876"/>
    <cellStyle name="Normal 18 6 3 3" xfId="10728"/>
    <cellStyle name="Normal 18 6 3 4" xfId="16875"/>
    <cellStyle name="Normal 18 6 4" xfId="4507"/>
    <cellStyle name="Normal 18 6 4 2" xfId="4508"/>
    <cellStyle name="Normal 18 6 4 2 2" xfId="10731"/>
    <cellStyle name="Normal 18 6 4 2 3" xfId="16878"/>
    <cellStyle name="Normal 18 6 4 3" xfId="10730"/>
    <cellStyle name="Normal 18 6 4 4" xfId="16877"/>
    <cellStyle name="Normal 18 6 5" xfId="4509"/>
    <cellStyle name="Normal 18 6 5 2" xfId="10732"/>
    <cellStyle name="Normal 18 6 5 3" xfId="16879"/>
    <cellStyle name="Normal 18 6 6" xfId="10721"/>
    <cellStyle name="Normal 18 6 7" xfId="16868"/>
    <cellStyle name="Normal 18 7" xfId="4510"/>
    <cellStyle name="Normal 18 7 2" xfId="4511"/>
    <cellStyle name="Normal 18 7 2 2" xfId="4512"/>
    <cellStyle name="Normal 18 7 2 2 2" xfId="10735"/>
    <cellStyle name="Normal 18 7 2 2 3" xfId="16882"/>
    <cellStyle name="Normal 18 7 2 3" xfId="10734"/>
    <cellStyle name="Normal 18 7 2 4" xfId="16881"/>
    <cellStyle name="Normal 18 7 3" xfId="4513"/>
    <cellStyle name="Normal 18 7 3 2" xfId="4514"/>
    <cellStyle name="Normal 18 7 3 2 2" xfId="10737"/>
    <cellStyle name="Normal 18 7 3 2 3" xfId="16884"/>
    <cellStyle name="Normal 18 7 3 3" xfId="10736"/>
    <cellStyle name="Normal 18 7 3 4" xfId="16883"/>
    <cellStyle name="Normal 18 7 4" xfId="4515"/>
    <cellStyle name="Normal 18 7 4 2" xfId="10738"/>
    <cellStyle name="Normal 18 7 4 3" xfId="16885"/>
    <cellStyle name="Normal 18 7 5" xfId="10733"/>
    <cellStyle name="Normal 18 7 6" xfId="16880"/>
    <cellStyle name="Normal 18 8" xfId="4516"/>
    <cellStyle name="Normal 18 8 2" xfId="4517"/>
    <cellStyle name="Normal 18 8 2 2" xfId="10740"/>
    <cellStyle name="Normal 18 8 2 3" xfId="16887"/>
    <cellStyle name="Normal 18 8 3" xfId="10739"/>
    <cellStyle name="Normal 18 8 4" xfId="16886"/>
    <cellStyle name="Normal 18 9" xfId="4518"/>
    <cellStyle name="Normal 18 9 2" xfId="4519"/>
    <cellStyle name="Normal 18 9 2 2" xfId="10742"/>
    <cellStyle name="Normal 18 9 2 3" xfId="16889"/>
    <cellStyle name="Normal 18 9 3" xfId="10741"/>
    <cellStyle name="Normal 18 9 4" xfId="16888"/>
    <cellStyle name="Normal 180" xfId="23005"/>
    <cellStyle name="Normal 180 2" xfId="23025"/>
    <cellStyle name="Normal 181" xfId="23008"/>
    <cellStyle name="Normal 182" xfId="23010"/>
    <cellStyle name="Normal 183" xfId="23012"/>
    <cellStyle name="Normal 184" xfId="23014"/>
    <cellStyle name="Normal 185" xfId="23016"/>
    <cellStyle name="Normal 186" xfId="23018"/>
    <cellStyle name="Normal 187" xfId="23020"/>
    <cellStyle name="Normal 188" xfId="23023"/>
    <cellStyle name="Normal 19" xfId="4520"/>
    <cellStyle name="Normal 19 2" xfId="4521"/>
    <cellStyle name="Normal 19 2 2" xfId="4522"/>
    <cellStyle name="Normal 19 2 2 2" xfId="10745"/>
    <cellStyle name="Normal 19 2 2 3" xfId="16892"/>
    <cellStyle name="Normal 19 2 3" xfId="4523"/>
    <cellStyle name="Normal 19 2 3 2" xfId="10746"/>
    <cellStyle name="Normal 19 2 3 3" xfId="16893"/>
    <cellStyle name="Normal 19 2 4" xfId="10744"/>
    <cellStyle name="Normal 19 2 5" xfId="16891"/>
    <cellStyle name="Normal 19 3" xfId="4524"/>
    <cellStyle name="Normal 19 3 2" xfId="4525"/>
    <cellStyle name="Normal 19 3 2 2" xfId="10748"/>
    <cellStyle name="Normal 19 3 2 3" xfId="16895"/>
    <cellStyle name="Normal 19 3 3" xfId="4526"/>
    <cellStyle name="Normal 19 3 3 2" xfId="10749"/>
    <cellStyle name="Normal 19 3 3 3" xfId="16896"/>
    <cellStyle name="Normal 19 3 4" xfId="4527"/>
    <cellStyle name="Normal 19 3 4 2" xfId="16897"/>
    <cellStyle name="Normal 19 3 5" xfId="10747"/>
    <cellStyle name="Normal 19 3 6" xfId="16894"/>
    <cellStyle name="Normal 19 4" xfId="4528"/>
    <cellStyle name="Normal 19 4 2" xfId="4529"/>
    <cellStyle name="Normal 19 4 2 2" xfId="16899"/>
    <cellStyle name="Normal 19 4 3" xfId="10750"/>
    <cellStyle name="Normal 19 4 4" xfId="16898"/>
    <cellStyle name="Normal 19 5" xfId="4530"/>
    <cellStyle name="Normal 19 5 2" xfId="10751"/>
    <cellStyle name="Normal 19 5 3" xfId="16900"/>
    <cellStyle name="Normal 19 6" xfId="4531"/>
    <cellStyle name="Normal 19 6 2" xfId="10752"/>
    <cellStyle name="Normal 19 6 3" xfId="16901"/>
    <cellStyle name="Normal 19 7" xfId="10743"/>
    <cellStyle name="Normal 19 8" xfId="16890"/>
    <cellStyle name="Normal 2" xfId="4532"/>
    <cellStyle name="Normal 2 10" xfId="4533"/>
    <cellStyle name="Normal 2 10 2" xfId="4534"/>
    <cellStyle name="Normal 2 10 2 2" xfId="4535"/>
    <cellStyle name="Normal 2 10 2 2 2" xfId="10756"/>
    <cellStyle name="Normal 2 10 2 2 3" xfId="16905"/>
    <cellStyle name="Normal 2 10 2 3" xfId="10755"/>
    <cellStyle name="Normal 2 10 2 4" xfId="16904"/>
    <cellStyle name="Normal 2 10 3" xfId="4536"/>
    <cellStyle name="Normal 2 10 3 2" xfId="10757"/>
    <cellStyle name="Normal 2 10 3 3" xfId="16906"/>
    <cellStyle name="Normal 2 10 4" xfId="4537"/>
    <cellStyle name="Normal 2 10 4 2" xfId="10758"/>
    <cellStyle name="Normal 2 10 4 3" xfId="16907"/>
    <cellStyle name="Normal 2 10 5" xfId="4538"/>
    <cellStyle name="Normal 2 10 5 2" xfId="10759"/>
    <cellStyle name="Normal 2 10 5 3" xfId="16908"/>
    <cellStyle name="Normal 2 10 6" xfId="4539"/>
    <cellStyle name="Normal 2 10 6 2" xfId="16909"/>
    <cellStyle name="Normal 2 10 7" xfId="10754"/>
    <cellStyle name="Normal 2 10 8" xfId="16903"/>
    <cellStyle name="Normal 2 11" xfId="4540"/>
    <cellStyle name="Normal 2 11 2" xfId="4541"/>
    <cellStyle name="Normal 2 11 2 2" xfId="10761"/>
    <cellStyle name="Normal 2 11 2 3" xfId="16911"/>
    <cellStyle name="Normal 2 11 3" xfId="4542"/>
    <cellStyle name="Normal 2 11 3 2" xfId="10762"/>
    <cellStyle name="Normal 2 11 3 3" xfId="16912"/>
    <cellStyle name="Normal 2 11 4" xfId="4543"/>
    <cellStyle name="Normal 2 11 4 2" xfId="16913"/>
    <cellStyle name="Normal 2 11 5" xfId="10760"/>
    <cellStyle name="Normal 2 11 6" xfId="16910"/>
    <cellStyle name="Normal 2 12" xfId="4544"/>
    <cellStyle name="Normal 2 12 2" xfId="4545"/>
    <cellStyle name="Normal 2 12 2 2" xfId="10764"/>
    <cellStyle name="Normal 2 12 2 3" xfId="16915"/>
    <cellStyle name="Normal 2 12 3" xfId="10763"/>
    <cellStyle name="Normal 2 12 4" xfId="16914"/>
    <cellStyle name="Normal 2 13" xfId="4546"/>
    <cellStyle name="Normal 2 13 2" xfId="10765"/>
    <cellStyle name="Normal 2 13 3" xfId="16916"/>
    <cellStyle name="Normal 2 14" xfId="4547"/>
    <cellStyle name="Normal 2 14 2" xfId="10766"/>
    <cellStyle name="Normal 2 14 3" xfId="16917"/>
    <cellStyle name="Normal 2 15" xfId="4548"/>
    <cellStyle name="Normal 2 15 2" xfId="10767"/>
    <cellStyle name="Normal 2 15 3" xfId="16918"/>
    <cellStyle name="Normal 2 16" xfId="4549"/>
    <cellStyle name="Normal 2 16 2" xfId="10768"/>
    <cellStyle name="Normal 2 16 3" xfId="16919"/>
    <cellStyle name="Normal 2 17" xfId="4550"/>
    <cellStyle name="Normal 2 17 2" xfId="10769"/>
    <cellStyle name="Normal 2 17 3" xfId="16920"/>
    <cellStyle name="Normal 2 18" xfId="4551"/>
    <cellStyle name="Normal 2 18 2" xfId="16921"/>
    <cellStyle name="Normal 2 19" xfId="10753"/>
    <cellStyle name="Normal 2 2" xfId="4552"/>
    <cellStyle name="Normal 2 2 10" xfId="4553"/>
    <cellStyle name="Normal 2 2 10 2" xfId="10771"/>
    <cellStyle name="Normal 2 2 10 3" xfId="16923"/>
    <cellStyle name="Normal 2 2 11" xfId="4554"/>
    <cellStyle name="Normal 2 2 11 2" xfId="10772"/>
    <cellStyle name="Normal 2 2 11 3" xfId="16924"/>
    <cellStyle name="Normal 2 2 12" xfId="4555"/>
    <cellStyle name="Normal 2 2 12 2" xfId="16925"/>
    <cellStyle name="Normal 2 2 13" xfId="10770"/>
    <cellStyle name="Normal 2 2 14" xfId="16922"/>
    <cellStyle name="Normal 2 2 2" xfId="4556"/>
    <cellStyle name="Normal 2 2 2 10" xfId="4557"/>
    <cellStyle name="Normal 2 2 2 10 2" xfId="16927"/>
    <cellStyle name="Normal 2 2 2 11" xfId="10773"/>
    <cellStyle name="Normal 2 2 2 12" xfId="16926"/>
    <cellStyle name="Normal 2 2 2 2" xfId="4558"/>
    <cellStyle name="Normal 2 2 2 2 10" xfId="16928"/>
    <cellStyle name="Normal 2 2 2 2 2" xfId="4559"/>
    <cellStyle name="Normal 2 2 2 2 2 2" xfId="4560"/>
    <cellStyle name="Normal 2 2 2 2 2 2 2" xfId="4561"/>
    <cellStyle name="Normal 2 2 2 2 2 2 2 2" xfId="10777"/>
    <cellStyle name="Normal 2 2 2 2 2 2 2 3" xfId="16931"/>
    <cellStyle name="Normal 2 2 2 2 2 2 3" xfId="4562"/>
    <cellStyle name="Normal 2 2 2 2 2 2 3 2" xfId="10778"/>
    <cellStyle name="Normal 2 2 2 2 2 2 3 3" xfId="16932"/>
    <cellStyle name="Normal 2 2 2 2 2 2 4" xfId="10776"/>
    <cellStyle name="Normal 2 2 2 2 2 2 5" xfId="16930"/>
    <cellStyle name="Normal 2 2 2 2 2 3" xfId="4563"/>
    <cellStyle name="Normal 2 2 2 2 2 3 2" xfId="4564"/>
    <cellStyle name="Normal 2 2 2 2 2 3 2 2" xfId="10780"/>
    <cellStyle name="Normal 2 2 2 2 2 3 2 3" xfId="16934"/>
    <cellStyle name="Normal 2 2 2 2 2 3 3" xfId="4565"/>
    <cellStyle name="Normal 2 2 2 2 2 3 3 2" xfId="10781"/>
    <cellStyle name="Normal 2 2 2 2 2 3 3 3" xfId="16935"/>
    <cellStyle name="Normal 2 2 2 2 2 3 4" xfId="10779"/>
    <cellStyle name="Normal 2 2 2 2 2 3 5" xfId="16933"/>
    <cellStyle name="Normal 2 2 2 2 2 4" xfId="4566"/>
    <cellStyle name="Normal 2 2 2 2 2 4 2" xfId="10782"/>
    <cellStyle name="Normal 2 2 2 2 2 4 3" xfId="16936"/>
    <cellStyle name="Normal 2 2 2 2 2 5" xfId="4567"/>
    <cellStyle name="Normal 2 2 2 2 2 5 2" xfId="10783"/>
    <cellStyle name="Normal 2 2 2 2 2 5 3" xfId="16937"/>
    <cellStyle name="Normal 2 2 2 2 2 6" xfId="10775"/>
    <cellStyle name="Normal 2 2 2 2 2 7" xfId="16929"/>
    <cellStyle name="Normal 2 2 2 2 3" xfId="4568"/>
    <cellStyle name="Normal 2 2 2 2 3 2" xfId="4569"/>
    <cellStyle name="Normal 2 2 2 2 3 2 2" xfId="10785"/>
    <cellStyle name="Normal 2 2 2 2 3 2 3" xfId="16939"/>
    <cellStyle name="Normal 2 2 2 2 3 3" xfId="4570"/>
    <cellStyle name="Normal 2 2 2 2 3 3 2" xfId="10786"/>
    <cellStyle name="Normal 2 2 2 2 3 3 3" xfId="16940"/>
    <cellStyle name="Normal 2 2 2 2 3 4" xfId="4571"/>
    <cellStyle name="Normal 2 2 2 2 3 4 2" xfId="10787"/>
    <cellStyle name="Normal 2 2 2 2 3 4 3" xfId="16941"/>
    <cellStyle name="Normal 2 2 2 2 3 5" xfId="4572"/>
    <cellStyle name="Normal 2 2 2 2 3 5 2" xfId="10788"/>
    <cellStyle name="Normal 2 2 2 2 3 5 3" xfId="16942"/>
    <cellStyle name="Normal 2 2 2 2 3 6" xfId="10784"/>
    <cellStyle name="Normal 2 2 2 2 3 7" xfId="16938"/>
    <cellStyle name="Normal 2 2 2 2 4" xfId="4573"/>
    <cellStyle name="Normal 2 2 2 2 4 2" xfId="4574"/>
    <cellStyle name="Normal 2 2 2 2 4 2 2" xfId="10790"/>
    <cellStyle name="Normal 2 2 2 2 4 2 3" xfId="16944"/>
    <cellStyle name="Normal 2 2 2 2 4 3" xfId="4575"/>
    <cellStyle name="Normal 2 2 2 2 4 3 2" xfId="10791"/>
    <cellStyle name="Normal 2 2 2 2 4 3 3" xfId="16945"/>
    <cellStyle name="Normal 2 2 2 2 4 4" xfId="10789"/>
    <cellStyle name="Normal 2 2 2 2 4 5" xfId="16943"/>
    <cellStyle name="Normal 2 2 2 2 5" xfId="4576"/>
    <cellStyle name="Normal 2 2 2 2 5 2" xfId="4577"/>
    <cellStyle name="Normal 2 2 2 2 5 2 2" xfId="10793"/>
    <cellStyle name="Normal 2 2 2 2 5 2 3" xfId="16947"/>
    <cellStyle name="Normal 2 2 2 2 5 3" xfId="4578"/>
    <cellStyle name="Normal 2 2 2 2 5 3 2" xfId="10794"/>
    <cellStyle name="Normal 2 2 2 2 5 3 3" xfId="16948"/>
    <cellStyle name="Normal 2 2 2 2 5 4" xfId="10792"/>
    <cellStyle name="Normal 2 2 2 2 5 5" xfId="16946"/>
    <cellStyle name="Normal 2 2 2 2 6" xfId="4579"/>
    <cellStyle name="Normal 2 2 2 2 6 2" xfId="10795"/>
    <cellStyle name="Normal 2 2 2 2 6 3" xfId="16949"/>
    <cellStyle name="Normal 2 2 2 2 7" xfId="4580"/>
    <cellStyle name="Normal 2 2 2 2 7 2" xfId="10796"/>
    <cellStyle name="Normal 2 2 2 2 7 3" xfId="16950"/>
    <cellStyle name="Normal 2 2 2 2 8" xfId="4581"/>
    <cellStyle name="Normal 2 2 2 2 8 2" xfId="16951"/>
    <cellStyle name="Normal 2 2 2 2 9" xfId="10774"/>
    <cellStyle name="Normal 2 2 2 3" xfId="4582"/>
    <cellStyle name="Normal 2 2 2 3 2" xfId="4583"/>
    <cellStyle name="Normal 2 2 2 3 2 2" xfId="4584"/>
    <cellStyle name="Normal 2 2 2 3 2 2 2" xfId="10799"/>
    <cellStyle name="Normal 2 2 2 3 2 2 3" xfId="16954"/>
    <cellStyle name="Normal 2 2 2 3 2 3" xfId="4585"/>
    <cellStyle name="Normal 2 2 2 3 2 3 2" xfId="10800"/>
    <cellStyle name="Normal 2 2 2 3 2 3 3" xfId="16955"/>
    <cellStyle name="Normal 2 2 2 3 2 4" xfId="10798"/>
    <cellStyle name="Normal 2 2 2 3 2 5" xfId="16953"/>
    <cellStyle name="Normal 2 2 2 3 3" xfId="4586"/>
    <cellStyle name="Normal 2 2 2 3 3 2" xfId="4587"/>
    <cellStyle name="Normal 2 2 2 3 3 2 2" xfId="10802"/>
    <cellStyle name="Normal 2 2 2 3 3 2 3" xfId="16957"/>
    <cellStyle name="Normal 2 2 2 3 3 3" xfId="4588"/>
    <cellStyle name="Normal 2 2 2 3 3 3 2" xfId="10803"/>
    <cellStyle name="Normal 2 2 2 3 3 3 3" xfId="16958"/>
    <cellStyle name="Normal 2 2 2 3 3 4" xfId="10801"/>
    <cellStyle name="Normal 2 2 2 3 3 5" xfId="16956"/>
    <cellStyle name="Normal 2 2 2 3 4" xfId="4589"/>
    <cellStyle name="Normal 2 2 2 3 4 2" xfId="10804"/>
    <cellStyle name="Normal 2 2 2 3 4 3" xfId="16959"/>
    <cellStyle name="Normal 2 2 2 3 5" xfId="4590"/>
    <cellStyle name="Normal 2 2 2 3 5 2" xfId="10805"/>
    <cellStyle name="Normal 2 2 2 3 5 3" xfId="16960"/>
    <cellStyle name="Normal 2 2 2 3 6" xfId="10797"/>
    <cellStyle name="Normal 2 2 2 3 7" xfId="16952"/>
    <cellStyle name="Normal 2 2 2 4" xfId="4591"/>
    <cellStyle name="Normal 2 2 2 4 2" xfId="4592"/>
    <cellStyle name="Normal 2 2 2 4 2 2" xfId="10807"/>
    <cellStyle name="Normal 2 2 2 4 2 3" xfId="16962"/>
    <cellStyle name="Normal 2 2 2 4 3" xfId="4593"/>
    <cellStyle name="Normal 2 2 2 4 3 2" xfId="10808"/>
    <cellStyle name="Normal 2 2 2 4 3 3" xfId="16963"/>
    <cellStyle name="Normal 2 2 2 4 4" xfId="4594"/>
    <cellStyle name="Normal 2 2 2 4 4 2" xfId="10809"/>
    <cellStyle name="Normal 2 2 2 4 4 3" xfId="16964"/>
    <cellStyle name="Normal 2 2 2 4 5" xfId="4595"/>
    <cellStyle name="Normal 2 2 2 4 5 2" xfId="10810"/>
    <cellStyle name="Normal 2 2 2 4 5 3" xfId="16965"/>
    <cellStyle name="Normal 2 2 2 4 6" xfId="10806"/>
    <cellStyle name="Normal 2 2 2 4 7" xfId="16961"/>
    <cellStyle name="Normal 2 2 2 5" xfId="4596"/>
    <cellStyle name="Normal 2 2 2 5 2" xfId="4597"/>
    <cellStyle name="Normal 2 2 2 5 2 2" xfId="10812"/>
    <cellStyle name="Normal 2 2 2 5 2 3" xfId="16967"/>
    <cellStyle name="Normal 2 2 2 5 3" xfId="4598"/>
    <cellStyle name="Normal 2 2 2 5 3 2" xfId="10813"/>
    <cellStyle name="Normal 2 2 2 5 3 3" xfId="16968"/>
    <cellStyle name="Normal 2 2 2 5 4" xfId="10811"/>
    <cellStyle name="Normal 2 2 2 5 5" xfId="16966"/>
    <cellStyle name="Normal 2 2 2 6" xfId="4599"/>
    <cellStyle name="Normal 2 2 2 6 2" xfId="4600"/>
    <cellStyle name="Normal 2 2 2 6 2 2" xfId="10815"/>
    <cellStyle name="Normal 2 2 2 6 2 3" xfId="16970"/>
    <cellStyle name="Normal 2 2 2 6 3" xfId="4601"/>
    <cellStyle name="Normal 2 2 2 6 3 2" xfId="10816"/>
    <cellStyle name="Normal 2 2 2 6 3 3" xfId="16971"/>
    <cellStyle name="Normal 2 2 2 6 4" xfId="10814"/>
    <cellStyle name="Normal 2 2 2 6 5" xfId="16969"/>
    <cellStyle name="Normal 2 2 2 7" xfId="4602"/>
    <cellStyle name="Normal 2 2 2 7 2" xfId="10817"/>
    <cellStyle name="Normal 2 2 2 7 3" xfId="16972"/>
    <cellStyle name="Normal 2 2 2 8" xfId="4603"/>
    <cellStyle name="Normal 2 2 2 8 2" xfId="10818"/>
    <cellStyle name="Normal 2 2 2 8 3" xfId="16973"/>
    <cellStyle name="Normal 2 2 2 9" xfId="4604"/>
    <cellStyle name="Normal 2 2 2 9 2" xfId="10819"/>
    <cellStyle name="Normal 2 2 2 9 3" xfId="16974"/>
    <cellStyle name="Normal 2 2 2_Epicor" xfId="4605"/>
    <cellStyle name="Normal 2 2 3" xfId="4606"/>
    <cellStyle name="Normal 2 2 3 10" xfId="16975"/>
    <cellStyle name="Normal 2 2 3 2" xfId="4607"/>
    <cellStyle name="Normal 2 2 3 2 2" xfId="4608"/>
    <cellStyle name="Normal 2 2 3 2 2 2" xfId="4609"/>
    <cellStyle name="Normal 2 2 3 2 2 2 2" xfId="10823"/>
    <cellStyle name="Normal 2 2 3 2 2 2 3" xfId="16978"/>
    <cellStyle name="Normal 2 2 3 2 2 3" xfId="4610"/>
    <cellStyle name="Normal 2 2 3 2 2 3 2" xfId="10824"/>
    <cellStyle name="Normal 2 2 3 2 2 3 3" xfId="16979"/>
    <cellStyle name="Normal 2 2 3 2 2 4" xfId="10822"/>
    <cellStyle name="Normal 2 2 3 2 2 5" xfId="16977"/>
    <cellStyle name="Normal 2 2 3 2 3" xfId="4611"/>
    <cellStyle name="Normal 2 2 3 2 3 2" xfId="4612"/>
    <cellStyle name="Normal 2 2 3 2 3 2 2" xfId="10826"/>
    <cellStyle name="Normal 2 2 3 2 3 2 3" xfId="16981"/>
    <cellStyle name="Normal 2 2 3 2 3 3" xfId="4613"/>
    <cellStyle name="Normal 2 2 3 2 3 3 2" xfId="10827"/>
    <cellStyle name="Normal 2 2 3 2 3 3 3" xfId="16982"/>
    <cellStyle name="Normal 2 2 3 2 3 4" xfId="10825"/>
    <cellStyle name="Normal 2 2 3 2 3 5" xfId="16980"/>
    <cellStyle name="Normal 2 2 3 2 4" xfId="4614"/>
    <cellStyle name="Normal 2 2 3 2 4 2" xfId="10828"/>
    <cellStyle name="Normal 2 2 3 2 4 3" xfId="16983"/>
    <cellStyle name="Normal 2 2 3 2 5" xfId="4615"/>
    <cellStyle name="Normal 2 2 3 2 5 2" xfId="10829"/>
    <cellStyle name="Normal 2 2 3 2 5 3" xfId="16984"/>
    <cellStyle name="Normal 2 2 3 2 6" xfId="10821"/>
    <cellStyle name="Normal 2 2 3 2 7" xfId="16976"/>
    <cellStyle name="Normal 2 2 3 3" xfId="4616"/>
    <cellStyle name="Normal 2 2 3 3 2" xfId="4617"/>
    <cellStyle name="Normal 2 2 3 3 2 2" xfId="10831"/>
    <cellStyle name="Normal 2 2 3 3 2 3" xfId="16986"/>
    <cellStyle name="Normal 2 2 3 3 3" xfId="4618"/>
    <cellStyle name="Normal 2 2 3 3 3 2" xfId="10832"/>
    <cellStyle name="Normal 2 2 3 3 3 3" xfId="16987"/>
    <cellStyle name="Normal 2 2 3 3 4" xfId="4619"/>
    <cellStyle name="Normal 2 2 3 3 4 2" xfId="10833"/>
    <cellStyle name="Normal 2 2 3 3 4 3" xfId="16988"/>
    <cellStyle name="Normal 2 2 3 3 5" xfId="4620"/>
    <cellStyle name="Normal 2 2 3 3 5 2" xfId="10834"/>
    <cellStyle name="Normal 2 2 3 3 5 3" xfId="16989"/>
    <cellStyle name="Normal 2 2 3 3 6" xfId="10830"/>
    <cellStyle name="Normal 2 2 3 3 7" xfId="16985"/>
    <cellStyle name="Normal 2 2 3 4" xfId="4621"/>
    <cellStyle name="Normal 2 2 3 4 2" xfId="4622"/>
    <cellStyle name="Normal 2 2 3 4 2 2" xfId="10836"/>
    <cellStyle name="Normal 2 2 3 4 2 3" xfId="16991"/>
    <cellStyle name="Normal 2 2 3 4 3" xfId="4623"/>
    <cellStyle name="Normal 2 2 3 4 3 2" xfId="10837"/>
    <cellStyle name="Normal 2 2 3 4 3 3" xfId="16992"/>
    <cellStyle name="Normal 2 2 3 4 4" xfId="10835"/>
    <cellStyle name="Normal 2 2 3 4 5" xfId="16990"/>
    <cellStyle name="Normal 2 2 3 5" xfId="4624"/>
    <cellStyle name="Normal 2 2 3 5 2" xfId="4625"/>
    <cellStyle name="Normal 2 2 3 5 2 2" xfId="10839"/>
    <cellStyle name="Normal 2 2 3 5 2 3" xfId="16994"/>
    <cellStyle name="Normal 2 2 3 5 3" xfId="4626"/>
    <cellStyle name="Normal 2 2 3 5 3 2" xfId="10840"/>
    <cellStyle name="Normal 2 2 3 5 3 3" xfId="16995"/>
    <cellStyle name="Normal 2 2 3 5 4" xfId="10838"/>
    <cellStyle name="Normal 2 2 3 5 5" xfId="16993"/>
    <cellStyle name="Normal 2 2 3 6" xfId="4627"/>
    <cellStyle name="Normal 2 2 3 6 2" xfId="10841"/>
    <cellStyle name="Normal 2 2 3 6 3" xfId="16996"/>
    <cellStyle name="Normal 2 2 3 7" xfId="4628"/>
    <cellStyle name="Normal 2 2 3 7 2" xfId="10842"/>
    <cellStyle name="Normal 2 2 3 7 3" xfId="16997"/>
    <cellStyle name="Normal 2 2 3 8" xfId="4629"/>
    <cellStyle name="Normal 2 2 3 8 2" xfId="16998"/>
    <cellStyle name="Normal 2 2 3 9" xfId="10820"/>
    <cellStyle name="Normal 2 2 4" xfId="4630"/>
    <cellStyle name="Normal 2 2 4 2" xfId="4631"/>
    <cellStyle name="Normal 2 2 4 2 2" xfId="4632"/>
    <cellStyle name="Normal 2 2 4 2 2 2" xfId="10845"/>
    <cellStyle name="Normal 2 2 4 2 2 3" xfId="17001"/>
    <cellStyle name="Normal 2 2 4 2 3" xfId="4633"/>
    <cellStyle name="Normal 2 2 4 2 3 2" xfId="10846"/>
    <cellStyle name="Normal 2 2 4 2 3 3" xfId="17002"/>
    <cellStyle name="Normal 2 2 4 2 4" xfId="10844"/>
    <cellStyle name="Normal 2 2 4 2 5" xfId="17000"/>
    <cellStyle name="Normal 2 2 4 3" xfId="4634"/>
    <cellStyle name="Normal 2 2 4 3 2" xfId="4635"/>
    <cellStyle name="Normal 2 2 4 3 2 2" xfId="10848"/>
    <cellStyle name="Normal 2 2 4 3 2 3" xfId="17004"/>
    <cellStyle name="Normal 2 2 4 3 3" xfId="4636"/>
    <cellStyle name="Normal 2 2 4 3 3 2" xfId="10849"/>
    <cellStyle name="Normal 2 2 4 3 3 3" xfId="17005"/>
    <cellStyle name="Normal 2 2 4 3 4" xfId="10847"/>
    <cellStyle name="Normal 2 2 4 3 5" xfId="17003"/>
    <cellStyle name="Normal 2 2 4 4" xfId="4637"/>
    <cellStyle name="Normal 2 2 4 4 2" xfId="10850"/>
    <cellStyle name="Normal 2 2 4 4 3" xfId="17006"/>
    <cellStyle name="Normal 2 2 4 5" xfId="4638"/>
    <cellStyle name="Normal 2 2 4 5 2" xfId="10851"/>
    <cellStyle name="Normal 2 2 4 5 3" xfId="17007"/>
    <cellStyle name="Normal 2 2 4 6" xfId="4639"/>
    <cellStyle name="Normal 2 2 4 6 2" xfId="17008"/>
    <cellStyle name="Normal 2 2 4 7" xfId="10843"/>
    <cellStyle name="Normal 2 2 4 8" xfId="16999"/>
    <cellStyle name="Normal 2 2 5" xfId="4640"/>
    <cellStyle name="Normal 2 2 5 2" xfId="4641"/>
    <cellStyle name="Normal 2 2 5 2 2" xfId="10853"/>
    <cellStyle name="Normal 2 2 5 2 3" xfId="17010"/>
    <cellStyle name="Normal 2 2 5 3" xfId="4642"/>
    <cellStyle name="Normal 2 2 5 3 2" xfId="10854"/>
    <cellStyle name="Normal 2 2 5 3 3" xfId="17011"/>
    <cellStyle name="Normal 2 2 5 4" xfId="4643"/>
    <cellStyle name="Normal 2 2 5 4 2" xfId="10855"/>
    <cellStyle name="Normal 2 2 5 4 3" xfId="17012"/>
    <cellStyle name="Normal 2 2 5 5" xfId="4644"/>
    <cellStyle name="Normal 2 2 5 5 2" xfId="10856"/>
    <cellStyle name="Normal 2 2 5 5 3" xfId="17013"/>
    <cellStyle name="Normal 2 2 5 6" xfId="10852"/>
    <cellStyle name="Normal 2 2 5 7" xfId="17009"/>
    <cellStyle name="Normal 2 2 6" xfId="4645"/>
    <cellStyle name="Normal 2 2 6 2" xfId="4646"/>
    <cellStyle name="Normal 2 2 6 2 2" xfId="10858"/>
    <cellStyle name="Normal 2 2 6 2 3" xfId="17015"/>
    <cellStyle name="Normal 2 2 6 3" xfId="4647"/>
    <cellStyle name="Normal 2 2 6 3 2" xfId="10859"/>
    <cellStyle name="Normal 2 2 6 3 3" xfId="17016"/>
    <cellStyle name="Normal 2 2 6 4" xfId="10857"/>
    <cellStyle name="Normal 2 2 6 5" xfId="17014"/>
    <cellStyle name="Normal 2 2 7" xfId="4648"/>
    <cellStyle name="Normal 2 2 7 2" xfId="4649"/>
    <cellStyle name="Normal 2 2 7 2 2" xfId="10861"/>
    <cellStyle name="Normal 2 2 7 2 3" xfId="17018"/>
    <cellStyle name="Normal 2 2 7 3" xfId="4650"/>
    <cellStyle name="Normal 2 2 7 3 2" xfId="10862"/>
    <cellStyle name="Normal 2 2 7 3 3" xfId="17019"/>
    <cellStyle name="Normal 2 2 7 4" xfId="10860"/>
    <cellStyle name="Normal 2 2 7 5" xfId="17017"/>
    <cellStyle name="Normal 2 2 8" xfId="4651"/>
    <cellStyle name="Normal 2 2 8 2" xfId="10863"/>
    <cellStyle name="Normal 2 2 8 3" xfId="17020"/>
    <cellStyle name="Normal 2 2 9" xfId="4652"/>
    <cellStyle name="Normal 2 2 9 2" xfId="10864"/>
    <cellStyle name="Normal 2 2 9 3" xfId="17021"/>
    <cellStyle name="Normal 2 2_10051" xfId="4653"/>
    <cellStyle name="Normal 2 20" xfId="15201"/>
    <cellStyle name="Normal 2 21" xfId="15204"/>
    <cellStyle name="Normal 2 22" xfId="15200"/>
    <cellStyle name="Normal 2 23" xfId="15208"/>
    <cellStyle name="Normal 2 24" xfId="15211"/>
    <cellStyle name="Normal 2 25" xfId="15207"/>
    <cellStyle name="Normal 2 26" xfId="16902"/>
    <cellStyle name="Normal 2 27" xfId="23003"/>
    <cellStyle name="Normal 2 28" xfId="23002"/>
    <cellStyle name="Normal 2 29" xfId="23007"/>
    <cellStyle name="Normal 2 3" xfId="4654"/>
    <cellStyle name="Normal 2 3 2" xfId="4655"/>
    <cellStyle name="Normal 2 3 2 2" xfId="4656"/>
    <cellStyle name="Normal 2 3 2 2 2" xfId="10867"/>
    <cellStyle name="Normal 2 3 2 2 3" xfId="17024"/>
    <cellStyle name="Normal 2 3 2 3" xfId="4657"/>
    <cellStyle name="Normal 2 3 2 3 2" xfId="10868"/>
    <cellStyle name="Normal 2 3 2 3 3" xfId="17025"/>
    <cellStyle name="Normal 2 3 2 4" xfId="4658"/>
    <cellStyle name="Normal 2 3 2 4 2" xfId="17026"/>
    <cellStyle name="Normal 2 3 2 5" xfId="10866"/>
    <cellStyle name="Normal 2 3 2 6" xfId="17023"/>
    <cellStyle name="Normal 2 3 2_Active emp List" xfId="4659"/>
    <cellStyle name="Normal 2 3 3" xfId="4660"/>
    <cellStyle name="Normal 2 3 3 2" xfId="4661"/>
    <cellStyle name="Normal 2 3 3 2 2" xfId="4662"/>
    <cellStyle name="Normal 2 3 3 2 2 2" xfId="10871"/>
    <cellStyle name="Normal 2 3 3 2 2 3" xfId="17029"/>
    <cellStyle name="Normal 2 3 3 2 3" xfId="4663"/>
    <cellStyle name="Normal 2 3 3 2 3 2" xfId="17030"/>
    <cellStyle name="Normal 2 3 3 2 4" xfId="10870"/>
    <cellStyle name="Normal 2 3 3 2 5" xfId="17028"/>
    <cellStyle name="Normal 2 3 3 3" xfId="4664"/>
    <cellStyle name="Normal 2 3 3 3 2" xfId="10872"/>
    <cellStyle name="Normal 2 3 3 3 3" xfId="17031"/>
    <cellStyle name="Normal 2 3 3 4" xfId="4665"/>
    <cellStyle name="Normal 2 3 3 4 2" xfId="17032"/>
    <cellStyle name="Normal 2 3 3 5" xfId="10869"/>
    <cellStyle name="Normal 2 3 3 6" xfId="17027"/>
    <cellStyle name="Normal 2 3 4" xfId="4666"/>
    <cellStyle name="Normal 2 3 4 2" xfId="4667"/>
    <cellStyle name="Normal 2 3 4 2 2" xfId="10874"/>
    <cellStyle name="Normal 2 3 4 2 3" xfId="17034"/>
    <cellStyle name="Normal 2 3 4 3" xfId="4668"/>
    <cellStyle name="Normal 2 3 4 3 2" xfId="17035"/>
    <cellStyle name="Normal 2 3 4 4" xfId="10873"/>
    <cellStyle name="Normal 2 3 4 5" xfId="17033"/>
    <cellStyle name="Normal 2 3 5" xfId="4669"/>
    <cellStyle name="Normal 2 3 5 2" xfId="10875"/>
    <cellStyle name="Normal 2 3 5 3" xfId="17036"/>
    <cellStyle name="Normal 2 3 6" xfId="4670"/>
    <cellStyle name="Normal 2 3 6 2" xfId="17037"/>
    <cellStyle name="Normal 2 3 7" xfId="10865"/>
    <cellStyle name="Normal 2 3 8" xfId="17022"/>
    <cellStyle name="Normal 2 3_2012 TV Budget" xfId="4671"/>
    <cellStyle name="Normal 2 30" xfId="23006"/>
    <cellStyle name="Normal 2 31" xfId="23009"/>
    <cellStyle name="Normal 2 32" xfId="23011"/>
    <cellStyle name="Normal 2 33" xfId="23013"/>
    <cellStyle name="Normal 2 34" xfId="23015"/>
    <cellStyle name="Normal 2 35" xfId="23017"/>
    <cellStyle name="Normal 2 4" xfId="4672"/>
    <cellStyle name="Normal 2 4 2" xfId="4673"/>
    <cellStyle name="Normal 2 4 2 2" xfId="4674"/>
    <cellStyle name="Normal 2 4 2 2 2" xfId="4675"/>
    <cellStyle name="Normal 2 4 2 2 2 2" xfId="10879"/>
    <cellStyle name="Normal 2 4 2 2 2 3" xfId="17041"/>
    <cellStyle name="Normal 2 4 2 2 3" xfId="10878"/>
    <cellStyle name="Normal 2 4 2 2 4" xfId="17040"/>
    <cellStyle name="Normal 2 4 2 3" xfId="4676"/>
    <cellStyle name="Normal 2 4 2 3 2" xfId="10880"/>
    <cellStyle name="Normal 2 4 2 3 3" xfId="17042"/>
    <cellStyle name="Normal 2 4 2 4" xfId="4677"/>
    <cellStyle name="Normal 2 4 2 4 2" xfId="10881"/>
    <cellStyle name="Normal 2 4 2 4 3" xfId="17043"/>
    <cellStyle name="Normal 2 4 2 5" xfId="4678"/>
    <cellStyle name="Normal 2 4 2 5 2" xfId="10882"/>
    <cellStyle name="Normal 2 4 2 5 3" xfId="17044"/>
    <cellStyle name="Normal 2 4 2 6" xfId="4679"/>
    <cellStyle name="Normal 2 4 2 6 2" xfId="10883"/>
    <cellStyle name="Normal 2 4 2 6 3" xfId="17045"/>
    <cellStyle name="Normal 2 4 2 7" xfId="4680"/>
    <cellStyle name="Normal 2 4 2 7 2" xfId="17046"/>
    <cellStyle name="Normal 2 4 2 8" xfId="10877"/>
    <cellStyle name="Normal 2 4 2 9" xfId="17039"/>
    <cellStyle name="Normal 2 4 3" xfId="4681"/>
    <cellStyle name="Normal 2 4 3 2" xfId="4682"/>
    <cellStyle name="Normal 2 4 3 2 2" xfId="10885"/>
    <cellStyle name="Normal 2 4 3 2 3" xfId="17048"/>
    <cellStyle name="Normal 2 4 3 3" xfId="4683"/>
    <cellStyle name="Normal 2 4 3 3 2" xfId="10886"/>
    <cellStyle name="Normal 2 4 3 3 3" xfId="17049"/>
    <cellStyle name="Normal 2 4 3 4" xfId="10884"/>
    <cellStyle name="Normal 2 4 3 5" xfId="17047"/>
    <cellStyle name="Normal 2 4 4" xfId="4684"/>
    <cellStyle name="Normal 2 4 4 2" xfId="4685"/>
    <cellStyle name="Normal 2 4 4 2 2" xfId="10888"/>
    <cellStyle name="Normal 2 4 4 2 3" xfId="17051"/>
    <cellStyle name="Normal 2 4 4 3" xfId="4686"/>
    <cellStyle name="Normal 2 4 4 3 2" xfId="10889"/>
    <cellStyle name="Normal 2 4 4 3 3" xfId="17052"/>
    <cellStyle name="Normal 2 4 4 4" xfId="10887"/>
    <cellStyle name="Normal 2 4 4 5" xfId="17050"/>
    <cellStyle name="Normal 2 4 5" xfId="4687"/>
    <cellStyle name="Normal 2 4 5 2" xfId="10890"/>
    <cellStyle name="Normal 2 4 5 3" xfId="17053"/>
    <cellStyle name="Normal 2 4 6" xfId="4688"/>
    <cellStyle name="Normal 2 4 6 2" xfId="10891"/>
    <cellStyle name="Normal 2 4 6 3" xfId="17054"/>
    <cellStyle name="Normal 2 4 7" xfId="4689"/>
    <cellStyle name="Normal 2 4 7 2" xfId="17055"/>
    <cellStyle name="Normal 2 4 8" xfId="10876"/>
    <cellStyle name="Normal 2 4 9" xfId="17038"/>
    <cellStyle name="Normal 2 5" xfId="4690"/>
    <cellStyle name="Normal 2 5 2" xfId="4691"/>
    <cellStyle name="Normal 2 5 2 2" xfId="10893"/>
    <cellStyle name="Normal 2 5 2 3" xfId="17057"/>
    <cellStyle name="Normal 2 5 3" xfId="4692"/>
    <cellStyle name="Normal 2 5 3 2" xfId="10894"/>
    <cellStyle name="Normal 2 5 3 3" xfId="17058"/>
    <cellStyle name="Normal 2 5 4" xfId="4693"/>
    <cellStyle name="Normal 2 5 4 2" xfId="17059"/>
    <cellStyle name="Normal 2 5 5" xfId="10892"/>
    <cellStyle name="Normal 2 5 6" xfId="17056"/>
    <cellStyle name="Normal 2 6" xfId="4694"/>
    <cellStyle name="Normal 2 6 2" xfId="4695"/>
    <cellStyle name="Normal 2 6 2 2" xfId="4696"/>
    <cellStyle name="Normal 2 6 2 2 2" xfId="10897"/>
    <cellStyle name="Normal 2 6 2 2 3" xfId="17062"/>
    <cellStyle name="Normal 2 6 2 3" xfId="10896"/>
    <cellStyle name="Normal 2 6 2 4" xfId="17061"/>
    <cellStyle name="Normal 2 6 3" xfId="4697"/>
    <cellStyle name="Normal 2 6 3 2" xfId="10898"/>
    <cellStyle name="Normal 2 6 3 3" xfId="17063"/>
    <cellStyle name="Normal 2 6 4" xfId="4698"/>
    <cellStyle name="Normal 2 6 4 2" xfId="10899"/>
    <cellStyle name="Normal 2 6 4 3" xfId="17064"/>
    <cellStyle name="Normal 2 6 5" xfId="4699"/>
    <cellStyle name="Normal 2 6 5 2" xfId="10900"/>
    <cellStyle name="Normal 2 6 5 3" xfId="17065"/>
    <cellStyle name="Normal 2 6 6" xfId="4700"/>
    <cellStyle name="Normal 2 6 6 2" xfId="17066"/>
    <cellStyle name="Normal 2 6 7" xfId="10895"/>
    <cellStyle name="Normal 2 6 8" xfId="17060"/>
    <cellStyle name="Normal 2 7" xfId="4701"/>
    <cellStyle name="Normal 2 7 2" xfId="4702"/>
    <cellStyle name="Normal 2 7 2 2" xfId="10902"/>
    <cellStyle name="Normal 2 7 2 3" xfId="17068"/>
    <cellStyle name="Normal 2 7 3" xfId="4703"/>
    <cellStyle name="Normal 2 7 3 2" xfId="10903"/>
    <cellStyle name="Normal 2 7 3 3" xfId="17069"/>
    <cellStyle name="Normal 2 7 4" xfId="4704"/>
    <cellStyle name="Normal 2 7 4 2" xfId="10904"/>
    <cellStyle name="Normal 2 7 4 3" xfId="17070"/>
    <cellStyle name="Normal 2 7 5" xfId="4705"/>
    <cellStyle name="Normal 2 7 5 2" xfId="10905"/>
    <cellStyle name="Normal 2 7 5 3" xfId="17071"/>
    <cellStyle name="Normal 2 7 6" xfId="4706"/>
    <cellStyle name="Normal 2 7 6 2" xfId="17072"/>
    <cellStyle name="Normal 2 7 7" xfId="10901"/>
    <cellStyle name="Normal 2 7 8" xfId="17067"/>
    <cellStyle name="Normal 2 8" xfId="4707"/>
    <cellStyle name="Normal 2 8 2" xfId="4708"/>
    <cellStyle name="Normal 2 8 2 2" xfId="4709"/>
    <cellStyle name="Normal 2 8 2 2 2" xfId="10908"/>
    <cellStyle name="Normal 2 8 2 2 3" xfId="17075"/>
    <cellStyle name="Normal 2 8 2 3" xfId="10907"/>
    <cellStyle name="Normal 2 8 2 4" xfId="17074"/>
    <cellStyle name="Normal 2 8 3" xfId="4710"/>
    <cellStyle name="Normal 2 8 3 2" xfId="10909"/>
    <cellStyle name="Normal 2 8 3 3" xfId="17076"/>
    <cellStyle name="Normal 2 8 4" xfId="4711"/>
    <cellStyle name="Normal 2 8 4 2" xfId="10910"/>
    <cellStyle name="Normal 2 8 4 3" xfId="17077"/>
    <cellStyle name="Normal 2 8 5" xfId="4712"/>
    <cellStyle name="Normal 2 8 5 2" xfId="10911"/>
    <cellStyle name="Normal 2 8 5 3" xfId="17078"/>
    <cellStyle name="Normal 2 8 6" xfId="4713"/>
    <cellStyle name="Normal 2 8 6 2" xfId="17079"/>
    <cellStyle name="Normal 2 8 7" xfId="10906"/>
    <cellStyle name="Normal 2 8 8" xfId="17073"/>
    <cellStyle name="Normal 2 9" xfId="4714"/>
    <cellStyle name="Normal 2 9 2" xfId="4715"/>
    <cellStyle name="Normal 2 9 2 2" xfId="10913"/>
    <cellStyle name="Normal 2 9 2 3" xfId="17081"/>
    <cellStyle name="Normal 2 9 3" xfId="4716"/>
    <cellStyle name="Normal 2 9 3 2" xfId="10914"/>
    <cellStyle name="Normal 2 9 3 3" xfId="17082"/>
    <cellStyle name="Normal 2 9 4" xfId="4717"/>
    <cellStyle name="Normal 2 9 4 2" xfId="10915"/>
    <cellStyle name="Normal 2 9 4 3" xfId="17083"/>
    <cellStyle name="Normal 2 9 5" xfId="4718"/>
    <cellStyle name="Normal 2 9 5 2" xfId="10916"/>
    <cellStyle name="Normal 2 9 5 3" xfId="17084"/>
    <cellStyle name="Normal 2 9 6" xfId="4719"/>
    <cellStyle name="Normal 2 9 6 2" xfId="17085"/>
    <cellStyle name="Normal 2 9 7" xfId="10912"/>
    <cellStyle name="Normal 2 9 8" xfId="17080"/>
    <cellStyle name="Normal 2_2009 Regulated Price Out" xfId="4720"/>
    <cellStyle name="Normal 20" xfId="4721"/>
    <cellStyle name="Normal 20 2" xfId="4722"/>
    <cellStyle name="Normal 20 2 2" xfId="4723"/>
    <cellStyle name="Normal 20 2 2 2" xfId="10919"/>
    <cellStyle name="Normal 20 2 2 3" xfId="17088"/>
    <cellStyle name="Normal 20 2 3" xfId="4724"/>
    <cellStyle name="Normal 20 2 3 2" xfId="10920"/>
    <cellStyle name="Normal 20 2 3 3" xfId="17089"/>
    <cellStyle name="Normal 20 2 4" xfId="4725"/>
    <cellStyle name="Normal 20 2 4 2" xfId="10921"/>
    <cellStyle name="Normal 20 2 4 3" xfId="17090"/>
    <cellStyle name="Normal 20 2 5" xfId="4726"/>
    <cellStyle name="Normal 20 2 5 2" xfId="17091"/>
    <cellStyle name="Normal 20 2 6" xfId="10918"/>
    <cellStyle name="Normal 20 2 7" xfId="17087"/>
    <cellStyle name="Normal 20 3" xfId="4727"/>
    <cellStyle name="Normal 20 3 2" xfId="4728"/>
    <cellStyle name="Normal 20 3 2 2" xfId="17093"/>
    <cellStyle name="Normal 20 3 3" xfId="10922"/>
    <cellStyle name="Normal 20 3 4" xfId="17092"/>
    <cellStyle name="Normal 20 4" xfId="4729"/>
    <cellStyle name="Normal 20 4 2" xfId="4730"/>
    <cellStyle name="Normal 20 4 2 2" xfId="10924"/>
    <cellStyle name="Normal 20 4 2 3" xfId="17095"/>
    <cellStyle name="Normal 20 4 3" xfId="10923"/>
    <cellStyle name="Normal 20 4 4" xfId="17094"/>
    <cellStyle name="Normal 20 5" xfId="4731"/>
    <cellStyle name="Normal 20 5 2" xfId="4732"/>
    <cellStyle name="Normal 20 5 2 2" xfId="17097"/>
    <cellStyle name="Normal 20 5 3" xfId="10925"/>
    <cellStyle name="Normal 20 5 4" xfId="17096"/>
    <cellStyle name="Normal 20 6" xfId="4733"/>
    <cellStyle name="Normal 20 6 2" xfId="10926"/>
    <cellStyle name="Normal 20 6 3" xfId="17098"/>
    <cellStyle name="Normal 20 7" xfId="4734"/>
    <cellStyle name="Normal 20 7 2" xfId="10927"/>
    <cellStyle name="Normal 20 7 3" xfId="17099"/>
    <cellStyle name="Normal 20 8" xfId="10917"/>
    <cellStyle name="Normal 20 9" xfId="17086"/>
    <cellStyle name="Normal 21" xfId="4735"/>
    <cellStyle name="Normal 21 2" xfId="4736"/>
    <cellStyle name="Normal 21 2 2" xfId="4737"/>
    <cellStyle name="Normal 21 2 2 2" xfId="10930"/>
    <cellStyle name="Normal 21 2 2 3" xfId="17102"/>
    <cellStyle name="Normal 21 2 3" xfId="4738"/>
    <cellStyle name="Normal 21 2 3 2" xfId="10931"/>
    <cellStyle name="Normal 21 2 3 3" xfId="17103"/>
    <cellStyle name="Normal 21 2 4" xfId="4739"/>
    <cellStyle name="Normal 21 2 4 2" xfId="10932"/>
    <cellStyle name="Normal 21 2 4 3" xfId="17104"/>
    <cellStyle name="Normal 21 2 5" xfId="4740"/>
    <cellStyle name="Normal 21 2 5 2" xfId="17105"/>
    <cellStyle name="Normal 21 2 6" xfId="10929"/>
    <cellStyle name="Normal 21 2 7" xfId="17101"/>
    <cellStyle name="Normal 21 3" xfId="4741"/>
    <cellStyle name="Normal 21 3 2" xfId="4742"/>
    <cellStyle name="Normal 21 3 2 2" xfId="10934"/>
    <cellStyle name="Normal 21 3 2 3" xfId="17107"/>
    <cellStyle name="Normal 21 3 3" xfId="10933"/>
    <cellStyle name="Normal 21 3 4" xfId="17106"/>
    <cellStyle name="Normal 21 4" xfId="4743"/>
    <cellStyle name="Normal 21 4 2" xfId="4744"/>
    <cellStyle name="Normal 21 4 2 2" xfId="17109"/>
    <cellStyle name="Normal 21 4 3" xfId="10935"/>
    <cellStyle name="Normal 21 4 4" xfId="17108"/>
    <cellStyle name="Normal 21 5" xfId="4745"/>
    <cellStyle name="Normal 21 5 2" xfId="10936"/>
    <cellStyle name="Normal 21 5 3" xfId="17110"/>
    <cellStyle name="Normal 21 6" xfId="10928"/>
    <cellStyle name="Normal 21 7" xfId="17100"/>
    <cellStyle name="Normal 22" xfId="4746"/>
    <cellStyle name="Normal 22 2" xfId="4747"/>
    <cellStyle name="Normal 22 2 2" xfId="4748"/>
    <cellStyle name="Normal 22 2 2 2" xfId="10939"/>
    <cellStyle name="Normal 22 2 2 3" xfId="17113"/>
    <cellStyle name="Normal 22 2 3" xfId="4749"/>
    <cellStyle name="Normal 22 2 3 2" xfId="10940"/>
    <cellStyle name="Normal 22 2 3 3" xfId="17114"/>
    <cellStyle name="Normal 22 2 4" xfId="4750"/>
    <cellStyle name="Normal 22 2 4 2" xfId="17115"/>
    <cellStyle name="Normal 22 2 5" xfId="10938"/>
    <cellStyle name="Normal 22 2 6" xfId="17112"/>
    <cellStyle name="Normal 22 3" xfId="4751"/>
    <cellStyle name="Normal 22 3 2" xfId="4752"/>
    <cellStyle name="Normal 22 3 2 2" xfId="10942"/>
    <cellStyle name="Normal 22 3 2 3" xfId="17117"/>
    <cellStyle name="Normal 22 3 3" xfId="10941"/>
    <cellStyle name="Normal 22 3 4" xfId="17116"/>
    <cellStyle name="Normal 22 4" xfId="4753"/>
    <cellStyle name="Normal 22 4 2" xfId="4754"/>
    <cellStyle name="Normal 22 4 2 2" xfId="17119"/>
    <cellStyle name="Normal 22 4 3" xfId="10943"/>
    <cellStyle name="Normal 22 4 4" xfId="17118"/>
    <cellStyle name="Normal 22 5" xfId="4755"/>
    <cellStyle name="Normal 22 5 2" xfId="10944"/>
    <cellStyle name="Normal 22 5 3" xfId="17120"/>
    <cellStyle name="Normal 22 6" xfId="10937"/>
    <cellStyle name="Normal 22 7" xfId="17111"/>
    <cellStyle name="Normal 23" xfId="4756"/>
    <cellStyle name="Normal 23 2" xfId="4757"/>
    <cellStyle name="Normal 23 2 2" xfId="4758"/>
    <cellStyle name="Normal 23 2 2 2" xfId="10947"/>
    <cellStyle name="Normal 23 2 2 3" xfId="17123"/>
    <cellStyle name="Normal 23 2 3" xfId="4759"/>
    <cellStyle name="Normal 23 2 3 2" xfId="10948"/>
    <cellStyle name="Normal 23 2 3 3" xfId="17124"/>
    <cellStyle name="Normal 23 2 4" xfId="4760"/>
    <cellStyle name="Normal 23 2 4 2" xfId="17125"/>
    <cellStyle name="Normal 23 2 5" xfId="10946"/>
    <cellStyle name="Normal 23 2 6" xfId="17122"/>
    <cellStyle name="Normal 23 3" xfId="4761"/>
    <cellStyle name="Normal 23 3 2" xfId="4762"/>
    <cellStyle name="Normal 23 3 2 2" xfId="10950"/>
    <cellStyle name="Normal 23 3 2 3" xfId="17127"/>
    <cellStyle name="Normal 23 3 3" xfId="4763"/>
    <cellStyle name="Normal 23 3 3 2" xfId="10951"/>
    <cellStyle name="Normal 23 3 3 3" xfId="17128"/>
    <cellStyle name="Normal 23 3 4" xfId="10949"/>
    <cellStyle name="Normal 23 3 5" xfId="17126"/>
    <cellStyle name="Normal 23 4" xfId="4764"/>
    <cellStyle name="Normal 23 4 2" xfId="4765"/>
    <cellStyle name="Normal 23 4 2 2" xfId="17130"/>
    <cellStyle name="Normal 23 4 3" xfId="10952"/>
    <cellStyle name="Normal 23 4 4" xfId="17129"/>
    <cellStyle name="Normal 23 5" xfId="10945"/>
    <cellStyle name="Normal 23 6" xfId="17121"/>
    <cellStyle name="Normal 24" xfId="4766"/>
    <cellStyle name="Normal 24 2" xfId="4767"/>
    <cellStyle name="Normal 24 2 2" xfId="4768"/>
    <cellStyle name="Normal 24 2 2 2" xfId="10955"/>
    <cellStyle name="Normal 24 2 2 3" xfId="17133"/>
    <cellStyle name="Normal 24 2 3" xfId="4769"/>
    <cellStyle name="Normal 24 2 3 2" xfId="10956"/>
    <cellStyle name="Normal 24 2 3 3" xfId="17134"/>
    <cellStyle name="Normal 24 2 4" xfId="4770"/>
    <cellStyle name="Normal 24 2 4 2" xfId="17135"/>
    <cellStyle name="Normal 24 2 5" xfId="10954"/>
    <cellStyle name="Normal 24 2 6" xfId="17132"/>
    <cellStyle name="Normal 24 3" xfId="4771"/>
    <cellStyle name="Normal 24 3 2" xfId="4772"/>
    <cellStyle name="Normal 24 3 2 2" xfId="10958"/>
    <cellStyle name="Normal 24 3 2 3" xfId="17137"/>
    <cellStyle name="Normal 24 3 3" xfId="10957"/>
    <cellStyle name="Normal 24 3 4" xfId="17136"/>
    <cellStyle name="Normal 24 4" xfId="4773"/>
    <cellStyle name="Normal 24 4 2" xfId="4774"/>
    <cellStyle name="Normal 24 4 2 2" xfId="17139"/>
    <cellStyle name="Normal 24 4 3" xfId="10959"/>
    <cellStyle name="Normal 24 4 4" xfId="17138"/>
    <cellStyle name="Normal 24 5" xfId="4775"/>
    <cellStyle name="Normal 24 5 2" xfId="10960"/>
    <cellStyle name="Normal 24 5 3" xfId="17140"/>
    <cellStyle name="Normal 24 6" xfId="10953"/>
    <cellStyle name="Normal 24 7" xfId="17131"/>
    <cellStyle name="Normal 25" xfId="4776"/>
    <cellStyle name="Normal 25 2" xfId="4777"/>
    <cellStyle name="Normal 25 2 2" xfId="4778"/>
    <cellStyle name="Normal 25 2 2 2" xfId="10963"/>
    <cellStyle name="Normal 25 2 2 3" xfId="17143"/>
    <cellStyle name="Normal 25 2 3" xfId="4779"/>
    <cellStyle name="Normal 25 2 3 2" xfId="10964"/>
    <cellStyle name="Normal 25 2 3 3" xfId="17144"/>
    <cellStyle name="Normal 25 2 4" xfId="10962"/>
    <cellStyle name="Normal 25 2 5" xfId="17142"/>
    <cellStyle name="Normal 25 3" xfId="4780"/>
    <cellStyle name="Normal 25 3 2" xfId="4781"/>
    <cellStyle name="Normal 25 3 2 2" xfId="10966"/>
    <cellStyle name="Normal 25 3 2 3" xfId="17146"/>
    <cellStyle name="Normal 25 3 3" xfId="4782"/>
    <cellStyle name="Normal 25 3 3 2" xfId="17147"/>
    <cellStyle name="Normal 25 3 4" xfId="10965"/>
    <cellStyle name="Normal 25 3 5" xfId="17145"/>
    <cellStyle name="Normal 25 4" xfId="4783"/>
    <cellStyle name="Normal 25 4 2" xfId="10967"/>
    <cellStyle name="Normal 25 4 3" xfId="17148"/>
    <cellStyle name="Normal 25 5" xfId="10961"/>
    <cellStyle name="Normal 25 6" xfId="17141"/>
    <cellStyle name="Normal 26" xfId="4784"/>
    <cellStyle name="Normal 26 2" xfId="4785"/>
    <cellStyle name="Normal 26 2 2" xfId="4786"/>
    <cellStyle name="Normal 26 2 2 2" xfId="10970"/>
    <cellStyle name="Normal 26 2 2 3" xfId="17151"/>
    <cellStyle name="Normal 26 2 3" xfId="4787"/>
    <cellStyle name="Normal 26 2 3 2" xfId="10971"/>
    <cellStyle name="Normal 26 2 3 3" xfId="17152"/>
    <cellStyle name="Normal 26 2 4" xfId="4788"/>
    <cellStyle name="Normal 26 2 4 2" xfId="17153"/>
    <cellStyle name="Normal 26 2 5" xfId="10969"/>
    <cellStyle name="Normal 26 2 6" xfId="17150"/>
    <cellStyle name="Normal 26 3" xfId="4789"/>
    <cellStyle name="Normal 26 3 2" xfId="10972"/>
    <cellStyle name="Normal 26 3 3" xfId="17154"/>
    <cellStyle name="Normal 26 4" xfId="4790"/>
    <cellStyle name="Normal 26 4 2" xfId="10973"/>
    <cellStyle name="Normal 26 4 3" xfId="17155"/>
    <cellStyle name="Normal 26 5" xfId="4791"/>
    <cellStyle name="Normal 26 5 2" xfId="17156"/>
    <cellStyle name="Normal 26 6" xfId="10968"/>
    <cellStyle name="Normal 26 7" xfId="17149"/>
    <cellStyle name="Normal 27" xfId="4792"/>
    <cellStyle name="Normal 27 2" xfId="4793"/>
    <cellStyle name="Normal 27 2 2" xfId="4794"/>
    <cellStyle name="Normal 27 2 2 2" xfId="4795"/>
    <cellStyle name="Normal 27 2 2 2 2" xfId="10977"/>
    <cellStyle name="Normal 27 2 2 2 3" xfId="17160"/>
    <cellStyle name="Normal 27 2 2 3" xfId="10976"/>
    <cellStyle name="Normal 27 2 2 4" xfId="17159"/>
    <cellStyle name="Normal 27 2 3" xfId="4796"/>
    <cellStyle name="Normal 27 2 3 2" xfId="17161"/>
    <cellStyle name="Normal 27 2 4" xfId="10975"/>
    <cellStyle name="Normal 27 2 5" xfId="17158"/>
    <cellStyle name="Normal 27 3" xfId="4797"/>
    <cellStyle name="Normal 27 3 2" xfId="4798"/>
    <cellStyle name="Normal 27 3 2 2" xfId="10979"/>
    <cellStyle name="Normal 27 3 2 3" xfId="17163"/>
    <cellStyle name="Normal 27 3 3" xfId="4799"/>
    <cellStyle name="Normal 27 3 3 2" xfId="10980"/>
    <cellStyle name="Normal 27 3 3 3" xfId="17164"/>
    <cellStyle name="Normal 27 3 4" xfId="4800"/>
    <cellStyle name="Normal 27 3 4 2" xfId="17165"/>
    <cellStyle name="Normal 27 3 5" xfId="10978"/>
    <cellStyle name="Normal 27 3 6" xfId="17162"/>
    <cellStyle name="Normal 27 4" xfId="4801"/>
    <cellStyle name="Normal 27 4 2" xfId="4802"/>
    <cellStyle name="Normal 27 4 2 2" xfId="17167"/>
    <cellStyle name="Normal 27 4 3" xfId="10981"/>
    <cellStyle name="Normal 27 4 4" xfId="17166"/>
    <cellStyle name="Normal 27 5" xfId="4803"/>
    <cellStyle name="Normal 27 5 2" xfId="10982"/>
    <cellStyle name="Normal 27 5 3" xfId="17168"/>
    <cellStyle name="Normal 27 6" xfId="10974"/>
    <cellStyle name="Normal 27 7" xfId="17157"/>
    <cellStyle name="Normal 28" xfId="4804"/>
    <cellStyle name="Normal 28 2" xfId="4805"/>
    <cellStyle name="Normal 28 2 2" xfId="4806"/>
    <cellStyle name="Normal 28 2 2 2" xfId="10985"/>
    <cellStyle name="Normal 28 2 2 3" xfId="17171"/>
    <cellStyle name="Normal 28 2 3" xfId="4807"/>
    <cellStyle name="Normal 28 2 3 2" xfId="10986"/>
    <cellStyle name="Normal 28 2 3 3" xfId="17172"/>
    <cellStyle name="Normal 28 2 4" xfId="10984"/>
    <cellStyle name="Normal 28 2 5" xfId="17170"/>
    <cellStyle name="Normal 28 3" xfId="4808"/>
    <cellStyle name="Normal 28 3 2" xfId="10987"/>
    <cellStyle name="Normal 28 3 3" xfId="17173"/>
    <cellStyle name="Normal 28 4" xfId="4809"/>
    <cellStyle name="Normal 28 4 2" xfId="10988"/>
    <cellStyle name="Normal 28 4 3" xfId="17174"/>
    <cellStyle name="Normal 28 5" xfId="4810"/>
    <cellStyle name="Normal 28 5 2" xfId="17175"/>
    <cellStyle name="Normal 28 6" xfId="10983"/>
    <cellStyle name="Normal 28 7" xfId="17169"/>
    <cellStyle name="Normal 29" xfId="4811"/>
    <cellStyle name="Normal 29 2" xfId="4812"/>
    <cellStyle name="Normal 29 2 2" xfId="4813"/>
    <cellStyle name="Normal 29 2 2 2" xfId="10991"/>
    <cellStyle name="Normal 29 2 2 3" xfId="17178"/>
    <cellStyle name="Normal 29 2 3" xfId="10990"/>
    <cellStyle name="Normal 29 2 4" xfId="17177"/>
    <cellStyle name="Normal 29 3" xfId="4814"/>
    <cellStyle name="Normal 29 3 2" xfId="10992"/>
    <cellStyle name="Normal 29 3 3" xfId="17179"/>
    <cellStyle name="Normal 29 4" xfId="4815"/>
    <cellStyle name="Normal 29 4 2" xfId="10993"/>
    <cellStyle name="Normal 29 4 3" xfId="17180"/>
    <cellStyle name="Normal 29 5" xfId="4816"/>
    <cellStyle name="Normal 29 5 2" xfId="17181"/>
    <cellStyle name="Normal 29 6" xfId="10989"/>
    <cellStyle name="Normal 29 7" xfId="17176"/>
    <cellStyle name="Normal 3" xfId="4817"/>
    <cellStyle name="Normal 3 10" xfId="15209"/>
    <cellStyle name="Normal 3 11" xfId="17182"/>
    <cellStyle name="Normal 3 2" xfId="4818"/>
    <cellStyle name="Normal 3 2 10" xfId="17183"/>
    <cellStyle name="Normal 3 2 2" xfId="4819"/>
    <cellStyle name="Normal 3 2 2 10" xfId="17184"/>
    <cellStyle name="Normal 3 2 2 2" xfId="4820"/>
    <cellStyle name="Normal 3 2 2 2 2" xfId="4821"/>
    <cellStyle name="Normal 3 2 2 2 2 2" xfId="4822"/>
    <cellStyle name="Normal 3 2 2 2 2 2 2" xfId="10999"/>
    <cellStyle name="Normal 3 2 2 2 2 2 3" xfId="17187"/>
    <cellStyle name="Normal 3 2 2 2 2 3" xfId="10998"/>
    <cellStyle name="Normal 3 2 2 2 2 4" xfId="17186"/>
    <cellStyle name="Normal 3 2 2 2 3" xfId="4823"/>
    <cellStyle name="Normal 3 2 2 2 3 2" xfId="4824"/>
    <cellStyle name="Normal 3 2 2 2 3 2 2" xfId="11001"/>
    <cellStyle name="Normal 3 2 2 2 3 2 3" xfId="17189"/>
    <cellStyle name="Normal 3 2 2 2 3 3" xfId="11000"/>
    <cellStyle name="Normal 3 2 2 2 3 4" xfId="17188"/>
    <cellStyle name="Normal 3 2 2 2 4" xfId="4825"/>
    <cellStyle name="Normal 3 2 2 2 4 2" xfId="11002"/>
    <cellStyle name="Normal 3 2 2 2 4 3" xfId="17190"/>
    <cellStyle name="Normal 3 2 2 2 5" xfId="10997"/>
    <cellStyle name="Normal 3 2 2 2 6" xfId="17185"/>
    <cellStyle name="Normal 3 2 2 3" xfId="4826"/>
    <cellStyle name="Normal 3 2 2 3 2" xfId="4827"/>
    <cellStyle name="Normal 3 2 2 3 2 2" xfId="11004"/>
    <cellStyle name="Normal 3 2 2 3 2 3" xfId="17192"/>
    <cellStyle name="Normal 3 2 2 3 3" xfId="4828"/>
    <cellStyle name="Normal 3 2 2 3 3 2" xfId="11005"/>
    <cellStyle name="Normal 3 2 2 3 3 3" xfId="17193"/>
    <cellStyle name="Normal 3 2 2 3 4" xfId="11003"/>
    <cellStyle name="Normal 3 2 2 3 5" xfId="17191"/>
    <cellStyle name="Normal 3 2 2 4" xfId="4829"/>
    <cellStyle name="Normal 3 2 2 4 2" xfId="4830"/>
    <cellStyle name="Normal 3 2 2 4 2 2" xfId="11007"/>
    <cellStyle name="Normal 3 2 2 4 2 3" xfId="17195"/>
    <cellStyle name="Normal 3 2 2 4 3" xfId="11006"/>
    <cellStyle name="Normal 3 2 2 4 4" xfId="17194"/>
    <cellStyle name="Normal 3 2 2 5" xfId="4831"/>
    <cellStyle name="Normal 3 2 2 5 2" xfId="11008"/>
    <cellStyle name="Normal 3 2 2 5 3" xfId="17196"/>
    <cellStyle name="Normal 3 2 2 6" xfId="4832"/>
    <cellStyle name="Normal 3 2 2 6 2" xfId="11009"/>
    <cellStyle name="Normal 3 2 2 6 3" xfId="17197"/>
    <cellStyle name="Normal 3 2 2 7" xfId="4833"/>
    <cellStyle name="Normal 3 2 2 7 2" xfId="11010"/>
    <cellStyle name="Normal 3 2 2 7 3" xfId="17198"/>
    <cellStyle name="Normal 3 2 2 8" xfId="4834"/>
    <cellStyle name="Normal 3 2 2 8 2" xfId="17199"/>
    <cellStyle name="Normal 3 2 2 9" xfId="10996"/>
    <cellStyle name="Normal 3 2 3" xfId="4835"/>
    <cellStyle name="Normal 3 2 3 2" xfId="4836"/>
    <cellStyle name="Normal 3 2 3 2 2" xfId="4837"/>
    <cellStyle name="Normal 3 2 3 2 2 2" xfId="11013"/>
    <cellStyle name="Normal 3 2 3 2 2 3" xfId="17202"/>
    <cellStyle name="Normal 3 2 3 2 3" xfId="11012"/>
    <cellStyle name="Normal 3 2 3 2 4" xfId="17201"/>
    <cellStyle name="Normal 3 2 3 3" xfId="4838"/>
    <cellStyle name="Normal 3 2 3 3 2" xfId="4839"/>
    <cellStyle name="Normal 3 2 3 3 2 2" xfId="11015"/>
    <cellStyle name="Normal 3 2 3 3 2 3" xfId="17204"/>
    <cellStyle name="Normal 3 2 3 3 3" xfId="11014"/>
    <cellStyle name="Normal 3 2 3 3 4" xfId="17203"/>
    <cellStyle name="Normal 3 2 3 4" xfId="4840"/>
    <cellStyle name="Normal 3 2 3 4 2" xfId="11016"/>
    <cellStyle name="Normal 3 2 3 4 3" xfId="17205"/>
    <cellStyle name="Normal 3 2 3 5" xfId="4841"/>
    <cellStyle name="Normal 3 2 3 5 2" xfId="11017"/>
    <cellStyle name="Normal 3 2 3 5 3" xfId="17206"/>
    <cellStyle name="Normal 3 2 3 6" xfId="11011"/>
    <cellStyle name="Normal 3 2 3 7" xfId="17200"/>
    <cellStyle name="Normal 3 2 4" xfId="4842"/>
    <cellStyle name="Normal 3 2 4 2" xfId="4843"/>
    <cellStyle name="Normal 3 2 4 2 2" xfId="11019"/>
    <cellStyle name="Normal 3 2 4 2 3" xfId="17208"/>
    <cellStyle name="Normal 3 2 4 3" xfId="4844"/>
    <cellStyle name="Normal 3 2 4 3 2" xfId="11020"/>
    <cellStyle name="Normal 3 2 4 3 3" xfId="17209"/>
    <cellStyle name="Normal 3 2 4 4" xfId="11018"/>
    <cellStyle name="Normal 3 2 4 5" xfId="17207"/>
    <cellStyle name="Normal 3 2 5" xfId="4845"/>
    <cellStyle name="Normal 3 2 5 2" xfId="4846"/>
    <cellStyle name="Normal 3 2 5 2 2" xfId="11022"/>
    <cellStyle name="Normal 3 2 5 2 3" xfId="17211"/>
    <cellStyle name="Normal 3 2 5 3" xfId="4847"/>
    <cellStyle name="Normal 3 2 5 3 2" xfId="11023"/>
    <cellStyle name="Normal 3 2 5 3 3" xfId="17212"/>
    <cellStyle name="Normal 3 2 5 4" xfId="11021"/>
    <cellStyle name="Normal 3 2 5 5" xfId="17210"/>
    <cellStyle name="Normal 3 2 6" xfId="4848"/>
    <cellStyle name="Normal 3 2 6 2" xfId="11024"/>
    <cellStyle name="Normal 3 2 6 3" xfId="17213"/>
    <cellStyle name="Normal 3 2 7" xfId="4849"/>
    <cellStyle name="Normal 3 2 7 2" xfId="11025"/>
    <cellStyle name="Normal 3 2 7 3" xfId="17214"/>
    <cellStyle name="Normal 3 2 8" xfId="4850"/>
    <cellStyle name="Normal 3 2 8 2" xfId="11026"/>
    <cellStyle name="Normal 3 2 8 3" xfId="17215"/>
    <cellStyle name="Normal 3 2 9" xfId="10995"/>
    <cellStyle name="Normal 3 3" xfId="4851"/>
    <cellStyle name="Normal 3 3 2" xfId="4852"/>
    <cellStyle name="Normal 3 3 2 2" xfId="4853"/>
    <cellStyle name="Normal 3 3 2 2 2" xfId="11029"/>
    <cellStyle name="Normal 3 3 2 2 3" xfId="17218"/>
    <cellStyle name="Normal 3 3 2 3" xfId="4854"/>
    <cellStyle name="Normal 3 3 2 3 2" xfId="17219"/>
    <cellStyle name="Normal 3 3 2 4" xfId="11028"/>
    <cellStyle name="Normal 3 3 2 5" xfId="17217"/>
    <cellStyle name="Normal 3 3 3" xfId="4855"/>
    <cellStyle name="Normal 3 3 3 2" xfId="4856"/>
    <cellStyle name="Normal 3 3 3 2 2" xfId="11031"/>
    <cellStyle name="Normal 3 3 3 2 3" xfId="17221"/>
    <cellStyle name="Normal 3 3 3 3" xfId="11030"/>
    <cellStyle name="Normal 3 3 3 4" xfId="17220"/>
    <cellStyle name="Normal 3 3 4" xfId="4857"/>
    <cellStyle name="Normal 3 3 4 2" xfId="4858"/>
    <cellStyle name="Normal 3 3 4 2 2" xfId="11033"/>
    <cellStyle name="Normal 3 3 4 2 3" xfId="17223"/>
    <cellStyle name="Normal 3 3 4 3" xfId="11032"/>
    <cellStyle name="Normal 3 3 4 4" xfId="17222"/>
    <cellStyle name="Normal 3 3 5" xfId="4859"/>
    <cellStyle name="Normal 3 3 5 2" xfId="11034"/>
    <cellStyle name="Normal 3 3 5 3" xfId="17224"/>
    <cellStyle name="Normal 3 3 6" xfId="11027"/>
    <cellStyle name="Normal 3 3 7" xfId="17216"/>
    <cellStyle name="Normal 3 4" xfId="4860"/>
    <cellStyle name="Normal 3 4 2" xfId="4861"/>
    <cellStyle name="Normal 3 4 2 2" xfId="11036"/>
    <cellStyle name="Normal 3 4 2 3" xfId="17226"/>
    <cellStyle name="Normal 3 4 3" xfId="4862"/>
    <cellStyle name="Normal 3 4 3 2" xfId="11037"/>
    <cellStyle name="Normal 3 4 3 3" xfId="17227"/>
    <cellStyle name="Normal 3 4 4" xfId="4863"/>
    <cellStyle name="Normal 3 4 4 2" xfId="11038"/>
    <cellStyle name="Normal 3 4 4 3" xfId="17228"/>
    <cellStyle name="Normal 3 4 5" xfId="4864"/>
    <cellStyle name="Normal 3 4 5 2" xfId="17229"/>
    <cellStyle name="Normal 3 4 6" xfId="11035"/>
    <cellStyle name="Normal 3 4 7" xfId="17225"/>
    <cellStyle name="Normal 3 5" xfId="4865"/>
    <cellStyle name="Normal 3 5 2" xfId="4866"/>
    <cellStyle name="Normal 3 5 2 2" xfId="11040"/>
    <cellStyle name="Normal 3 5 2 3" xfId="17231"/>
    <cellStyle name="Normal 3 5 3" xfId="4867"/>
    <cellStyle name="Normal 3 5 3 2" xfId="17232"/>
    <cellStyle name="Normal 3 5 4" xfId="11039"/>
    <cellStyle name="Normal 3 5 5" xfId="17230"/>
    <cellStyle name="Normal 3 6" xfId="4868"/>
    <cellStyle name="Normal 3 6 2" xfId="11041"/>
    <cellStyle name="Normal 3 6 3" xfId="17233"/>
    <cellStyle name="Normal 3 7" xfId="4869"/>
    <cellStyle name="Normal 3 7 2" xfId="11042"/>
    <cellStyle name="Normal 3 7 3" xfId="17234"/>
    <cellStyle name="Normal 3 8" xfId="10994"/>
    <cellStyle name="Normal 3 9" xfId="15202"/>
    <cellStyle name="Normal 3 9 2" xfId="22832"/>
    <cellStyle name="Normal 3_10051" xfId="4870"/>
    <cellStyle name="Normal 30" xfId="4871"/>
    <cellStyle name="Normal 30 2" xfId="4872"/>
    <cellStyle name="Normal 30 2 2" xfId="11044"/>
    <cellStyle name="Normal 30 2 3" xfId="17236"/>
    <cellStyle name="Normal 30 3" xfId="4873"/>
    <cellStyle name="Normal 30 3 2" xfId="11045"/>
    <cellStyle name="Normal 30 3 3" xfId="17237"/>
    <cellStyle name="Normal 30 4" xfId="4874"/>
    <cellStyle name="Normal 30 4 2" xfId="11046"/>
    <cellStyle name="Normal 30 4 3" xfId="17238"/>
    <cellStyle name="Normal 30 5" xfId="4875"/>
    <cellStyle name="Normal 30 5 2" xfId="17239"/>
    <cellStyle name="Normal 30 6" xfId="11043"/>
    <cellStyle name="Normal 30 7" xfId="17235"/>
    <cellStyle name="Normal 31" xfId="4876"/>
    <cellStyle name="Normal 31 10" xfId="11047"/>
    <cellStyle name="Normal 31 11" xfId="17240"/>
    <cellStyle name="Normal 31 2" xfId="4877"/>
    <cellStyle name="Normal 31 2 10" xfId="17241"/>
    <cellStyle name="Normal 31 2 2" xfId="4878"/>
    <cellStyle name="Normal 31 2 2 2" xfId="4879"/>
    <cellStyle name="Normal 31 2 2 2 2" xfId="4880"/>
    <cellStyle name="Normal 31 2 2 2 2 2" xfId="4881"/>
    <cellStyle name="Normal 31 2 2 2 2 2 2" xfId="4882"/>
    <cellStyle name="Normal 31 2 2 2 2 2 2 2" xfId="11053"/>
    <cellStyle name="Normal 31 2 2 2 2 2 2 3" xfId="17246"/>
    <cellStyle name="Normal 31 2 2 2 2 2 3" xfId="11052"/>
    <cellStyle name="Normal 31 2 2 2 2 2 4" xfId="17245"/>
    <cellStyle name="Normal 31 2 2 2 2 3" xfId="4883"/>
    <cellStyle name="Normal 31 2 2 2 2 3 2" xfId="4884"/>
    <cellStyle name="Normal 31 2 2 2 2 3 2 2" xfId="11055"/>
    <cellStyle name="Normal 31 2 2 2 2 3 2 3" xfId="17248"/>
    <cellStyle name="Normal 31 2 2 2 2 3 3" xfId="11054"/>
    <cellStyle name="Normal 31 2 2 2 2 3 4" xfId="17247"/>
    <cellStyle name="Normal 31 2 2 2 2 4" xfId="4885"/>
    <cellStyle name="Normal 31 2 2 2 2 4 2" xfId="11056"/>
    <cellStyle name="Normal 31 2 2 2 2 4 3" xfId="17249"/>
    <cellStyle name="Normal 31 2 2 2 2 5" xfId="11051"/>
    <cellStyle name="Normal 31 2 2 2 2 6" xfId="17244"/>
    <cellStyle name="Normal 31 2 2 2 3" xfId="4886"/>
    <cellStyle name="Normal 31 2 2 2 3 2" xfId="4887"/>
    <cellStyle name="Normal 31 2 2 2 3 2 2" xfId="11058"/>
    <cellStyle name="Normal 31 2 2 2 3 2 3" xfId="17251"/>
    <cellStyle name="Normal 31 2 2 2 3 3" xfId="11057"/>
    <cellStyle name="Normal 31 2 2 2 3 4" xfId="17250"/>
    <cellStyle name="Normal 31 2 2 2 4" xfId="4888"/>
    <cellStyle name="Normal 31 2 2 2 4 2" xfId="4889"/>
    <cellStyle name="Normal 31 2 2 2 4 2 2" xfId="11060"/>
    <cellStyle name="Normal 31 2 2 2 4 2 3" xfId="17253"/>
    <cellStyle name="Normal 31 2 2 2 4 3" xfId="11059"/>
    <cellStyle name="Normal 31 2 2 2 4 4" xfId="17252"/>
    <cellStyle name="Normal 31 2 2 2 5" xfId="4890"/>
    <cellStyle name="Normal 31 2 2 2 5 2" xfId="11061"/>
    <cellStyle name="Normal 31 2 2 2 5 3" xfId="17254"/>
    <cellStyle name="Normal 31 2 2 2 6" xfId="11050"/>
    <cellStyle name="Normal 31 2 2 2 7" xfId="17243"/>
    <cellStyle name="Normal 31 2 2 3" xfId="4891"/>
    <cellStyle name="Normal 31 2 2 3 2" xfId="4892"/>
    <cellStyle name="Normal 31 2 2 3 2 2" xfId="4893"/>
    <cellStyle name="Normal 31 2 2 3 2 2 2" xfId="11064"/>
    <cellStyle name="Normal 31 2 2 3 2 2 3" xfId="17257"/>
    <cellStyle name="Normal 31 2 2 3 2 3" xfId="11063"/>
    <cellStyle name="Normal 31 2 2 3 2 4" xfId="17256"/>
    <cellStyle name="Normal 31 2 2 3 3" xfId="4894"/>
    <cellStyle name="Normal 31 2 2 3 3 2" xfId="4895"/>
    <cellStyle name="Normal 31 2 2 3 3 2 2" xfId="11066"/>
    <cellStyle name="Normal 31 2 2 3 3 2 3" xfId="17259"/>
    <cellStyle name="Normal 31 2 2 3 3 3" xfId="11065"/>
    <cellStyle name="Normal 31 2 2 3 3 4" xfId="17258"/>
    <cellStyle name="Normal 31 2 2 3 4" xfId="4896"/>
    <cellStyle name="Normal 31 2 2 3 4 2" xfId="11067"/>
    <cellStyle name="Normal 31 2 2 3 4 3" xfId="17260"/>
    <cellStyle name="Normal 31 2 2 3 5" xfId="11062"/>
    <cellStyle name="Normal 31 2 2 3 6" xfId="17255"/>
    <cellStyle name="Normal 31 2 2 4" xfId="4897"/>
    <cellStyle name="Normal 31 2 2 4 2" xfId="4898"/>
    <cellStyle name="Normal 31 2 2 4 2 2" xfId="11069"/>
    <cellStyle name="Normal 31 2 2 4 2 3" xfId="17262"/>
    <cellStyle name="Normal 31 2 2 4 3" xfId="11068"/>
    <cellStyle name="Normal 31 2 2 4 4" xfId="17261"/>
    <cellStyle name="Normal 31 2 2 5" xfId="4899"/>
    <cellStyle name="Normal 31 2 2 5 2" xfId="4900"/>
    <cellStyle name="Normal 31 2 2 5 2 2" xfId="11071"/>
    <cellStyle name="Normal 31 2 2 5 2 3" xfId="17264"/>
    <cellStyle name="Normal 31 2 2 5 3" xfId="11070"/>
    <cellStyle name="Normal 31 2 2 5 4" xfId="17263"/>
    <cellStyle name="Normal 31 2 2 6" xfId="4901"/>
    <cellStyle name="Normal 31 2 2 6 2" xfId="11072"/>
    <cellStyle name="Normal 31 2 2 6 3" xfId="17265"/>
    <cellStyle name="Normal 31 2 2 7" xfId="11049"/>
    <cellStyle name="Normal 31 2 2 8" xfId="17242"/>
    <cellStyle name="Normal 31 2 3" xfId="4902"/>
    <cellStyle name="Normal 31 2 3 2" xfId="4903"/>
    <cellStyle name="Normal 31 2 3 2 2" xfId="4904"/>
    <cellStyle name="Normal 31 2 3 2 2 2" xfId="4905"/>
    <cellStyle name="Normal 31 2 3 2 2 2 2" xfId="11076"/>
    <cellStyle name="Normal 31 2 3 2 2 2 3" xfId="17269"/>
    <cellStyle name="Normal 31 2 3 2 2 3" xfId="11075"/>
    <cellStyle name="Normal 31 2 3 2 2 4" xfId="17268"/>
    <cellStyle name="Normal 31 2 3 2 3" xfId="4906"/>
    <cellStyle name="Normal 31 2 3 2 3 2" xfId="4907"/>
    <cellStyle name="Normal 31 2 3 2 3 2 2" xfId="11078"/>
    <cellStyle name="Normal 31 2 3 2 3 2 3" xfId="17271"/>
    <cellStyle name="Normal 31 2 3 2 3 3" xfId="11077"/>
    <cellStyle name="Normal 31 2 3 2 3 4" xfId="17270"/>
    <cellStyle name="Normal 31 2 3 2 4" xfId="4908"/>
    <cellStyle name="Normal 31 2 3 2 4 2" xfId="11079"/>
    <cellStyle name="Normal 31 2 3 2 4 3" xfId="17272"/>
    <cellStyle name="Normal 31 2 3 2 5" xfId="11074"/>
    <cellStyle name="Normal 31 2 3 2 6" xfId="17267"/>
    <cellStyle name="Normal 31 2 3 3" xfId="4909"/>
    <cellStyle name="Normal 31 2 3 3 2" xfId="4910"/>
    <cellStyle name="Normal 31 2 3 3 2 2" xfId="11081"/>
    <cellStyle name="Normal 31 2 3 3 2 3" xfId="17274"/>
    <cellStyle name="Normal 31 2 3 3 3" xfId="11080"/>
    <cellStyle name="Normal 31 2 3 3 4" xfId="17273"/>
    <cellStyle name="Normal 31 2 3 4" xfId="4911"/>
    <cellStyle name="Normal 31 2 3 4 2" xfId="4912"/>
    <cellStyle name="Normal 31 2 3 4 2 2" xfId="11083"/>
    <cellStyle name="Normal 31 2 3 4 2 3" xfId="17276"/>
    <cellStyle name="Normal 31 2 3 4 3" xfId="11082"/>
    <cellStyle name="Normal 31 2 3 4 4" xfId="17275"/>
    <cellStyle name="Normal 31 2 3 5" xfId="4913"/>
    <cellStyle name="Normal 31 2 3 5 2" xfId="11084"/>
    <cellStyle name="Normal 31 2 3 5 3" xfId="17277"/>
    <cellStyle name="Normal 31 2 3 6" xfId="11073"/>
    <cellStyle name="Normal 31 2 3 7" xfId="17266"/>
    <cellStyle name="Normal 31 2 4" xfId="4914"/>
    <cellStyle name="Normal 31 2 4 2" xfId="4915"/>
    <cellStyle name="Normal 31 2 4 2 2" xfId="4916"/>
    <cellStyle name="Normal 31 2 4 2 2 2" xfId="11087"/>
    <cellStyle name="Normal 31 2 4 2 2 3" xfId="17280"/>
    <cellStyle name="Normal 31 2 4 2 3" xfId="11086"/>
    <cellStyle name="Normal 31 2 4 2 4" xfId="17279"/>
    <cellStyle name="Normal 31 2 4 3" xfId="4917"/>
    <cellStyle name="Normal 31 2 4 3 2" xfId="4918"/>
    <cellStyle name="Normal 31 2 4 3 2 2" xfId="11089"/>
    <cellStyle name="Normal 31 2 4 3 2 3" xfId="17282"/>
    <cellStyle name="Normal 31 2 4 3 3" xfId="11088"/>
    <cellStyle name="Normal 31 2 4 3 4" xfId="17281"/>
    <cellStyle name="Normal 31 2 4 4" xfId="4919"/>
    <cellStyle name="Normal 31 2 4 4 2" xfId="11090"/>
    <cellStyle name="Normal 31 2 4 4 3" xfId="17283"/>
    <cellStyle name="Normal 31 2 4 5" xfId="11085"/>
    <cellStyle name="Normal 31 2 4 6" xfId="17278"/>
    <cellStyle name="Normal 31 2 5" xfId="4920"/>
    <cellStyle name="Normal 31 2 5 2" xfId="4921"/>
    <cellStyle name="Normal 31 2 5 2 2" xfId="11092"/>
    <cellStyle name="Normal 31 2 5 2 3" xfId="17285"/>
    <cellStyle name="Normal 31 2 5 3" xfId="11091"/>
    <cellStyle name="Normal 31 2 5 4" xfId="17284"/>
    <cellStyle name="Normal 31 2 6" xfId="4922"/>
    <cellStyle name="Normal 31 2 6 2" xfId="4923"/>
    <cellStyle name="Normal 31 2 6 2 2" xfId="11094"/>
    <cellStyle name="Normal 31 2 6 2 3" xfId="17287"/>
    <cellStyle name="Normal 31 2 6 3" xfId="11093"/>
    <cellStyle name="Normal 31 2 6 4" xfId="17286"/>
    <cellStyle name="Normal 31 2 7" xfId="4924"/>
    <cellStyle name="Normal 31 2 7 2" xfId="11095"/>
    <cellStyle name="Normal 31 2 7 3" xfId="17288"/>
    <cellStyle name="Normal 31 2 8" xfId="4925"/>
    <cellStyle name="Normal 31 2 8 2" xfId="17289"/>
    <cellStyle name="Normal 31 2 9" xfId="11048"/>
    <cellStyle name="Normal 31 3" xfId="4926"/>
    <cellStyle name="Normal 31 3 2" xfId="4927"/>
    <cellStyle name="Normal 31 3 2 2" xfId="4928"/>
    <cellStyle name="Normal 31 3 2 2 2" xfId="4929"/>
    <cellStyle name="Normal 31 3 2 2 2 2" xfId="4930"/>
    <cellStyle name="Normal 31 3 2 2 2 2 2" xfId="11100"/>
    <cellStyle name="Normal 31 3 2 2 2 2 3" xfId="17294"/>
    <cellStyle name="Normal 31 3 2 2 2 3" xfId="11099"/>
    <cellStyle name="Normal 31 3 2 2 2 4" xfId="17293"/>
    <cellStyle name="Normal 31 3 2 2 3" xfId="4931"/>
    <cellStyle name="Normal 31 3 2 2 3 2" xfId="4932"/>
    <cellStyle name="Normal 31 3 2 2 3 2 2" xfId="11102"/>
    <cellStyle name="Normal 31 3 2 2 3 2 3" xfId="17296"/>
    <cellStyle name="Normal 31 3 2 2 3 3" xfId="11101"/>
    <cellStyle name="Normal 31 3 2 2 3 4" xfId="17295"/>
    <cellStyle name="Normal 31 3 2 2 4" xfId="4933"/>
    <cellStyle name="Normal 31 3 2 2 4 2" xfId="11103"/>
    <cellStyle name="Normal 31 3 2 2 4 3" xfId="17297"/>
    <cellStyle name="Normal 31 3 2 2 5" xfId="11098"/>
    <cellStyle name="Normal 31 3 2 2 6" xfId="17292"/>
    <cellStyle name="Normal 31 3 2 3" xfId="4934"/>
    <cellStyle name="Normal 31 3 2 3 2" xfId="4935"/>
    <cellStyle name="Normal 31 3 2 3 2 2" xfId="11105"/>
    <cellStyle name="Normal 31 3 2 3 2 3" xfId="17299"/>
    <cellStyle name="Normal 31 3 2 3 3" xfId="11104"/>
    <cellStyle name="Normal 31 3 2 3 4" xfId="17298"/>
    <cellStyle name="Normal 31 3 2 4" xfId="4936"/>
    <cellStyle name="Normal 31 3 2 4 2" xfId="4937"/>
    <cellStyle name="Normal 31 3 2 4 2 2" xfId="11107"/>
    <cellStyle name="Normal 31 3 2 4 2 3" xfId="17301"/>
    <cellStyle name="Normal 31 3 2 4 3" xfId="11106"/>
    <cellStyle name="Normal 31 3 2 4 4" xfId="17300"/>
    <cellStyle name="Normal 31 3 2 5" xfId="4938"/>
    <cellStyle name="Normal 31 3 2 5 2" xfId="11108"/>
    <cellStyle name="Normal 31 3 2 5 3" xfId="17302"/>
    <cellStyle name="Normal 31 3 2 6" xfId="11097"/>
    <cellStyle name="Normal 31 3 2 7" xfId="17291"/>
    <cellStyle name="Normal 31 3 3" xfId="4939"/>
    <cellStyle name="Normal 31 3 3 2" xfId="4940"/>
    <cellStyle name="Normal 31 3 3 2 2" xfId="4941"/>
    <cellStyle name="Normal 31 3 3 2 2 2" xfId="11111"/>
    <cellStyle name="Normal 31 3 3 2 2 3" xfId="17305"/>
    <cellStyle name="Normal 31 3 3 2 3" xfId="11110"/>
    <cellStyle name="Normal 31 3 3 2 4" xfId="17304"/>
    <cellStyle name="Normal 31 3 3 3" xfId="4942"/>
    <cellStyle name="Normal 31 3 3 3 2" xfId="4943"/>
    <cellStyle name="Normal 31 3 3 3 2 2" xfId="11113"/>
    <cellStyle name="Normal 31 3 3 3 2 3" xfId="17307"/>
    <cellStyle name="Normal 31 3 3 3 3" xfId="11112"/>
    <cellStyle name="Normal 31 3 3 3 4" xfId="17306"/>
    <cellStyle name="Normal 31 3 3 4" xfId="4944"/>
    <cellStyle name="Normal 31 3 3 4 2" xfId="11114"/>
    <cellStyle name="Normal 31 3 3 4 3" xfId="17308"/>
    <cellStyle name="Normal 31 3 3 5" xfId="11109"/>
    <cellStyle name="Normal 31 3 3 6" xfId="17303"/>
    <cellStyle name="Normal 31 3 4" xfId="4945"/>
    <cellStyle name="Normal 31 3 4 2" xfId="4946"/>
    <cellStyle name="Normal 31 3 4 2 2" xfId="11116"/>
    <cellStyle name="Normal 31 3 4 2 3" xfId="17310"/>
    <cellStyle name="Normal 31 3 4 3" xfId="11115"/>
    <cellStyle name="Normal 31 3 4 4" xfId="17309"/>
    <cellStyle name="Normal 31 3 5" xfId="4947"/>
    <cellStyle name="Normal 31 3 5 2" xfId="4948"/>
    <cellStyle name="Normal 31 3 5 2 2" xfId="11118"/>
    <cellStyle name="Normal 31 3 5 2 3" xfId="17312"/>
    <cellStyle name="Normal 31 3 5 3" xfId="11117"/>
    <cellStyle name="Normal 31 3 5 4" xfId="17311"/>
    <cellStyle name="Normal 31 3 6" xfId="4949"/>
    <cellStyle name="Normal 31 3 6 2" xfId="11119"/>
    <cellStyle name="Normal 31 3 6 3" xfId="17313"/>
    <cellStyle name="Normal 31 3 7" xfId="11096"/>
    <cellStyle name="Normal 31 3 8" xfId="17290"/>
    <cellStyle name="Normal 31 4" xfId="4950"/>
    <cellStyle name="Normal 31 4 2" xfId="4951"/>
    <cellStyle name="Normal 31 4 2 2" xfId="4952"/>
    <cellStyle name="Normal 31 4 2 2 2" xfId="4953"/>
    <cellStyle name="Normal 31 4 2 2 2 2" xfId="11123"/>
    <cellStyle name="Normal 31 4 2 2 2 3" xfId="17317"/>
    <cellStyle name="Normal 31 4 2 2 3" xfId="11122"/>
    <cellStyle name="Normal 31 4 2 2 4" xfId="17316"/>
    <cellStyle name="Normal 31 4 2 3" xfId="4954"/>
    <cellStyle name="Normal 31 4 2 3 2" xfId="4955"/>
    <cellStyle name="Normal 31 4 2 3 2 2" xfId="11125"/>
    <cellStyle name="Normal 31 4 2 3 2 3" xfId="17319"/>
    <cellStyle name="Normal 31 4 2 3 3" xfId="11124"/>
    <cellStyle name="Normal 31 4 2 3 4" xfId="17318"/>
    <cellStyle name="Normal 31 4 2 4" xfId="4956"/>
    <cellStyle name="Normal 31 4 2 4 2" xfId="11126"/>
    <cellStyle name="Normal 31 4 2 4 3" xfId="17320"/>
    <cellStyle name="Normal 31 4 2 5" xfId="11121"/>
    <cellStyle name="Normal 31 4 2 6" xfId="17315"/>
    <cellStyle name="Normal 31 4 3" xfId="4957"/>
    <cellStyle name="Normal 31 4 3 2" xfId="4958"/>
    <cellStyle name="Normal 31 4 3 2 2" xfId="11128"/>
    <cellStyle name="Normal 31 4 3 2 3" xfId="17322"/>
    <cellStyle name="Normal 31 4 3 3" xfId="11127"/>
    <cellStyle name="Normal 31 4 3 4" xfId="17321"/>
    <cellStyle name="Normal 31 4 4" xfId="4959"/>
    <cellStyle name="Normal 31 4 4 2" xfId="4960"/>
    <cellStyle name="Normal 31 4 4 2 2" xfId="11130"/>
    <cellStyle name="Normal 31 4 4 2 3" xfId="17324"/>
    <cellStyle name="Normal 31 4 4 3" xfId="11129"/>
    <cellStyle name="Normal 31 4 4 4" xfId="17323"/>
    <cellStyle name="Normal 31 4 5" xfId="4961"/>
    <cellStyle name="Normal 31 4 5 2" xfId="11131"/>
    <cellStyle name="Normal 31 4 5 3" xfId="17325"/>
    <cellStyle name="Normal 31 4 6" xfId="11120"/>
    <cellStyle name="Normal 31 4 7" xfId="17314"/>
    <cellStyle name="Normal 31 5" xfId="4962"/>
    <cellStyle name="Normal 31 5 2" xfId="4963"/>
    <cellStyle name="Normal 31 5 2 2" xfId="4964"/>
    <cellStyle name="Normal 31 5 2 2 2" xfId="11134"/>
    <cellStyle name="Normal 31 5 2 2 3" xfId="17328"/>
    <cellStyle name="Normal 31 5 2 3" xfId="11133"/>
    <cellStyle name="Normal 31 5 2 4" xfId="17327"/>
    <cellStyle name="Normal 31 5 3" xfId="4965"/>
    <cellStyle name="Normal 31 5 3 2" xfId="4966"/>
    <cellStyle name="Normal 31 5 3 2 2" xfId="11136"/>
    <cellStyle name="Normal 31 5 3 2 3" xfId="17330"/>
    <cellStyle name="Normal 31 5 3 3" xfId="11135"/>
    <cellStyle name="Normal 31 5 3 4" xfId="17329"/>
    <cellStyle name="Normal 31 5 4" xfId="4967"/>
    <cellStyle name="Normal 31 5 4 2" xfId="11137"/>
    <cellStyle name="Normal 31 5 4 3" xfId="17331"/>
    <cellStyle name="Normal 31 5 5" xfId="11132"/>
    <cellStyle name="Normal 31 5 6" xfId="17326"/>
    <cellStyle name="Normal 31 6" xfId="4968"/>
    <cellStyle name="Normal 31 6 2" xfId="4969"/>
    <cellStyle name="Normal 31 6 2 2" xfId="11139"/>
    <cellStyle name="Normal 31 6 2 3" xfId="17333"/>
    <cellStyle name="Normal 31 6 3" xfId="11138"/>
    <cellStyle name="Normal 31 6 4" xfId="17332"/>
    <cellStyle name="Normal 31 7" xfId="4970"/>
    <cellStyle name="Normal 31 7 2" xfId="4971"/>
    <cellStyle name="Normal 31 7 2 2" xfId="11141"/>
    <cellStyle name="Normal 31 7 2 3" xfId="17335"/>
    <cellStyle name="Normal 31 7 3" xfId="11140"/>
    <cellStyle name="Normal 31 7 4" xfId="17334"/>
    <cellStyle name="Normal 31 8" xfId="4972"/>
    <cellStyle name="Normal 31 8 2" xfId="11142"/>
    <cellStyle name="Normal 31 8 3" xfId="17336"/>
    <cellStyle name="Normal 31 9" xfId="4973"/>
    <cellStyle name="Normal 31 9 2" xfId="17337"/>
    <cellStyle name="Normal 32" xfId="4974"/>
    <cellStyle name="Normal 32 10" xfId="11143"/>
    <cellStyle name="Normal 32 11" xfId="17338"/>
    <cellStyle name="Normal 32 2" xfId="4975"/>
    <cellStyle name="Normal 32 2 2" xfId="4976"/>
    <cellStyle name="Normal 32 2 2 2" xfId="4977"/>
    <cellStyle name="Normal 32 2 2 2 2" xfId="4978"/>
    <cellStyle name="Normal 32 2 2 2 2 2" xfId="4979"/>
    <cellStyle name="Normal 32 2 2 2 2 2 2" xfId="4980"/>
    <cellStyle name="Normal 32 2 2 2 2 2 2 2" xfId="11149"/>
    <cellStyle name="Normal 32 2 2 2 2 2 2 3" xfId="17344"/>
    <cellStyle name="Normal 32 2 2 2 2 2 3" xfId="11148"/>
    <cellStyle name="Normal 32 2 2 2 2 2 4" xfId="17343"/>
    <cellStyle name="Normal 32 2 2 2 2 3" xfId="4981"/>
    <cellStyle name="Normal 32 2 2 2 2 3 2" xfId="4982"/>
    <cellStyle name="Normal 32 2 2 2 2 3 2 2" xfId="11151"/>
    <cellStyle name="Normal 32 2 2 2 2 3 2 3" xfId="17346"/>
    <cellStyle name="Normal 32 2 2 2 2 3 3" xfId="11150"/>
    <cellStyle name="Normal 32 2 2 2 2 3 4" xfId="17345"/>
    <cellStyle name="Normal 32 2 2 2 2 4" xfId="4983"/>
    <cellStyle name="Normal 32 2 2 2 2 4 2" xfId="11152"/>
    <cellStyle name="Normal 32 2 2 2 2 4 3" xfId="17347"/>
    <cellStyle name="Normal 32 2 2 2 2 5" xfId="11147"/>
    <cellStyle name="Normal 32 2 2 2 2 6" xfId="17342"/>
    <cellStyle name="Normal 32 2 2 2 3" xfId="4984"/>
    <cellStyle name="Normal 32 2 2 2 3 2" xfId="4985"/>
    <cellStyle name="Normal 32 2 2 2 3 2 2" xfId="11154"/>
    <cellStyle name="Normal 32 2 2 2 3 2 3" xfId="17349"/>
    <cellStyle name="Normal 32 2 2 2 3 3" xfId="11153"/>
    <cellStyle name="Normal 32 2 2 2 3 4" xfId="17348"/>
    <cellStyle name="Normal 32 2 2 2 4" xfId="4986"/>
    <cellStyle name="Normal 32 2 2 2 4 2" xfId="4987"/>
    <cellStyle name="Normal 32 2 2 2 4 2 2" xfId="11156"/>
    <cellStyle name="Normal 32 2 2 2 4 2 3" xfId="17351"/>
    <cellStyle name="Normal 32 2 2 2 4 3" xfId="11155"/>
    <cellStyle name="Normal 32 2 2 2 4 4" xfId="17350"/>
    <cellStyle name="Normal 32 2 2 2 5" xfId="4988"/>
    <cellStyle name="Normal 32 2 2 2 5 2" xfId="11157"/>
    <cellStyle name="Normal 32 2 2 2 5 3" xfId="17352"/>
    <cellStyle name="Normal 32 2 2 2 6" xfId="11146"/>
    <cellStyle name="Normal 32 2 2 2 7" xfId="17341"/>
    <cellStyle name="Normal 32 2 2 3" xfId="4989"/>
    <cellStyle name="Normal 32 2 2 3 2" xfId="4990"/>
    <cellStyle name="Normal 32 2 2 3 2 2" xfId="4991"/>
    <cellStyle name="Normal 32 2 2 3 2 2 2" xfId="11160"/>
    <cellStyle name="Normal 32 2 2 3 2 2 3" xfId="17355"/>
    <cellStyle name="Normal 32 2 2 3 2 3" xfId="11159"/>
    <cellStyle name="Normal 32 2 2 3 2 4" xfId="17354"/>
    <cellStyle name="Normal 32 2 2 3 3" xfId="4992"/>
    <cellStyle name="Normal 32 2 2 3 3 2" xfId="4993"/>
    <cellStyle name="Normal 32 2 2 3 3 2 2" xfId="11162"/>
    <cellStyle name="Normal 32 2 2 3 3 2 3" xfId="17357"/>
    <cellStyle name="Normal 32 2 2 3 3 3" xfId="11161"/>
    <cellStyle name="Normal 32 2 2 3 3 4" xfId="17356"/>
    <cellStyle name="Normal 32 2 2 3 4" xfId="4994"/>
    <cellStyle name="Normal 32 2 2 3 4 2" xfId="11163"/>
    <cellStyle name="Normal 32 2 2 3 4 3" xfId="17358"/>
    <cellStyle name="Normal 32 2 2 3 5" xfId="11158"/>
    <cellStyle name="Normal 32 2 2 3 6" xfId="17353"/>
    <cellStyle name="Normal 32 2 2 4" xfId="4995"/>
    <cellStyle name="Normal 32 2 2 4 2" xfId="4996"/>
    <cellStyle name="Normal 32 2 2 4 2 2" xfId="11165"/>
    <cellStyle name="Normal 32 2 2 4 2 3" xfId="17360"/>
    <cellStyle name="Normal 32 2 2 4 3" xfId="11164"/>
    <cellStyle name="Normal 32 2 2 4 4" xfId="17359"/>
    <cellStyle name="Normal 32 2 2 5" xfId="4997"/>
    <cellStyle name="Normal 32 2 2 5 2" xfId="4998"/>
    <cellStyle name="Normal 32 2 2 5 2 2" xfId="11167"/>
    <cellStyle name="Normal 32 2 2 5 2 3" xfId="17362"/>
    <cellStyle name="Normal 32 2 2 5 3" xfId="11166"/>
    <cellStyle name="Normal 32 2 2 5 4" xfId="17361"/>
    <cellStyle name="Normal 32 2 2 6" xfId="4999"/>
    <cellStyle name="Normal 32 2 2 6 2" xfId="11168"/>
    <cellStyle name="Normal 32 2 2 6 3" xfId="17363"/>
    <cellStyle name="Normal 32 2 2 7" xfId="11145"/>
    <cellStyle name="Normal 32 2 2 8" xfId="17340"/>
    <cellStyle name="Normal 32 2 3" xfId="5000"/>
    <cellStyle name="Normal 32 2 3 2" xfId="5001"/>
    <cellStyle name="Normal 32 2 3 2 2" xfId="5002"/>
    <cellStyle name="Normal 32 2 3 2 2 2" xfId="5003"/>
    <cellStyle name="Normal 32 2 3 2 2 2 2" xfId="11172"/>
    <cellStyle name="Normal 32 2 3 2 2 2 3" xfId="17367"/>
    <cellStyle name="Normal 32 2 3 2 2 3" xfId="11171"/>
    <cellStyle name="Normal 32 2 3 2 2 4" xfId="17366"/>
    <cellStyle name="Normal 32 2 3 2 3" xfId="5004"/>
    <cellStyle name="Normal 32 2 3 2 3 2" xfId="5005"/>
    <cellStyle name="Normal 32 2 3 2 3 2 2" xfId="11174"/>
    <cellStyle name="Normal 32 2 3 2 3 2 3" xfId="17369"/>
    <cellStyle name="Normal 32 2 3 2 3 3" xfId="11173"/>
    <cellStyle name="Normal 32 2 3 2 3 4" xfId="17368"/>
    <cellStyle name="Normal 32 2 3 2 4" xfId="5006"/>
    <cellStyle name="Normal 32 2 3 2 4 2" xfId="11175"/>
    <cellStyle name="Normal 32 2 3 2 4 3" xfId="17370"/>
    <cellStyle name="Normal 32 2 3 2 5" xfId="11170"/>
    <cellStyle name="Normal 32 2 3 2 6" xfId="17365"/>
    <cellStyle name="Normal 32 2 3 3" xfId="5007"/>
    <cellStyle name="Normal 32 2 3 3 2" xfId="5008"/>
    <cellStyle name="Normal 32 2 3 3 2 2" xfId="11177"/>
    <cellStyle name="Normal 32 2 3 3 2 3" xfId="17372"/>
    <cellStyle name="Normal 32 2 3 3 3" xfId="11176"/>
    <cellStyle name="Normal 32 2 3 3 4" xfId="17371"/>
    <cellStyle name="Normal 32 2 3 4" xfId="5009"/>
    <cellStyle name="Normal 32 2 3 4 2" xfId="5010"/>
    <cellStyle name="Normal 32 2 3 4 2 2" xfId="11179"/>
    <cellStyle name="Normal 32 2 3 4 2 3" xfId="17374"/>
    <cellStyle name="Normal 32 2 3 4 3" xfId="11178"/>
    <cellStyle name="Normal 32 2 3 4 4" xfId="17373"/>
    <cellStyle name="Normal 32 2 3 5" xfId="5011"/>
    <cellStyle name="Normal 32 2 3 5 2" xfId="11180"/>
    <cellStyle name="Normal 32 2 3 5 3" xfId="17375"/>
    <cellStyle name="Normal 32 2 3 6" xfId="11169"/>
    <cellStyle name="Normal 32 2 3 7" xfId="17364"/>
    <cellStyle name="Normal 32 2 4" xfId="5012"/>
    <cellStyle name="Normal 32 2 4 2" xfId="5013"/>
    <cellStyle name="Normal 32 2 4 2 2" xfId="5014"/>
    <cellStyle name="Normal 32 2 4 2 2 2" xfId="11183"/>
    <cellStyle name="Normal 32 2 4 2 2 3" xfId="17378"/>
    <cellStyle name="Normal 32 2 4 2 3" xfId="11182"/>
    <cellStyle name="Normal 32 2 4 2 4" xfId="17377"/>
    <cellStyle name="Normal 32 2 4 3" xfId="5015"/>
    <cellStyle name="Normal 32 2 4 3 2" xfId="5016"/>
    <cellStyle name="Normal 32 2 4 3 2 2" xfId="11185"/>
    <cellStyle name="Normal 32 2 4 3 2 3" xfId="17380"/>
    <cellStyle name="Normal 32 2 4 3 3" xfId="11184"/>
    <cellStyle name="Normal 32 2 4 3 4" xfId="17379"/>
    <cellStyle name="Normal 32 2 4 4" xfId="5017"/>
    <cellStyle name="Normal 32 2 4 4 2" xfId="11186"/>
    <cellStyle name="Normal 32 2 4 4 3" xfId="17381"/>
    <cellStyle name="Normal 32 2 4 5" xfId="11181"/>
    <cellStyle name="Normal 32 2 4 6" xfId="17376"/>
    <cellStyle name="Normal 32 2 5" xfId="5018"/>
    <cellStyle name="Normal 32 2 5 2" xfId="5019"/>
    <cellStyle name="Normal 32 2 5 2 2" xfId="11188"/>
    <cellStyle name="Normal 32 2 5 2 3" xfId="17383"/>
    <cellStyle name="Normal 32 2 5 3" xfId="11187"/>
    <cellStyle name="Normal 32 2 5 4" xfId="17382"/>
    <cellStyle name="Normal 32 2 6" xfId="5020"/>
    <cellStyle name="Normal 32 2 6 2" xfId="5021"/>
    <cellStyle name="Normal 32 2 6 2 2" xfId="11190"/>
    <cellStyle name="Normal 32 2 6 2 3" xfId="17385"/>
    <cellStyle name="Normal 32 2 6 3" xfId="11189"/>
    <cellStyle name="Normal 32 2 6 4" xfId="17384"/>
    <cellStyle name="Normal 32 2 7" xfId="5022"/>
    <cellStyle name="Normal 32 2 7 2" xfId="11191"/>
    <cellStyle name="Normal 32 2 7 3" xfId="17386"/>
    <cellStyle name="Normal 32 2 8" xfId="11144"/>
    <cellStyle name="Normal 32 2 9" xfId="17339"/>
    <cellStyle name="Normal 32 3" xfId="5023"/>
    <cellStyle name="Normal 32 3 2" xfId="5024"/>
    <cellStyle name="Normal 32 3 2 2" xfId="5025"/>
    <cellStyle name="Normal 32 3 2 2 2" xfId="5026"/>
    <cellStyle name="Normal 32 3 2 2 2 2" xfId="5027"/>
    <cellStyle name="Normal 32 3 2 2 2 2 2" xfId="11196"/>
    <cellStyle name="Normal 32 3 2 2 2 2 3" xfId="17391"/>
    <cellStyle name="Normal 32 3 2 2 2 3" xfId="11195"/>
    <cellStyle name="Normal 32 3 2 2 2 4" xfId="17390"/>
    <cellStyle name="Normal 32 3 2 2 3" xfId="5028"/>
    <cellStyle name="Normal 32 3 2 2 3 2" xfId="5029"/>
    <cellStyle name="Normal 32 3 2 2 3 2 2" xfId="11198"/>
    <cellStyle name="Normal 32 3 2 2 3 2 3" xfId="17393"/>
    <cellStyle name="Normal 32 3 2 2 3 3" xfId="11197"/>
    <cellStyle name="Normal 32 3 2 2 3 4" xfId="17392"/>
    <cellStyle name="Normal 32 3 2 2 4" xfId="5030"/>
    <cellStyle name="Normal 32 3 2 2 4 2" xfId="11199"/>
    <cellStyle name="Normal 32 3 2 2 4 3" xfId="17394"/>
    <cellStyle name="Normal 32 3 2 2 5" xfId="11194"/>
    <cellStyle name="Normal 32 3 2 2 6" xfId="17389"/>
    <cellStyle name="Normal 32 3 2 3" xfId="5031"/>
    <cellStyle name="Normal 32 3 2 3 2" xfId="5032"/>
    <cellStyle name="Normal 32 3 2 3 2 2" xfId="11201"/>
    <cellStyle name="Normal 32 3 2 3 2 3" xfId="17396"/>
    <cellStyle name="Normal 32 3 2 3 3" xfId="11200"/>
    <cellStyle name="Normal 32 3 2 3 4" xfId="17395"/>
    <cellStyle name="Normal 32 3 2 4" xfId="5033"/>
    <cellStyle name="Normal 32 3 2 4 2" xfId="5034"/>
    <cellStyle name="Normal 32 3 2 4 2 2" xfId="11203"/>
    <cellStyle name="Normal 32 3 2 4 2 3" xfId="17398"/>
    <cellStyle name="Normal 32 3 2 4 3" xfId="11202"/>
    <cellStyle name="Normal 32 3 2 4 4" xfId="17397"/>
    <cellStyle name="Normal 32 3 2 5" xfId="5035"/>
    <cellStyle name="Normal 32 3 2 5 2" xfId="11204"/>
    <cellStyle name="Normal 32 3 2 5 3" xfId="17399"/>
    <cellStyle name="Normal 32 3 2 6" xfId="11193"/>
    <cellStyle name="Normal 32 3 2 7" xfId="17388"/>
    <cellStyle name="Normal 32 3 3" xfId="5036"/>
    <cellStyle name="Normal 32 3 3 2" xfId="5037"/>
    <cellStyle name="Normal 32 3 3 2 2" xfId="5038"/>
    <cellStyle name="Normal 32 3 3 2 2 2" xfId="11207"/>
    <cellStyle name="Normal 32 3 3 2 2 3" xfId="17402"/>
    <cellStyle name="Normal 32 3 3 2 3" xfId="11206"/>
    <cellStyle name="Normal 32 3 3 2 4" xfId="17401"/>
    <cellStyle name="Normal 32 3 3 3" xfId="5039"/>
    <cellStyle name="Normal 32 3 3 3 2" xfId="5040"/>
    <cellStyle name="Normal 32 3 3 3 2 2" xfId="11209"/>
    <cellStyle name="Normal 32 3 3 3 2 3" xfId="17404"/>
    <cellStyle name="Normal 32 3 3 3 3" xfId="11208"/>
    <cellStyle name="Normal 32 3 3 3 4" xfId="17403"/>
    <cellStyle name="Normal 32 3 3 4" xfId="5041"/>
    <cellStyle name="Normal 32 3 3 4 2" xfId="11210"/>
    <cellStyle name="Normal 32 3 3 4 3" xfId="17405"/>
    <cellStyle name="Normal 32 3 3 5" xfId="11205"/>
    <cellStyle name="Normal 32 3 3 6" xfId="17400"/>
    <cellStyle name="Normal 32 3 4" xfId="5042"/>
    <cellStyle name="Normal 32 3 4 2" xfId="5043"/>
    <cellStyle name="Normal 32 3 4 2 2" xfId="11212"/>
    <cellStyle name="Normal 32 3 4 2 3" xfId="17407"/>
    <cellStyle name="Normal 32 3 4 3" xfId="11211"/>
    <cellStyle name="Normal 32 3 4 4" xfId="17406"/>
    <cellStyle name="Normal 32 3 5" xfId="5044"/>
    <cellStyle name="Normal 32 3 5 2" xfId="5045"/>
    <cellStyle name="Normal 32 3 5 2 2" xfId="11214"/>
    <cellStyle name="Normal 32 3 5 2 3" xfId="17409"/>
    <cellStyle name="Normal 32 3 5 3" xfId="11213"/>
    <cellStyle name="Normal 32 3 5 4" xfId="17408"/>
    <cellStyle name="Normal 32 3 6" xfId="5046"/>
    <cellStyle name="Normal 32 3 6 2" xfId="11215"/>
    <cellStyle name="Normal 32 3 6 3" xfId="17410"/>
    <cellStyle name="Normal 32 3 7" xfId="11192"/>
    <cellStyle name="Normal 32 3 8" xfId="17387"/>
    <cellStyle name="Normal 32 4" xfId="5047"/>
    <cellStyle name="Normal 32 4 2" xfId="5048"/>
    <cellStyle name="Normal 32 4 2 2" xfId="5049"/>
    <cellStyle name="Normal 32 4 2 2 2" xfId="5050"/>
    <cellStyle name="Normal 32 4 2 2 2 2" xfId="11219"/>
    <cellStyle name="Normal 32 4 2 2 2 3" xfId="17414"/>
    <cellStyle name="Normal 32 4 2 2 3" xfId="11218"/>
    <cellStyle name="Normal 32 4 2 2 4" xfId="17413"/>
    <cellStyle name="Normal 32 4 2 3" xfId="5051"/>
    <cellStyle name="Normal 32 4 2 3 2" xfId="5052"/>
    <cellStyle name="Normal 32 4 2 3 2 2" xfId="11221"/>
    <cellStyle name="Normal 32 4 2 3 2 3" xfId="17416"/>
    <cellStyle name="Normal 32 4 2 3 3" xfId="11220"/>
    <cellStyle name="Normal 32 4 2 3 4" xfId="17415"/>
    <cellStyle name="Normal 32 4 2 4" xfId="5053"/>
    <cellStyle name="Normal 32 4 2 4 2" xfId="11222"/>
    <cellStyle name="Normal 32 4 2 4 3" xfId="17417"/>
    <cellStyle name="Normal 32 4 2 5" xfId="11217"/>
    <cellStyle name="Normal 32 4 2 6" xfId="17412"/>
    <cellStyle name="Normal 32 4 3" xfId="5054"/>
    <cellStyle name="Normal 32 4 3 2" xfId="5055"/>
    <cellStyle name="Normal 32 4 3 2 2" xfId="11224"/>
    <cellStyle name="Normal 32 4 3 2 3" xfId="17419"/>
    <cellStyle name="Normal 32 4 3 3" xfId="11223"/>
    <cellStyle name="Normal 32 4 3 4" xfId="17418"/>
    <cellStyle name="Normal 32 4 4" xfId="5056"/>
    <cellStyle name="Normal 32 4 4 2" xfId="5057"/>
    <cellStyle name="Normal 32 4 4 2 2" xfId="11226"/>
    <cellStyle name="Normal 32 4 4 2 3" xfId="17421"/>
    <cellStyle name="Normal 32 4 4 3" xfId="11225"/>
    <cellStyle name="Normal 32 4 4 4" xfId="17420"/>
    <cellStyle name="Normal 32 4 5" xfId="5058"/>
    <cellStyle name="Normal 32 4 5 2" xfId="11227"/>
    <cellStyle name="Normal 32 4 5 3" xfId="17422"/>
    <cellStyle name="Normal 32 4 6" xfId="11216"/>
    <cellStyle name="Normal 32 4 7" xfId="17411"/>
    <cellStyle name="Normal 32 5" xfId="5059"/>
    <cellStyle name="Normal 32 5 2" xfId="5060"/>
    <cellStyle name="Normal 32 5 2 2" xfId="5061"/>
    <cellStyle name="Normal 32 5 2 2 2" xfId="11230"/>
    <cellStyle name="Normal 32 5 2 2 3" xfId="17425"/>
    <cellStyle name="Normal 32 5 2 3" xfId="11229"/>
    <cellStyle name="Normal 32 5 2 4" xfId="17424"/>
    <cellStyle name="Normal 32 5 3" xfId="5062"/>
    <cellStyle name="Normal 32 5 3 2" xfId="5063"/>
    <cellStyle name="Normal 32 5 3 2 2" xfId="11232"/>
    <cellStyle name="Normal 32 5 3 2 3" xfId="17427"/>
    <cellStyle name="Normal 32 5 3 3" xfId="11231"/>
    <cellStyle name="Normal 32 5 3 4" xfId="17426"/>
    <cellStyle name="Normal 32 5 4" xfId="5064"/>
    <cellStyle name="Normal 32 5 4 2" xfId="11233"/>
    <cellStyle name="Normal 32 5 4 3" xfId="17428"/>
    <cellStyle name="Normal 32 5 5" xfId="11228"/>
    <cellStyle name="Normal 32 5 6" xfId="17423"/>
    <cellStyle name="Normal 32 6" xfId="5065"/>
    <cellStyle name="Normal 32 6 2" xfId="5066"/>
    <cellStyle name="Normal 32 6 2 2" xfId="11235"/>
    <cellStyle name="Normal 32 6 2 3" xfId="17430"/>
    <cellStyle name="Normal 32 6 3" xfId="11234"/>
    <cellStyle name="Normal 32 6 4" xfId="17429"/>
    <cellStyle name="Normal 32 7" xfId="5067"/>
    <cellStyle name="Normal 32 7 2" xfId="5068"/>
    <cellStyle name="Normal 32 7 2 2" xfId="11237"/>
    <cellStyle name="Normal 32 7 2 3" xfId="17432"/>
    <cellStyle name="Normal 32 7 3" xfId="11236"/>
    <cellStyle name="Normal 32 7 4" xfId="17431"/>
    <cellStyle name="Normal 32 8" xfId="5069"/>
    <cellStyle name="Normal 32 8 2" xfId="11238"/>
    <cellStyle name="Normal 32 8 3" xfId="17433"/>
    <cellStyle name="Normal 32 9" xfId="5070"/>
    <cellStyle name="Normal 32 9 2" xfId="17434"/>
    <cellStyle name="Normal 33" xfId="5071"/>
    <cellStyle name="Normal 33 2" xfId="5072"/>
    <cellStyle name="Normal 33 2 2" xfId="11240"/>
    <cellStyle name="Normal 33 2 3" xfId="17436"/>
    <cellStyle name="Normal 33 3" xfId="5073"/>
    <cellStyle name="Normal 33 3 2" xfId="11241"/>
    <cellStyle name="Normal 33 3 3" xfId="17437"/>
    <cellStyle name="Normal 33 4" xfId="5074"/>
    <cellStyle name="Normal 33 4 2" xfId="17438"/>
    <cellStyle name="Normal 33 5" xfId="11239"/>
    <cellStyle name="Normal 33 6" xfId="17435"/>
    <cellStyle name="Normal 34" xfId="5075"/>
    <cellStyle name="Normal 34 2" xfId="5076"/>
    <cellStyle name="Normal 34 2 2" xfId="11243"/>
    <cellStyle name="Normal 34 2 3" xfId="17440"/>
    <cellStyle name="Normal 34 3" xfId="5077"/>
    <cellStyle name="Normal 34 3 2" xfId="11244"/>
    <cellStyle name="Normal 34 3 3" xfId="17441"/>
    <cellStyle name="Normal 34 4" xfId="5078"/>
    <cellStyle name="Normal 34 4 2" xfId="17442"/>
    <cellStyle name="Normal 34 5" xfId="11242"/>
    <cellStyle name="Normal 34 6" xfId="17439"/>
    <cellStyle name="Normal 35" xfId="5079"/>
    <cellStyle name="Normal 35 10" xfId="17443"/>
    <cellStyle name="Normal 35 2" xfId="5080"/>
    <cellStyle name="Normal 35 2 2" xfId="5081"/>
    <cellStyle name="Normal 35 2 2 2" xfId="5082"/>
    <cellStyle name="Normal 35 2 2 2 2" xfId="5083"/>
    <cellStyle name="Normal 35 2 2 2 2 2" xfId="5084"/>
    <cellStyle name="Normal 35 2 2 2 2 2 2" xfId="11250"/>
    <cellStyle name="Normal 35 2 2 2 2 2 3" xfId="17448"/>
    <cellStyle name="Normal 35 2 2 2 2 3" xfId="11249"/>
    <cellStyle name="Normal 35 2 2 2 2 4" xfId="17447"/>
    <cellStyle name="Normal 35 2 2 2 3" xfId="5085"/>
    <cellStyle name="Normal 35 2 2 2 3 2" xfId="5086"/>
    <cellStyle name="Normal 35 2 2 2 3 2 2" xfId="11252"/>
    <cellStyle name="Normal 35 2 2 2 3 2 3" xfId="17450"/>
    <cellStyle name="Normal 35 2 2 2 3 3" xfId="11251"/>
    <cellStyle name="Normal 35 2 2 2 3 4" xfId="17449"/>
    <cellStyle name="Normal 35 2 2 2 4" xfId="5087"/>
    <cellStyle name="Normal 35 2 2 2 4 2" xfId="11253"/>
    <cellStyle name="Normal 35 2 2 2 4 3" xfId="17451"/>
    <cellStyle name="Normal 35 2 2 2 5" xfId="11248"/>
    <cellStyle name="Normal 35 2 2 2 6" xfId="17446"/>
    <cellStyle name="Normal 35 2 2 3" xfId="5088"/>
    <cellStyle name="Normal 35 2 2 3 2" xfId="5089"/>
    <cellStyle name="Normal 35 2 2 3 2 2" xfId="11255"/>
    <cellStyle name="Normal 35 2 2 3 2 3" xfId="17453"/>
    <cellStyle name="Normal 35 2 2 3 3" xfId="11254"/>
    <cellStyle name="Normal 35 2 2 3 4" xfId="17452"/>
    <cellStyle name="Normal 35 2 2 4" xfId="5090"/>
    <cellStyle name="Normal 35 2 2 4 2" xfId="5091"/>
    <cellStyle name="Normal 35 2 2 4 2 2" xfId="11257"/>
    <cellStyle name="Normal 35 2 2 4 2 3" xfId="17455"/>
    <cellStyle name="Normal 35 2 2 4 3" xfId="11256"/>
    <cellStyle name="Normal 35 2 2 4 4" xfId="17454"/>
    <cellStyle name="Normal 35 2 2 5" xfId="5092"/>
    <cellStyle name="Normal 35 2 2 5 2" xfId="11258"/>
    <cellStyle name="Normal 35 2 2 5 3" xfId="17456"/>
    <cellStyle name="Normal 35 2 2 6" xfId="11247"/>
    <cellStyle name="Normal 35 2 2 7" xfId="17445"/>
    <cellStyle name="Normal 35 2 3" xfId="5093"/>
    <cellStyle name="Normal 35 2 3 2" xfId="5094"/>
    <cellStyle name="Normal 35 2 3 2 2" xfId="5095"/>
    <cellStyle name="Normal 35 2 3 2 2 2" xfId="11261"/>
    <cellStyle name="Normal 35 2 3 2 2 3" xfId="17459"/>
    <cellStyle name="Normal 35 2 3 2 3" xfId="11260"/>
    <cellStyle name="Normal 35 2 3 2 4" xfId="17458"/>
    <cellStyle name="Normal 35 2 3 3" xfId="5096"/>
    <cellStyle name="Normal 35 2 3 3 2" xfId="5097"/>
    <cellStyle name="Normal 35 2 3 3 2 2" xfId="11263"/>
    <cellStyle name="Normal 35 2 3 3 2 3" xfId="17461"/>
    <cellStyle name="Normal 35 2 3 3 3" xfId="11262"/>
    <cellStyle name="Normal 35 2 3 3 4" xfId="17460"/>
    <cellStyle name="Normal 35 2 3 4" xfId="5098"/>
    <cellStyle name="Normal 35 2 3 4 2" xfId="11264"/>
    <cellStyle name="Normal 35 2 3 4 3" xfId="17462"/>
    <cellStyle name="Normal 35 2 3 5" xfId="11259"/>
    <cellStyle name="Normal 35 2 3 6" xfId="17457"/>
    <cellStyle name="Normal 35 2 4" xfId="5099"/>
    <cellStyle name="Normal 35 2 4 2" xfId="5100"/>
    <cellStyle name="Normal 35 2 4 2 2" xfId="11266"/>
    <cellStyle name="Normal 35 2 4 2 3" xfId="17464"/>
    <cellStyle name="Normal 35 2 4 3" xfId="11265"/>
    <cellStyle name="Normal 35 2 4 4" xfId="17463"/>
    <cellStyle name="Normal 35 2 5" xfId="5101"/>
    <cellStyle name="Normal 35 2 5 2" xfId="5102"/>
    <cellStyle name="Normal 35 2 5 2 2" xfId="11268"/>
    <cellStyle name="Normal 35 2 5 2 3" xfId="17466"/>
    <cellStyle name="Normal 35 2 5 3" xfId="11267"/>
    <cellStyle name="Normal 35 2 5 4" xfId="17465"/>
    <cellStyle name="Normal 35 2 6" xfId="5103"/>
    <cellStyle name="Normal 35 2 6 2" xfId="11269"/>
    <cellStyle name="Normal 35 2 6 3" xfId="17467"/>
    <cellStyle name="Normal 35 2 7" xfId="11246"/>
    <cellStyle name="Normal 35 2 8" xfId="17444"/>
    <cellStyle name="Normal 35 3" xfId="5104"/>
    <cellStyle name="Normal 35 3 2" xfId="5105"/>
    <cellStyle name="Normal 35 3 2 2" xfId="5106"/>
    <cellStyle name="Normal 35 3 2 2 2" xfId="5107"/>
    <cellStyle name="Normal 35 3 2 2 2 2" xfId="11273"/>
    <cellStyle name="Normal 35 3 2 2 2 3" xfId="17471"/>
    <cellStyle name="Normal 35 3 2 2 3" xfId="11272"/>
    <cellStyle name="Normal 35 3 2 2 4" xfId="17470"/>
    <cellStyle name="Normal 35 3 2 3" xfId="5108"/>
    <cellStyle name="Normal 35 3 2 3 2" xfId="5109"/>
    <cellStyle name="Normal 35 3 2 3 2 2" xfId="11275"/>
    <cellStyle name="Normal 35 3 2 3 2 3" xfId="17473"/>
    <cellStyle name="Normal 35 3 2 3 3" xfId="11274"/>
    <cellStyle name="Normal 35 3 2 3 4" xfId="17472"/>
    <cellStyle name="Normal 35 3 2 4" xfId="5110"/>
    <cellStyle name="Normal 35 3 2 4 2" xfId="11276"/>
    <cellStyle name="Normal 35 3 2 4 3" xfId="17474"/>
    <cellStyle name="Normal 35 3 2 5" xfId="11271"/>
    <cellStyle name="Normal 35 3 2 6" xfId="17469"/>
    <cellStyle name="Normal 35 3 3" xfId="5111"/>
    <cellStyle name="Normal 35 3 3 2" xfId="5112"/>
    <cellStyle name="Normal 35 3 3 2 2" xfId="11278"/>
    <cellStyle name="Normal 35 3 3 2 3" xfId="17476"/>
    <cellStyle name="Normal 35 3 3 3" xfId="11277"/>
    <cellStyle name="Normal 35 3 3 4" xfId="17475"/>
    <cellStyle name="Normal 35 3 4" xfId="5113"/>
    <cellStyle name="Normal 35 3 4 2" xfId="5114"/>
    <cellStyle name="Normal 35 3 4 2 2" xfId="11280"/>
    <cellStyle name="Normal 35 3 4 2 3" xfId="17478"/>
    <cellStyle name="Normal 35 3 4 3" xfId="11279"/>
    <cellStyle name="Normal 35 3 4 4" xfId="17477"/>
    <cellStyle name="Normal 35 3 5" xfId="5115"/>
    <cellStyle name="Normal 35 3 5 2" xfId="11281"/>
    <cellStyle name="Normal 35 3 5 3" xfId="17479"/>
    <cellStyle name="Normal 35 3 6" xfId="11270"/>
    <cellStyle name="Normal 35 3 7" xfId="17468"/>
    <cellStyle name="Normal 35 4" xfId="5116"/>
    <cellStyle name="Normal 35 4 2" xfId="5117"/>
    <cellStyle name="Normal 35 4 2 2" xfId="5118"/>
    <cellStyle name="Normal 35 4 2 2 2" xfId="11284"/>
    <cellStyle name="Normal 35 4 2 2 3" xfId="17482"/>
    <cellStyle name="Normal 35 4 2 3" xfId="11283"/>
    <cellStyle name="Normal 35 4 2 4" xfId="17481"/>
    <cellStyle name="Normal 35 4 3" xfId="5119"/>
    <cellStyle name="Normal 35 4 3 2" xfId="5120"/>
    <cellStyle name="Normal 35 4 3 2 2" xfId="11286"/>
    <cellStyle name="Normal 35 4 3 2 3" xfId="17484"/>
    <cellStyle name="Normal 35 4 3 3" xfId="11285"/>
    <cellStyle name="Normal 35 4 3 4" xfId="17483"/>
    <cellStyle name="Normal 35 4 4" xfId="5121"/>
    <cellStyle name="Normal 35 4 4 2" xfId="11287"/>
    <cellStyle name="Normal 35 4 4 3" xfId="17485"/>
    <cellStyle name="Normal 35 4 5" xfId="11282"/>
    <cellStyle name="Normal 35 4 6" xfId="17480"/>
    <cellStyle name="Normal 35 5" xfId="5122"/>
    <cellStyle name="Normal 35 5 2" xfId="5123"/>
    <cellStyle name="Normal 35 5 2 2" xfId="11289"/>
    <cellStyle name="Normal 35 5 2 3" xfId="17487"/>
    <cellStyle name="Normal 35 5 3" xfId="11288"/>
    <cellStyle name="Normal 35 5 4" xfId="17486"/>
    <cellStyle name="Normal 35 6" xfId="5124"/>
    <cellStyle name="Normal 35 6 2" xfId="5125"/>
    <cellStyle name="Normal 35 6 2 2" xfId="11291"/>
    <cellStyle name="Normal 35 6 2 3" xfId="17489"/>
    <cellStyle name="Normal 35 6 3" xfId="11290"/>
    <cellStyle name="Normal 35 6 4" xfId="17488"/>
    <cellStyle name="Normal 35 7" xfId="5126"/>
    <cellStyle name="Normal 35 7 2" xfId="11292"/>
    <cellStyle name="Normal 35 7 3" xfId="17490"/>
    <cellStyle name="Normal 35 8" xfId="5127"/>
    <cellStyle name="Normal 35 8 2" xfId="17491"/>
    <cellStyle name="Normal 35 9" xfId="11245"/>
    <cellStyle name="Normal 36" xfId="5128"/>
    <cellStyle name="Normal 36 10" xfId="17492"/>
    <cellStyle name="Normal 36 2" xfId="5129"/>
    <cellStyle name="Normal 36 2 2" xfId="5130"/>
    <cellStyle name="Normal 36 2 2 2" xfId="5131"/>
    <cellStyle name="Normal 36 2 2 2 2" xfId="5132"/>
    <cellStyle name="Normal 36 2 2 2 2 2" xfId="5133"/>
    <cellStyle name="Normal 36 2 2 2 2 2 2" xfId="11298"/>
    <cellStyle name="Normal 36 2 2 2 2 2 3" xfId="17497"/>
    <cellStyle name="Normal 36 2 2 2 2 3" xfId="11297"/>
    <cellStyle name="Normal 36 2 2 2 2 4" xfId="17496"/>
    <cellStyle name="Normal 36 2 2 2 3" xfId="5134"/>
    <cellStyle name="Normal 36 2 2 2 3 2" xfId="5135"/>
    <cellStyle name="Normal 36 2 2 2 3 2 2" xfId="11300"/>
    <cellStyle name="Normal 36 2 2 2 3 2 3" xfId="17499"/>
    <cellStyle name="Normal 36 2 2 2 3 3" xfId="11299"/>
    <cellStyle name="Normal 36 2 2 2 3 4" xfId="17498"/>
    <cellStyle name="Normal 36 2 2 2 4" xfId="5136"/>
    <cellStyle name="Normal 36 2 2 2 4 2" xfId="11301"/>
    <cellStyle name="Normal 36 2 2 2 4 3" xfId="17500"/>
    <cellStyle name="Normal 36 2 2 2 5" xfId="11296"/>
    <cellStyle name="Normal 36 2 2 2 6" xfId="17495"/>
    <cellStyle name="Normal 36 2 2 3" xfId="5137"/>
    <cellStyle name="Normal 36 2 2 3 2" xfId="5138"/>
    <cellStyle name="Normal 36 2 2 3 2 2" xfId="11303"/>
    <cellStyle name="Normal 36 2 2 3 2 3" xfId="17502"/>
    <cellStyle name="Normal 36 2 2 3 3" xfId="11302"/>
    <cellStyle name="Normal 36 2 2 3 4" xfId="17501"/>
    <cellStyle name="Normal 36 2 2 4" xfId="5139"/>
    <cellStyle name="Normal 36 2 2 4 2" xfId="5140"/>
    <cellStyle name="Normal 36 2 2 4 2 2" xfId="11305"/>
    <cellStyle name="Normal 36 2 2 4 2 3" xfId="17504"/>
    <cellStyle name="Normal 36 2 2 4 3" xfId="11304"/>
    <cellStyle name="Normal 36 2 2 4 4" xfId="17503"/>
    <cellStyle name="Normal 36 2 2 5" xfId="5141"/>
    <cellStyle name="Normal 36 2 2 5 2" xfId="11306"/>
    <cellStyle name="Normal 36 2 2 5 3" xfId="17505"/>
    <cellStyle name="Normal 36 2 2 6" xfId="11295"/>
    <cellStyle name="Normal 36 2 2 7" xfId="17494"/>
    <cellStyle name="Normal 36 2 3" xfId="5142"/>
    <cellStyle name="Normal 36 2 3 2" xfId="5143"/>
    <cellStyle name="Normal 36 2 3 2 2" xfId="5144"/>
    <cellStyle name="Normal 36 2 3 2 2 2" xfId="11309"/>
    <cellStyle name="Normal 36 2 3 2 2 3" xfId="17508"/>
    <cellStyle name="Normal 36 2 3 2 3" xfId="11308"/>
    <cellStyle name="Normal 36 2 3 2 4" xfId="17507"/>
    <cellStyle name="Normal 36 2 3 3" xfId="5145"/>
    <cellStyle name="Normal 36 2 3 3 2" xfId="5146"/>
    <cellStyle name="Normal 36 2 3 3 2 2" xfId="11311"/>
    <cellStyle name="Normal 36 2 3 3 2 3" xfId="17510"/>
    <cellStyle name="Normal 36 2 3 3 3" xfId="11310"/>
    <cellStyle name="Normal 36 2 3 3 4" xfId="17509"/>
    <cellStyle name="Normal 36 2 3 4" xfId="5147"/>
    <cellStyle name="Normal 36 2 3 4 2" xfId="11312"/>
    <cellStyle name="Normal 36 2 3 4 3" xfId="17511"/>
    <cellStyle name="Normal 36 2 3 5" xfId="11307"/>
    <cellStyle name="Normal 36 2 3 6" xfId="17506"/>
    <cellStyle name="Normal 36 2 4" xfId="5148"/>
    <cellStyle name="Normal 36 2 4 2" xfId="5149"/>
    <cellStyle name="Normal 36 2 4 2 2" xfId="11314"/>
    <cellStyle name="Normal 36 2 4 2 3" xfId="17513"/>
    <cellStyle name="Normal 36 2 4 3" xfId="11313"/>
    <cellStyle name="Normal 36 2 4 4" xfId="17512"/>
    <cellStyle name="Normal 36 2 5" xfId="5150"/>
    <cellStyle name="Normal 36 2 5 2" xfId="5151"/>
    <cellStyle name="Normal 36 2 5 2 2" xfId="11316"/>
    <cellStyle name="Normal 36 2 5 2 3" xfId="17515"/>
    <cellStyle name="Normal 36 2 5 3" xfId="11315"/>
    <cellStyle name="Normal 36 2 5 4" xfId="17514"/>
    <cellStyle name="Normal 36 2 6" xfId="5152"/>
    <cellStyle name="Normal 36 2 6 2" xfId="11317"/>
    <cellStyle name="Normal 36 2 6 3" xfId="17516"/>
    <cellStyle name="Normal 36 2 7" xfId="11294"/>
    <cellStyle name="Normal 36 2 8" xfId="17493"/>
    <cellStyle name="Normal 36 3" xfId="5153"/>
    <cellStyle name="Normal 36 3 2" xfId="5154"/>
    <cellStyle name="Normal 36 3 2 2" xfId="5155"/>
    <cellStyle name="Normal 36 3 2 2 2" xfId="5156"/>
    <cellStyle name="Normal 36 3 2 2 2 2" xfId="11321"/>
    <cellStyle name="Normal 36 3 2 2 2 3" xfId="17520"/>
    <cellStyle name="Normal 36 3 2 2 3" xfId="11320"/>
    <cellStyle name="Normal 36 3 2 2 4" xfId="17519"/>
    <cellStyle name="Normal 36 3 2 3" xfId="5157"/>
    <cellStyle name="Normal 36 3 2 3 2" xfId="5158"/>
    <cellStyle name="Normal 36 3 2 3 2 2" xfId="11323"/>
    <cellStyle name="Normal 36 3 2 3 2 3" xfId="17522"/>
    <cellStyle name="Normal 36 3 2 3 3" xfId="11322"/>
    <cellStyle name="Normal 36 3 2 3 4" xfId="17521"/>
    <cellStyle name="Normal 36 3 2 4" xfId="5159"/>
    <cellStyle name="Normal 36 3 2 4 2" xfId="11324"/>
    <cellStyle name="Normal 36 3 2 4 3" xfId="17523"/>
    <cellStyle name="Normal 36 3 2 5" xfId="11319"/>
    <cellStyle name="Normal 36 3 2 6" xfId="17518"/>
    <cellStyle name="Normal 36 3 3" xfId="5160"/>
    <cellStyle name="Normal 36 3 3 2" xfId="5161"/>
    <cellStyle name="Normal 36 3 3 2 2" xfId="11326"/>
    <cellStyle name="Normal 36 3 3 2 3" xfId="17525"/>
    <cellStyle name="Normal 36 3 3 3" xfId="11325"/>
    <cellStyle name="Normal 36 3 3 4" xfId="17524"/>
    <cellStyle name="Normal 36 3 4" xfId="5162"/>
    <cellStyle name="Normal 36 3 4 2" xfId="5163"/>
    <cellStyle name="Normal 36 3 4 2 2" xfId="11328"/>
    <cellStyle name="Normal 36 3 4 2 3" xfId="17527"/>
    <cellStyle name="Normal 36 3 4 3" xfId="11327"/>
    <cellStyle name="Normal 36 3 4 4" xfId="17526"/>
    <cellStyle name="Normal 36 3 5" xfId="5164"/>
    <cellStyle name="Normal 36 3 5 2" xfId="11329"/>
    <cellStyle name="Normal 36 3 5 3" xfId="17528"/>
    <cellStyle name="Normal 36 3 6" xfId="11318"/>
    <cellStyle name="Normal 36 3 7" xfId="17517"/>
    <cellStyle name="Normal 36 4" xfId="5165"/>
    <cellStyle name="Normal 36 4 2" xfId="5166"/>
    <cellStyle name="Normal 36 4 2 2" xfId="5167"/>
    <cellStyle name="Normal 36 4 2 2 2" xfId="11332"/>
    <cellStyle name="Normal 36 4 2 2 3" xfId="17531"/>
    <cellStyle name="Normal 36 4 2 3" xfId="11331"/>
    <cellStyle name="Normal 36 4 2 4" xfId="17530"/>
    <cellStyle name="Normal 36 4 3" xfId="5168"/>
    <cellStyle name="Normal 36 4 3 2" xfId="5169"/>
    <cellStyle name="Normal 36 4 3 2 2" xfId="11334"/>
    <cellStyle name="Normal 36 4 3 2 3" xfId="17533"/>
    <cellStyle name="Normal 36 4 3 3" xfId="11333"/>
    <cellStyle name="Normal 36 4 3 4" xfId="17532"/>
    <cellStyle name="Normal 36 4 4" xfId="5170"/>
    <cellStyle name="Normal 36 4 4 2" xfId="11335"/>
    <cellStyle name="Normal 36 4 4 3" xfId="17534"/>
    <cellStyle name="Normal 36 4 5" xfId="11330"/>
    <cellStyle name="Normal 36 4 6" xfId="17529"/>
    <cellStyle name="Normal 36 5" xfId="5171"/>
    <cellStyle name="Normal 36 5 2" xfId="5172"/>
    <cellStyle name="Normal 36 5 2 2" xfId="11337"/>
    <cellStyle name="Normal 36 5 2 3" xfId="17536"/>
    <cellStyle name="Normal 36 5 3" xfId="11336"/>
    <cellStyle name="Normal 36 5 4" xfId="17535"/>
    <cellStyle name="Normal 36 6" xfId="5173"/>
    <cellStyle name="Normal 36 6 2" xfId="5174"/>
    <cellStyle name="Normal 36 6 2 2" xfId="11339"/>
    <cellStyle name="Normal 36 6 2 3" xfId="17538"/>
    <cellStyle name="Normal 36 6 3" xfId="11338"/>
    <cellStyle name="Normal 36 6 4" xfId="17537"/>
    <cellStyle name="Normal 36 7" xfId="5175"/>
    <cellStyle name="Normal 36 7 2" xfId="11340"/>
    <cellStyle name="Normal 36 7 3" xfId="17539"/>
    <cellStyle name="Normal 36 8" xfId="5176"/>
    <cellStyle name="Normal 36 8 2" xfId="17540"/>
    <cellStyle name="Normal 36 9" xfId="11293"/>
    <cellStyle name="Normal 37" xfId="5177"/>
    <cellStyle name="Normal 37 10" xfId="17541"/>
    <cellStyle name="Normal 37 2" xfId="5178"/>
    <cellStyle name="Normal 37 2 2" xfId="5179"/>
    <cellStyle name="Normal 37 2 2 2" xfId="5180"/>
    <cellStyle name="Normal 37 2 2 2 2" xfId="5181"/>
    <cellStyle name="Normal 37 2 2 2 2 2" xfId="5182"/>
    <cellStyle name="Normal 37 2 2 2 2 2 2" xfId="11346"/>
    <cellStyle name="Normal 37 2 2 2 2 2 3" xfId="17546"/>
    <cellStyle name="Normal 37 2 2 2 2 3" xfId="11345"/>
    <cellStyle name="Normal 37 2 2 2 2 4" xfId="17545"/>
    <cellStyle name="Normal 37 2 2 2 3" xfId="5183"/>
    <cellStyle name="Normal 37 2 2 2 3 2" xfId="5184"/>
    <cellStyle name="Normal 37 2 2 2 3 2 2" xfId="11348"/>
    <cellStyle name="Normal 37 2 2 2 3 2 3" xfId="17548"/>
    <cellStyle name="Normal 37 2 2 2 3 3" xfId="11347"/>
    <cellStyle name="Normal 37 2 2 2 3 4" xfId="17547"/>
    <cellStyle name="Normal 37 2 2 2 4" xfId="5185"/>
    <cellStyle name="Normal 37 2 2 2 4 2" xfId="11349"/>
    <cellStyle name="Normal 37 2 2 2 4 3" xfId="17549"/>
    <cellStyle name="Normal 37 2 2 2 5" xfId="11344"/>
    <cellStyle name="Normal 37 2 2 2 6" xfId="17544"/>
    <cellStyle name="Normal 37 2 2 3" xfId="5186"/>
    <cellStyle name="Normal 37 2 2 3 2" xfId="5187"/>
    <cellStyle name="Normal 37 2 2 3 2 2" xfId="11351"/>
    <cellStyle name="Normal 37 2 2 3 2 3" xfId="17551"/>
    <cellStyle name="Normal 37 2 2 3 3" xfId="11350"/>
    <cellStyle name="Normal 37 2 2 3 4" xfId="17550"/>
    <cellStyle name="Normal 37 2 2 4" xfId="5188"/>
    <cellStyle name="Normal 37 2 2 4 2" xfId="5189"/>
    <cellStyle name="Normal 37 2 2 4 2 2" xfId="11353"/>
    <cellStyle name="Normal 37 2 2 4 2 3" xfId="17553"/>
    <cellStyle name="Normal 37 2 2 4 3" xfId="11352"/>
    <cellStyle name="Normal 37 2 2 4 4" xfId="17552"/>
    <cellStyle name="Normal 37 2 2 5" xfId="5190"/>
    <cellStyle name="Normal 37 2 2 5 2" xfId="11354"/>
    <cellStyle name="Normal 37 2 2 5 3" xfId="17554"/>
    <cellStyle name="Normal 37 2 2 6" xfId="11343"/>
    <cellStyle name="Normal 37 2 2 7" xfId="17543"/>
    <cellStyle name="Normal 37 2 3" xfId="5191"/>
    <cellStyle name="Normal 37 2 3 2" xfId="5192"/>
    <cellStyle name="Normal 37 2 3 2 2" xfId="5193"/>
    <cellStyle name="Normal 37 2 3 2 2 2" xfId="11357"/>
    <cellStyle name="Normal 37 2 3 2 2 3" xfId="17557"/>
    <cellStyle name="Normal 37 2 3 2 3" xfId="11356"/>
    <cellStyle name="Normal 37 2 3 2 4" xfId="17556"/>
    <cellStyle name="Normal 37 2 3 3" xfId="5194"/>
    <cellStyle name="Normal 37 2 3 3 2" xfId="5195"/>
    <cellStyle name="Normal 37 2 3 3 2 2" xfId="11359"/>
    <cellStyle name="Normal 37 2 3 3 2 3" xfId="17559"/>
    <cellStyle name="Normal 37 2 3 3 3" xfId="11358"/>
    <cellStyle name="Normal 37 2 3 3 4" xfId="17558"/>
    <cellStyle name="Normal 37 2 3 4" xfId="5196"/>
    <cellStyle name="Normal 37 2 3 4 2" xfId="11360"/>
    <cellStyle name="Normal 37 2 3 4 3" xfId="17560"/>
    <cellStyle name="Normal 37 2 3 5" xfId="11355"/>
    <cellStyle name="Normal 37 2 3 6" xfId="17555"/>
    <cellStyle name="Normal 37 2 4" xfId="5197"/>
    <cellStyle name="Normal 37 2 4 2" xfId="5198"/>
    <cellStyle name="Normal 37 2 4 2 2" xfId="11362"/>
    <cellStyle name="Normal 37 2 4 2 3" xfId="17562"/>
    <cellStyle name="Normal 37 2 4 3" xfId="11361"/>
    <cellStyle name="Normal 37 2 4 4" xfId="17561"/>
    <cellStyle name="Normal 37 2 5" xfId="5199"/>
    <cellStyle name="Normal 37 2 5 2" xfId="5200"/>
    <cellStyle name="Normal 37 2 5 2 2" xfId="11364"/>
    <cellStyle name="Normal 37 2 5 2 3" xfId="17564"/>
    <cellStyle name="Normal 37 2 5 3" xfId="11363"/>
    <cellStyle name="Normal 37 2 5 4" xfId="17563"/>
    <cellStyle name="Normal 37 2 6" xfId="5201"/>
    <cellStyle name="Normal 37 2 6 2" xfId="11365"/>
    <cellStyle name="Normal 37 2 6 3" xfId="17565"/>
    <cellStyle name="Normal 37 2 7" xfId="11342"/>
    <cellStyle name="Normal 37 2 8" xfId="17542"/>
    <cellStyle name="Normal 37 3" xfId="5202"/>
    <cellStyle name="Normal 37 3 2" xfId="5203"/>
    <cellStyle name="Normal 37 3 2 2" xfId="5204"/>
    <cellStyle name="Normal 37 3 2 2 2" xfId="5205"/>
    <cellStyle name="Normal 37 3 2 2 2 2" xfId="11369"/>
    <cellStyle name="Normal 37 3 2 2 2 3" xfId="17569"/>
    <cellStyle name="Normal 37 3 2 2 3" xfId="11368"/>
    <cellStyle name="Normal 37 3 2 2 4" xfId="17568"/>
    <cellStyle name="Normal 37 3 2 3" xfId="5206"/>
    <cellStyle name="Normal 37 3 2 3 2" xfId="5207"/>
    <cellStyle name="Normal 37 3 2 3 2 2" xfId="11371"/>
    <cellStyle name="Normal 37 3 2 3 2 3" xfId="17571"/>
    <cellStyle name="Normal 37 3 2 3 3" xfId="11370"/>
    <cellStyle name="Normal 37 3 2 3 4" xfId="17570"/>
    <cellStyle name="Normal 37 3 2 4" xfId="5208"/>
    <cellStyle name="Normal 37 3 2 4 2" xfId="11372"/>
    <cellStyle name="Normal 37 3 2 4 3" xfId="17572"/>
    <cellStyle name="Normal 37 3 2 5" xfId="11367"/>
    <cellStyle name="Normal 37 3 2 6" xfId="17567"/>
    <cellStyle name="Normal 37 3 3" xfId="5209"/>
    <cellStyle name="Normal 37 3 3 2" xfId="5210"/>
    <cellStyle name="Normal 37 3 3 2 2" xfId="11374"/>
    <cellStyle name="Normal 37 3 3 2 3" xfId="17574"/>
    <cellStyle name="Normal 37 3 3 3" xfId="11373"/>
    <cellStyle name="Normal 37 3 3 4" xfId="17573"/>
    <cellStyle name="Normal 37 3 4" xfId="5211"/>
    <cellStyle name="Normal 37 3 4 2" xfId="5212"/>
    <cellStyle name="Normal 37 3 4 2 2" xfId="11376"/>
    <cellStyle name="Normal 37 3 4 2 3" xfId="17576"/>
    <cellStyle name="Normal 37 3 4 3" xfId="11375"/>
    <cellStyle name="Normal 37 3 4 4" xfId="17575"/>
    <cellStyle name="Normal 37 3 5" xfId="5213"/>
    <cellStyle name="Normal 37 3 5 2" xfId="11377"/>
    <cellStyle name="Normal 37 3 5 3" xfId="17577"/>
    <cellStyle name="Normal 37 3 6" xfId="11366"/>
    <cellStyle name="Normal 37 3 7" xfId="17566"/>
    <cellStyle name="Normal 37 4" xfId="5214"/>
    <cellStyle name="Normal 37 4 2" xfId="5215"/>
    <cellStyle name="Normal 37 4 2 2" xfId="5216"/>
    <cellStyle name="Normal 37 4 2 2 2" xfId="11380"/>
    <cellStyle name="Normal 37 4 2 2 3" xfId="17580"/>
    <cellStyle name="Normal 37 4 2 3" xfId="11379"/>
    <cellStyle name="Normal 37 4 2 4" xfId="17579"/>
    <cellStyle name="Normal 37 4 3" xfId="5217"/>
    <cellStyle name="Normal 37 4 3 2" xfId="5218"/>
    <cellStyle name="Normal 37 4 3 2 2" xfId="11382"/>
    <cellStyle name="Normal 37 4 3 2 3" xfId="17582"/>
    <cellStyle name="Normal 37 4 3 3" xfId="11381"/>
    <cellStyle name="Normal 37 4 3 4" xfId="17581"/>
    <cellStyle name="Normal 37 4 4" xfId="5219"/>
    <cellStyle name="Normal 37 4 4 2" xfId="11383"/>
    <cellStyle name="Normal 37 4 4 3" xfId="17583"/>
    <cellStyle name="Normal 37 4 5" xfId="11378"/>
    <cellStyle name="Normal 37 4 6" xfId="17578"/>
    <cellStyle name="Normal 37 5" xfId="5220"/>
    <cellStyle name="Normal 37 5 2" xfId="5221"/>
    <cellStyle name="Normal 37 5 2 2" xfId="11385"/>
    <cellStyle name="Normal 37 5 2 3" xfId="17585"/>
    <cellStyle name="Normal 37 5 3" xfId="11384"/>
    <cellStyle name="Normal 37 5 4" xfId="17584"/>
    <cellStyle name="Normal 37 6" xfId="5222"/>
    <cellStyle name="Normal 37 6 2" xfId="5223"/>
    <cellStyle name="Normal 37 6 2 2" xfId="11387"/>
    <cellStyle name="Normal 37 6 2 3" xfId="17587"/>
    <cellStyle name="Normal 37 6 3" xfId="11386"/>
    <cellStyle name="Normal 37 6 4" xfId="17586"/>
    <cellStyle name="Normal 37 7" xfId="5224"/>
    <cellStyle name="Normal 37 7 2" xfId="11388"/>
    <cellStyle name="Normal 37 7 3" xfId="17588"/>
    <cellStyle name="Normal 37 8" xfId="5225"/>
    <cellStyle name="Normal 37 8 2" xfId="17589"/>
    <cellStyle name="Normal 37 9" xfId="11341"/>
    <cellStyle name="Normal 38" xfId="5226"/>
    <cellStyle name="Normal 38 10" xfId="17590"/>
    <cellStyle name="Normal 38 2" xfId="5227"/>
    <cellStyle name="Normal 38 2 2" xfId="5228"/>
    <cellStyle name="Normal 38 2 2 2" xfId="5229"/>
    <cellStyle name="Normal 38 2 2 2 2" xfId="5230"/>
    <cellStyle name="Normal 38 2 2 2 2 2" xfId="5231"/>
    <cellStyle name="Normal 38 2 2 2 2 2 2" xfId="11394"/>
    <cellStyle name="Normal 38 2 2 2 2 2 3" xfId="17595"/>
    <cellStyle name="Normal 38 2 2 2 2 3" xfId="11393"/>
    <cellStyle name="Normal 38 2 2 2 2 4" xfId="17594"/>
    <cellStyle name="Normal 38 2 2 2 3" xfId="5232"/>
    <cellStyle name="Normal 38 2 2 2 3 2" xfId="5233"/>
    <cellStyle name="Normal 38 2 2 2 3 2 2" xfId="11396"/>
    <cellStyle name="Normal 38 2 2 2 3 2 3" xfId="17597"/>
    <cellStyle name="Normal 38 2 2 2 3 3" xfId="11395"/>
    <cellStyle name="Normal 38 2 2 2 3 4" xfId="17596"/>
    <cellStyle name="Normal 38 2 2 2 4" xfId="5234"/>
    <cellStyle name="Normal 38 2 2 2 4 2" xfId="11397"/>
    <cellStyle name="Normal 38 2 2 2 4 3" xfId="17598"/>
    <cellStyle name="Normal 38 2 2 2 5" xfId="11392"/>
    <cellStyle name="Normal 38 2 2 2 6" xfId="17593"/>
    <cellStyle name="Normal 38 2 2 3" xfId="5235"/>
    <cellStyle name="Normal 38 2 2 3 2" xfId="5236"/>
    <cellStyle name="Normal 38 2 2 3 2 2" xfId="11399"/>
    <cellStyle name="Normal 38 2 2 3 2 3" xfId="17600"/>
    <cellStyle name="Normal 38 2 2 3 3" xfId="11398"/>
    <cellStyle name="Normal 38 2 2 3 4" xfId="17599"/>
    <cellStyle name="Normal 38 2 2 4" xfId="5237"/>
    <cellStyle name="Normal 38 2 2 4 2" xfId="5238"/>
    <cellStyle name="Normal 38 2 2 4 2 2" xfId="11401"/>
    <cellStyle name="Normal 38 2 2 4 2 3" xfId="17602"/>
    <cellStyle name="Normal 38 2 2 4 3" xfId="11400"/>
    <cellStyle name="Normal 38 2 2 4 4" xfId="17601"/>
    <cellStyle name="Normal 38 2 2 5" xfId="5239"/>
    <cellStyle name="Normal 38 2 2 5 2" xfId="11402"/>
    <cellStyle name="Normal 38 2 2 5 3" xfId="17603"/>
    <cellStyle name="Normal 38 2 2 6" xfId="11391"/>
    <cellStyle name="Normal 38 2 2 7" xfId="17592"/>
    <cellStyle name="Normal 38 2 3" xfId="5240"/>
    <cellStyle name="Normal 38 2 3 2" xfId="5241"/>
    <cellStyle name="Normal 38 2 3 2 2" xfId="5242"/>
    <cellStyle name="Normal 38 2 3 2 2 2" xfId="11405"/>
    <cellStyle name="Normal 38 2 3 2 2 3" xfId="17606"/>
    <cellStyle name="Normal 38 2 3 2 3" xfId="11404"/>
    <cellStyle name="Normal 38 2 3 2 4" xfId="17605"/>
    <cellStyle name="Normal 38 2 3 3" xfId="5243"/>
    <cellStyle name="Normal 38 2 3 3 2" xfId="5244"/>
    <cellStyle name="Normal 38 2 3 3 2 2" xfId="11407"/>
    <cellStyle name="Normal 38 2 3 3 2 3" xfId="17608"/>
    <cellStyle name="Normal 38 2 3 3 3" xfId="11406"/>
    <cellStyle name="Normal 38 2 3 3 4" xfId="17607"/>
    <cellStyle name="Normal 38 2 3 4" xfId="5245"/>
    <cellStyle name="Normal 38 2 3 4 2" xfId="11408"/>
    <cellStyle name="Normal 38 2 3 4 3" xfId="17609"/>
    <cellStyle name="Normal 38 2 3 5" xfId="11403"/>
    <cellStyle name="Normal 38 2 3 6" xfId="17604"/>
    <cellStyle name="Normal 38 2 4" xfId="5246"/>
    <cellStyle name="Normal 38 2 4 2" xfId="5247"/>
    <cellStyle name="Normal 38 2 4 2 2" xfId="11410"/>
    <cellStyle name="Normal 38 2 4 2 3" xfId="17611"/>
    <cellStyle name="Normal 38 2 4 3" xfId="11409"/>
    <cellStyle name="Normal 38 2 4 4" xfId="17610"/>
    <cellStyle name="Normal 38 2 5" xfId="5248"/>
    <cellStyle name="Normal 38 2 5 2" xfId="5249"/>
    <cellStyle name="Normal 38 2 5 2 2" xfId="11412"/>
    <cellStyle name="Normal 38 2 5 2 3" xfId="17613"/>
    <cellStyle name="Normal 38 2 5 3" xfId="11411"/>
    <cellStyle name="Normal 38 2 5 4" xfId="17612"/>
    <cellStyle name="Normal 38 2 6" xfId="5250"/>
    <cellStyle name="Normal 38 2 6 2" xfId="11413"/>
    <cellStyle name="Normal 38 2 6 3" xfId="17614"/>
    <cellStyle name="Normal 38 2 7" xfId="11390"/>
    <cellStyle name="Normal 38 2 8" xfId="17591"/>
    <cellStyle name="Normal 38 3" xfId="5251"/>
    <cellStyle name="Normal 38 3 2" xfId="5252"/>
    <cellStyle name="Normal 38 3 2 2" xfId="5253"/>
    <cellStyle name="Normal 38 3 2 2 2" xfId="5254"/>
    <cellStyle name="Normal 38 3 2 2 2 2" xfId="11417"/>
    <cellStyle name="Normal 38 3 2 2 2 3" xfId="17618"/>
    <cellStyle name="Normal 38 3 2 2 3" xfId="11416"/>
    <cellStyle name="Normal 38 3 2 2 4" xfId="17617"/>
    <cellStyle name="Normal 38 3 2 3" xfId="5255"/>
    <cellStyle name="Normal 38 3 2 3 2" xfId="5256"/>
    <cellStyle name="Normal 38 3 2 3 2 2" xfId="11419"/>
    <cellStyle name="Normal 38 3 2 3 2 3" xfId="17620"/>
    <cellStyle name="Normal 38 3 2 3 3" xfId="11418"/>
    <cellStyle name="Normal 38 3 2 3 4" xfId="17619"/>
    <cellStyle name="Normal 38 3 2 4" xfId="5257"/>
    <cellStyle name="Normal 38 3 2 4 2" xfId="11420"/>
    <cellStyle name="Normal 38 3 2 4 3" xfId="17621"/>
    <cellStyle name="Normal 38 3 2 5" xfId="11415"/>
    <cellStyle name="Normal 38 3 2 6" xfId="17616"/>
    <cellStyle name="Normal 38 3 3" xfId="5258"/>
    <cellStyle name="Normal 38 3 3 2" xfId="5259"/>
    <cellStyle name="Normal 38 3 3 2 2" xfId="11422"/>
    <cellStyle name="Normal 38 3 3 2 3" xfId="17623"/>
    <cellStyle name="Normal 38 3 3 3" xfId="11421"/>
    <cellStyle name="Normal 38 3 3 4" xfId="17622"/>
    <cellStyle name="Normal 38 3 4" xfId="5260"/>
    <cellStyle name="Normal 38 3 4 2" xfId="5261"/>
    <cellStyle name="Normal 38 3 4 2 2" xfId="11424"/>
    <cellStyle name="Normal 38 3 4 2 3" xfId="17625"/>
    <cellStyle name="Normal 38 3 4 3" xfId="11423"/>
    <cellStyle name="Normal 38 3 4 4" xfId="17624"/>
    <cellStyle name="Normal 38 3 5" xfId="5262"/>
    <cellStyle name="Normal 38 3 5 2" xfId="11425"/>
    <cellStyle name="Normal 38 3 5 3" xfId="17626"/>
    <cellStyle name="Normal 38 3 6" xfId="11414"/>
    <cellStyle name="Normal 38 3 7" xfId="17615"/>
    <cellStyle name="Normal 38 4" xfId="5263"/>
    <cellStyle name="Normal 38 4 2" xfId="5264"/>
    <cellStyle name="Normal 38 4 2 2" xfId="5265"/>
    <cellStyle name="Normal 38 4 2 2 2" xfId="11428"/>
    <cellStyle name="Normal 38 4 2 2 3" xfId="17629"/>
    <cellStyle name="Normal 38 4 2 3" xfId="11427"/>
    <cellStyle name="Normal 38 4 2 4" xfId="17628"/>
    <cellStyle name="Normal 38 4 3" xfId="5266"/>
    <cellStyle name="Normal 38 4 3 2" xfId="5267"/>
    <cellStyle name="Normal 38 4 3 2 2" xfId="11430"/>
    <cellStyle name="Normal 38 4 3 2 3" xfId="17631"/>
    <cellStyle name="Normal 38 4 3 3" xfId="11429"/>
    <cellStyle name="Normal 38 4 3 4" xfId="17630"/>
    <cellStyle name="Normal 38 4 4" xfId="5268"/>
    <cellStyle name="Normal 38 4 4 2" xfId="11431"/>
    <cellStyle name="Normal 38 4 4 3" xfId="17632"/>
    <cellStyle name="Normal 38 4 5" xfId="11426"/>
    <cellStyle name="Normal 38 4 6" xfId="17627"/>
    <cellStyle name="Normal 38 5" xfId="5269"/>
    <cellStyle name="Normal 38 5 2" xfId="5270"/>
    <cellStyle name="Normal 38 5 2 2" xfId="11433"/>
    <cellStyle name="Normal 38 5 2 3" xfId="17634"/>
    <cellStyle name="Normal 38 5 3" xfId="11432"/>
    <cellStyle name="Normal 38 5 4" xfId="17633"/>
    <cellStyle name="Normal 38 6" xfId="5271"/>
    <cellStyle name="Normal 38 6 2" xfId="5272"/>
    <cellStyle name="Normal 38 6 2 2" xfId="11435"/>
    <cellStyle name="Normal 38 6 2 3" xfId="17636"/>
    <cellStyle name="Normal 38 6 3" xfId="11434"/>
    <cellStyle name="Normal 38 6 4" xfId="17635"/>
    <cellStyle name="Normal 38 7" xfId="5273"/>
    <cellStyle name="Normal 38 7 2" xfId="11436"/>
    <cellStyle name="Normal 38 7 3" xfId="17637"/>
    <cellStyle name="Normal 38 8" xfId="5274"/>
    <cellStyle name="Normal 38 8 2" xfId="17638"/>
    <cellStyle name="Normal 38 9" xfId="11389"/>
    <cellStyle name="Normal 39" xfId="5275"/>
    <cellStyle name="Normal 39 10" xfId="17639"/>
    <cellStyle name="Normal 39 2" xfId="5276"/>
    <cellStyle name="Normal 39 2 2" xfId="5277"/>
    <cellStyle name="Normal 39 2 2 2" xfId="5278"/>
    <cellStyle name="Normal 39 2 2 2 2" xfId="5279"/>
    <cellStyle name="Normal 39 2 2 2 2 2" xfId="5280"/>
    <cellStyle name="Normal 39 2 2 2 2 2 2" xfId="11442"/>
    <cellStyle name="Normal 39 2 2 2 2 2 3" xfId="17644"/>
    <cellStyle name="Normal 39 2 2 2 2 3" xfId="11441"/>
    <cellStyle name="Normal 39 2 2 2 2 4" xfId="17643"/>
    <cellStyle name="Normal 39 2 2 2 3" xfId="5281"/>
    <cellStyle name="Normal 39 2 2 2 3 2" xfId="5282"/>
    <cellStyle name="Normal 39 2 2 2 3 2 2" xfId="11444"/>
    <cellStyle name="Normal 39 2 2 2 3 2 3" xfId="17646"/>
    <cellStyle name="Normal 39 2 2 2 3 3" xfId="11443"/>
    <cellStyle name="Normal 39 2 2 2 3 4" xfId="17645"/>
    <cellStyle name="Normal 39 2 2 2 4" xfId="5283"/>
    <cellStyle name="Normal 39 2 2 2 4 2" xfId="11445"/>
    <cellStyle name="Normal 39 2 2 2 4 3" xfId="17647"/>
    <cellStyle name="Normal 39 2 2 2 5" xfId="11440"/>
    <cellStyle name="Normal 39 2 2 2 6" xfId="17642"/>
    <cellStyle name="Normal 39 2 2 3" xfId="5284"/>
    <cellStyle name="Normal 39 2 2 3 2" xfId="5285"/>
    <cellStyle name="Normal 39 2 2 3 2 2" xfId="11447"/>
    <cellStyle name="Normal 39 2 2 3 2 3" xfId="17649"/>
    <cellStyle name="Normal 39 2 2 3 3" xfId="11446"/>
    <cellStyle name="Normal 39 2 2 3 4" xfId="17648"/>
    <cellStyle name="Normal 39 2 2 4" xfId="5286"/>
    <cellStyle name="Normal 39 2 2 4 2" xfId="5287"/>
    <cellStyle name="Normal 39 2 2 4 2 2" xfId="11449"/>
    <cellStyle name="Normal 39 2 2 4 2 3" xfId="17651"/>
    <cellStyle name="Normal 39 2 2 4 3" xfId="11448"/>
    <cellStyle name="Normal 39 2 2 4 4" xfId="17650"/>
    <cellStyle name="Normal 39 2 2 5" xfId="5288"/>
    <cellStyle name="Normal 39 2 2 5 2" xfId="11450"/>
    <cellStyle name="Normal 39 2 2 5 3" xfId="17652"/>
    <cellStyle name="Normal 39 2 2 6" xfId="11439"/>
    <cellStyle name="Normal 39 2 2 7" xfId="17641"/>
    <cellStyle name="Normal 39 2 3" xfId="5289"/>
    <cellStyle name="Normal 39 2 3 2" xfId="5290"/>
    <cellStyle name="Normal 39 2 3 2 2" xfId="5291"/>
    <cellStyle name="Normal 39 2 3 2 2 2" xfId="11453"/>
    <cellStyle name="Normal 39 2 3 2 2 3" xfId="17655"/>
    <cellStyle name="Normal 39 2 3 2 3" xfId="11452"/>
    <cellStyle name="Normal 39 2 3 2 4" xfId="17654"/>
    <cellStyle name="Normal 39 2 3 3" xfId="5292"/>
    <cellStyle name="Normal 39 2 3 3 2" xfId="5293"/>
    <cellStyle name="Normal 39 2 3 3 2 2" xfId="11455"/>
    <cellStyle name="Normal 39 2 3 3 2 3" xfId="17657"/>
    <cellStyle name="Normal 39 2 3 3 3" xfId="11454"/>
    <cellStyle name="Normal 39 2 3 3 4" xfId="17656"/>
    <cellStyle name="Normal 39 2 3 4" xfId="5294"/>
    <cellStyle name="Normal 39 2 3 4 2" xfId="11456"/>
    <cellStyle name="Normal 39 2 3 4 3" xfId="17658"/>
    <cellStyle name="Normal 39 2 3 5" xfId="11451"/>
    <cellStyle name="Normal 39 2 3 6" xfId="17653"/>
    <cellStyle name="Normal 39 2 4" xfId="5295"/>
    <cellStyle name="Normal 39 2 4 2" xfId="5296"/>
    <cellStyle name="Normal 39 2 4 2 2" xfId="11458"/>
    <cellStyle name="Normal 39 2 4 2 3" xfId="17660"/>
    <cellStyle name="Normal 39 2 4 3" xfId="11457"/>
    <cellStyle name="Normal 39 2 4 4" xfId="17659"/>
    <cellStyle name="Normal 39 2 5" xfId="5297"/>
    <cellStyle name="Normal 39 2 5 2" xfId="5298"/>
    <cellStyle name="Normal 39 2 5 2 2" xfId="11460"/>
    <cellStyle name="Normal 39 2 5 2 3" xfId="17662"/>
    <cellStyle name="Normal 39 2 5 3" xfId="11459"/>
    <cellStyle name="Normal 39 2 5 4" xfId="17661"/>
    <cellStyle name="Normal 39 2 6" xfId="5299"/>
    <cellStyle name="Normal 39 2 6 2" xfId="11461"/>
    <cellStyle name="Normal 39 2 6 3" xfId="17663"/>
    <cellStyle name="Normal 39 2 7" xfId="11438"/>
    <cellStyle name="Normal 39 2 8" xfId="17640"/>
    <cellStyle name="Normal 39 3" xfId="5300"/>
    <cellStyle name="Normal 39 3 2" xfId="5301"/>
    <cellStyle name="Normal 39 3 2 2" xfId="5302"/>
    <cellStyle name="Normal 39 3 2 2 2" xfId="5303"/>
    <cellStyle name="Normal 39 3 2 2 2 2" xfId="11465"/>
    <cellStyle name="Normal 39 3 2 2 2 3" xfId="17667"/>
    <cellStyle name="Normal 39 3 2 2 3" xfId="11464"/>
    <cellStyle name="Normal 39 3 2 2 4" xfId="17666"/>
    <cellStyle name="Normal 39 3 2 3" xfId="5304"/>
    <cellStyle name="Normal 39 3 2 3 2" xfId="5305"/>
    <cellStyle name="Normal 39 3 2 3 2 2" xfId="11467"/>
    <cellStyle name="Normal 39 3 2 3 2 3" xfId="17669"/>
    <cellStyle name="Normal 39 3 2 3 3" xfId="11466"/>
    <cellStyle name="Normal 39 3 2 3 4" xfId="17668"/>
    <cellStyle name="Normal 39 3 2 4" xfId="5306"/>
    <cellStyle name="Normal 39 3 2 4 2" xfId="11468"/>
    <cellStyle name="Normal 39 3 2 4 3" xfId="17670"/>
    <cellStyle name="Normal 39 3 2 5" xfId="11463"/>
    <cellStyle name="Normal 39 3 2 6" xfId="17665"/>
    <cellStyle name="Normal 39 3 3" xfId="5307"/>
    <cellStyle name="Normal 39 3 3 2" xfId="5308"/>
    <cellStyle name="Normal 39 3 3 2 2" xfId="11470"/>
    <cellStyle name="Normal 39 3 3 2 3" xfId="17672"/>
    <cellStyle name="Normal 39 3 3 3" xfId="11469"/>
    <cellStyle name="Normal 39 3 3 4" xfId="17671"/>
    <cellStyle name="Normal 39 3 4" xfId="5309"/>
    <cellStyle name="Normal 39 3 4 2" xfId="5310"/>
    <cellStyle name="Normal 39 3 4 2 2" xfId="11472"/>
    <cellStyle name="Normal 39 3 4 2 3" xfId="17674"/>
    <cellStyle name="Normal 39 3 4 3" xfId="11471"/>
    <cellStyle name="Normal 39 3 4 4" xfId="17673"/>
    <cellStyle name="Normal 39 3 5" xfId="5311"/>
    <cellStyle name="Normal 39 3 5 2" xfId="11473"/>
    <cellStyle name="Normal 39 3 5 3" xfId="17675"/>
    <cellStyle name="Normal 39 3 6" xfId="11462"/>
    <cellStyle name="Normal 39 3 7" xfId="17664"/>
    <cellStyle name="Normal 39 4" xfId="5312"/>
    <cellStyle name="Normal 39 4 2" xfId="5313"/>
    <cellStyle name="Normal 39 4 2 2" xfId="5314"/>
    <cellStyle name="Normal 39 4 2 2 2" xfId="11476"/>
    <cellStyle name="Normal 39 4 2 2 3" xfId="17678"/>
    <cellStyle name="Normal 39 4 2 3" xfId="11475"/>
    <cellStyle name="Normal 39 4 2 4" xfId="17677"/>
    <cellStyle name="Normal 39 4 3" xfId="5315"/>
    <cellStyle name="Normal 39 4 3 2" xfId="5316"/>
    <cellStyle name="Normal 39 4 3 2 2" xfId="11478"/>
    <cellStyle name="Normal 39 4 3 2 3" xfId="17680"/>
    <cellStyle name="Normal 39 4 3 3" xfId="11477"/>
    <cellStyle name="Normal 39 4 3 4" xfId="17679"/>
    <cellStyle name="Normal 39 4 4" xfId="5317"/>
    <cellStyle name="Normal 39 4 4 2" xfId="11479"/>
    <cellStyle name="Normal 39 4 4 3" xfId="17681"/>
    <cellStyle name="Normal 39 4 5" xfId="11474"/>
    <cellStyle name="Normal 39 4 6" xfId="17676"/>
    <cellStyle name="Normal 39 5" xfId="5318"/>
    <cellStyle name="Normal 39 5 2" xfId="5319"/>
    <cellStyle name="Normal 39 5 2 2" xfId="11481"/>
    <cellStyle name="Normal 39 5 2 3" xfId="17683"/>
    <cellStyle name="Normal 39 5 3" xfId="11480"/>
    <cellStyle name="Normal 39 5 4" xfId="17682"/>
    <cellStyle name="Normal 39 6" xfId="5320"/>
    <cellStyle name="Normal 39 6 2" xfId="5321"/>
    <cellStyle name="Normal 39 6 2 2" xfId="11483"/>
    <cellStyle name="Normal 39 6 2 3" xfId="17685"/>
    <cellStyle name="Normal 39 6 3" xfId="11482"/>
    <cellStyle name="Normal 39 6 4" xfId="17684"/>
    <cellStyle name="Normal 39 7" xfId="5322"/>
    <cellStyle name="Normal 39 7 2" xfId="11484"/>
    <cellStyle name="Normal 39 7 3" xfId="17686"/>
    <cellStyle name="Normal 39 8" xfId="5323"/>
    <cellStyle name="Normal 39 8 2" xfId="17687"/>
    <cellStyle name="Normal 39 9" xfId="11437"/>
    <cellStyle name="Normal 4" xfId="5324"/>
    <cellStyle name="Normal 4 2" xfId="5325"/>
    <cellStyle name="Normal 4 2 2" xfId="5326"/>
    <cellStyle name="Normal 4 2 2 2" xfId="5327"/>
    <cellStyle name="Normal 4 2 2 2 2" xfId="5328"/>
    <cellStyle name="Normal 4 2 2 2 2 2" xfId="5329"/>
    <cellStyle name="Normal 4 2 2 2 2 2 2" xfId="11490"/>
    <cellStyle name="Normal 4 2 2 2 2 2 3" xfId="17693"/>
    <cellStyle name="Normal 4 2 2 2 2 3" xfId="11489"/>
    <cellStyle name="Normal 4 2 2 2 2 4" xfId="17692"/>
    <cellStyle name="Normal 4 2 2 2 3" xfId="5330"/>
    <cellStyle name="Normal 4 2 2 2 3 2" xfId="5331"/>
    <cellStyle name="Normal 4 2 2 2 3 2 2" xfId="11492"/>
    <cellStyle name="Normal 4 2 2 2 3 2 3" xfId="17695"/>
    <cellStyle name="Normal 4 2 2 2 3 3" xfId="11491"/>
    <cellStyle name="Normal 4 2 2 2 3 4" xfId="17694"/>
    <cellStyle name="Normal 4 2 2 2 4" xfId="5332"/>
    <cellStyle name="Normal 4 2 2 2 4 2" xfId="11493"/>
    <cellStyle name="Normal 4 2 2 2 4 3" xfId="17696"/>
    <cellStyle name="Normal 4 2 2 2 5" xfId="11488"/>
    <cellStyle name="Normal 4 2 2 2 6" xfId="17691"/>
    <cellStyle name="Normal 4 2 2 3" xfId="5333"/>
    <cellStyle name="Normal 4 2 2 3 2" xfId="5334"/>
    <cellStyle name="Normal 4 2 2 3 2 2" xfId="11495"/>
    <cellStyle name="Normal 4 2 2 3 2 3" xfId="17698"/>
    <cellStyle name="Normal 4 2 2 3 3" xfId="11494"/>
    <cellStyle name="Normal 4 2 2 3 4" xfId="17697"/>
    <cellStyle name="Normal 4 2 2 4" xfId="5335"/>
    <cellStyle name="Normal 4 2 2 4 2" xfId="5336"/>
    <cellStyle name="Normal 4 2 2 4 2 2" xfId="11497"/>
    <cellStyle name="Normal 4 2 2 4 2 3" xfId="17700"/>
    <cellStyle name="Normal 4 2 2 4 3" xfId="11496"/>
    <cellStyle name="Normal 4 2 2 4 4" xfId="17699"/>
    <cellStyle name="Normal 4 2 2 5" xfId="5337"/>
    <cellStyle name="Normal 4 2 2 5 2" xfId="11498"/>
    <cellStyle name="Normal 4 2 2 5 3" xfId="17701"/>
    <cellStyle name="Normal 4 2 2 6" xfId="5338"/>
    <cellStyle name="Normal 4 2 2 6 2" xfId="17702"/>
    <cellStyle name="Normal 4 2 2 7" xfId="11487"/>
    <cellStyle name="Normal 4 2 2 8" xfId="17690"/>
    <cellStyle name="Normal 4 2 3" xfId="5339"/>
    <cellStyle name="Normal 4 2 3 2" xfId="5340"/>
    <cellStyle name="Normal 4 2 3 2 2" xfId="5341"/>
    <cellStyle name="Normal 4 2 3 2 2 2" xfId="11501"/>
    <cellStyle name="Normal 4 2 3 2 2 3" xfId="17705"/>
    <cellStyle name="Normal 4 2 3 2 3" xfId="11500"/>
    <cellStyle name="Normal 4 2 3 2 4" xfId="17704"/>
    <cellStyle name="Normal 4 2 3 3" xfId="5342"/>
    <cellStyle name="Normal 4 2 3 3 2" xfId="5343"/>
    <cellStyle name="Normal 4 2 3 3 2 2" xfId="11503"/>
    <cellStyle name="Normal 4 2 3 3 2 3" xfId="17707"/>
    <cellStyle name="Normal 4 2 3 3 3" xfId="11502"/>
    <cellStyle name="Normal 4 2 3 3 4" xfId="17706"/>
    <cellStyle name="Normal 4 2 3 4" xfId="5344"/>
    <cellStyle name="Normal 4 2 3 4 2" xfId="11504"/>
    <cellStyle name="Normal 4 2 3 4 3" xfId="17708"/>
    <cellStyle name="Normal 4 2 3 5" xfId="11499"/>
    <cellStyle name="Normal 4 2 3 6" xfId="17703"/>
    <cellStyle name="Normal 4 2 4" xfId="5345"/>
    <cellStyle name="Normal 4 2 4 2" xfId="5346"/>
    <cellStyle name="Normal 4 2 4 2 2" xfId="11506"/>
    <cellStyle name="Normal 4 2 4 2 3" xfId="17710"/>
    <cellStyle name="Normal 4 2 4 3" xfId="11505"/>
    <cellStyle name="Normal 4 2 4 4" xfId="17709"/>
    <cellStyle name="Normal 4 2 5" xfId="5347"/>
    <cellStyle name="Normal 4 2 5 2" xfId="5348"/>
    <cellStyle name="Normal 4 2 5 2 2" xfId="11508"/>
    <cellStyle name="Normal 4 2 5 2 3" xfId="17712"/>
    <cellStyle name="Normal 4 2 5 3" xfId="11507"/>
    <cellStyle name="Normal 4 2 5 4" xfId="17711"/>
    <cellStyle name="Normal 4 2 6" xfId="5349"/>
    <cellStyle name="Normal 4 2 6 2" xfId="11509"/>
    <cellStyle name="Normal 4 2 6 3" xfId="17713"/>
    <cellStyle name="Normal 4 2 7" xfId="5350"/>
    <cellStyle name="Normal 4 2 7 2" xfId="17714"/>
    <cellStyle name="Normal 4 2 8" xfId="11486"/>
    <cellStyle name="Normal 4 2 9" xfId="17689"/>
    <cellStyle name="Normal 4 3" xfId="5351"/>
    <cellStyle name="Normal 4 3 2" xfId="5352"/>
    <cellStyle name="Normal 4 3 2 2" xfId="5353"/>
    <cellStyle name="Normal 4 3 2 2 2" xfId="11512"/>
    <cellStyle name="Normal 4 3 2 2 3" xfId="17717"/>
    <cellStyle name="Normal 4 3 2 3" xfId="5354"/>
    <cellStyle name="Normal 4 3 2 3 2" xfId="11513"/>
    <cellStyle name="Normal 4 3 2 3 3" xfId="17718"/>
    <cellStyle name="Normal 4 3 2 4" xfId="5355"/>
    <cellStyle name="Normal 4 3 2 4 2" xfId="17719"/>
    <cellStyle name="Normal 4 3 2 5" xfId="11511"/>
    <cellStyle name="Normal 4 3 2 6" xfId="17716"/>
    <cellStyle name="Normal 4 3 3" xfId="5356"/>
    <cellStyle name="Normal 4 3 3 2" xfId="11514"/>
    <cellStyle name="Normal 4 3 3 3" xfId="17720"/>
    <cellStyle name="Normal 4 3 4" xfId="5357"/>
    <cellStyle name="Normal 4 3 4 2" xfId="11515"/>
    <cellStyle name="Normal 4 3 4 3" xfId="17721"/>
    <cellStyle name="Normal 4 3 5" xfId="5358"/>
    <cellStyle name="Normal 4 3 5 2" xfId="11516"/>
    <cellStyle name="Normal 4 3 5 3" xfId="17722"/>
    <cellStyle name="Normal 4 3 6" xfId="5359"/>
    <cellStyle name="Normal 4 3 6 2" xfId="17723"/>
    <cellStyle name="Normal 4 3 7" xfId="11510"/>
    <cellStyle name="Normal 4 3 8" xfId="17715"/>
    <cellStyle name="Normal 4 4" xfId="5360"/>
    <cellStyle name="Normal 4 4 2" xfId="5361"/>
    <cellStyle name="Normal 4 4 2 2" xfId="11518"/>
    <cellStyle name="Normal 4 4 2 3" xfId="17725"/>
    <cellStyle name="Normal 4 4 3" xfId="5362"/>
    <cellStyle name="Normal 4 4 3 2" xfId="17726"/>
    <cellStyle name="Normal 4 4 4" xfId="11517"/>
    <cellStyle name="Normal 4 4 5" xfId="17724"/>
    <cellStyle name="Normal 4 5" xfId="5363"/>
    <cellStyle name="Normal 4 5 2" xfId="11519"/>
    <cellStyle name="Normal 4 5 3" xfId="17727"/>
    <cellStyle name="Normal 4 6" xfId="5364"/>
    <cellStyle name="Normal 4 6 2" xfId="17728"/>
    <cellStyle name="Normal 4 7" xfId="11485"/>
    <cellStyle name="Normal 4 8" xfId="17688"/>
    <cellStyle name="Normal 4_2180" xfId="5365"/>
    <cellStyle name="Normal 40" xfId="5366"/>
    <cellStyle name="Normal 40 10" xfId="17729"/>
    <cellStyle name="Normal 40 2" xfId="5367"/>
    <cellStyle name="Normal 40 2 2" xfId="5368"/>
    <cellStyle name="Normal 40 2 2 2" xfId="5369"/>
    <cellStyle name="Normal 40 2 2 2 2" xfId="5370"/>
    <cellStyle name="Normal 40 2 2 2 2 2" xfId="5371"/>
    <cellStyle name="Normal 40 2 2 2 2 2 2" xfId="11525"/>
    <cellStyle name="Normal 40 2 2 2 2 2 3" xfId="17734"/>
    <cellStyle name="Normal 40 2 2 2 2 3" xfId="11524"/>
    <cellStyle name="Normal 40 2 2 2 2 4" xfId="17733"/>
    <cellStyle name="Normal 40 2 2 2 3" xfId="5372"/>
    <cellStyle name="Normal 40 2 2 2 3 2" xfId="5373"/>
    <cellStyle name="Normal 40 2 2 2 3 2 2" xfId="11527"/>
    <cellStyle name="Normal 40 2 2 2 3 2 3" xfId="17736"/>
    <cellStyle name="Normal 40 2 2 2 3 3" xfId="11526"/>
    <cellStyle name="Normal 40 2 2 2 3 4" xfId="17735"/>
    <cellStyle name="Normal 40 2 2 2 4" xfId="5374"/>
    <cellStyle name="Normal 40 2 2 2 4 2" xfId="11528"/>
    <cellStyle name="Normal 40 2 2 2 4 3" xfId="17737"/>
    <cellStyle name="Normal 40 2 2 2 5" xfId="11523"/>
    <cellStyle name="Normal 40 2 2 2 6" xfId="17732"/>
    <cellStyle name="Normal 40 2 2 3" xfId="5375"/>
    <cellStyle name="Normal 40 2 2 3 2" xfId="5376"/>
    <cellStyle name="Normal 40 2 2 3 2 2" xfId="11530"/>
    <cellStyle name="Normal 40 2 2 3 2 3" xfId="17739"/>
    <cellStyle name="Normal 40 2 2 3 3" xfId="11529"/>
    <cellStyle name="Normal 40 2 2 3 4" xfId="17738"/>
    <cellStyle name="Normal 40 2 2 4" xfId="5377"/>
    <cellStyle name="Normal 40 2 2 4 2" xfId="5378"/>
    <cellStyle name="Normal 40 2 2 4 2 2" xfId="11532"/>
    <cellStyle name="Normal 40 2 2 4 2 3" xfId="17741"/>
    <cellStyle name="Normal 40 2 2 4 3" xfId="11531"/>
    <cellStyle name="Normal 40 2 2 4 4" xfId="17740"/>
    <cellStyle name="Normal 40 2 2 5" xfId="5379"/>
    <cellStyle name="Normal 40 2 2 5 2" xfId="11533"/>
    <cellStyle name="Normal 40 2 2 5 3" xfId="17742"/>
    <cellStyle name="Normal 40 2 2 6" xfId="11522"/>
    <cellStyle name="Normal 40 2 2 7" xfId="17731"/>
    <cellStyle name="Normal 40 2 3" xfId="5380"/>
    <cellStyle name="Normal 40 2 3 2" xfId="5381"/>
    <cellStyle name="Normal 40 2 3 2 2" xfId="5382"/>
    <cellStyle name="Normal 40 2 3 2 2 2" xfId="11536"/>
    <cellStyle name="Normal 40 2 3 2 2 3" xfId="17745"/>
    <cellStyle name="Normal 40 2 3 2 3" xfId="11535"/>
    <cellStyle name="Normal 40 2 3 2 4" xfId="17744"/>
    <cellStyle name="Normal 40 2 3 3" xfId="5383"/>
    <cellStyle name="Normal 40 2 3 3 2" xfId="5384"/>
    <cellStyle name="Normal 40 2 3 3 2 2" xfId="11538"/>
    <cellStyle name="Normal 40 2 3 3 2 3" xfId="17747"/>
    <cellStyle name="Normal 40 2 3 3 3" xfId="11537"/>
    <cellStyle name="Normal 40 2 3 3 4" xfId="17746"/>
    <cellStyle name="Normal 40 2 3 4" xfId="5385"/>
    <cellStyle name="Normal 40 2 3 4 2" xfId="11539"/>
    <cellStyle name="Normal 40 2 3 4 3" xfId="17748"/>
    <cellStyle name="Normal 40 2 3 5" xfId="11534"/>
    <cellStyle name="Normal 40 2 3 6" xfId="17743"/>
    <cellStyle name="Normal 40 2 4" xfId="5386"/>
    <cellStyle name="Normal 40 2 4 2" xfId="5387"/>
    <cellStyle name="Normal 40 2 4 2 2" xfId="11541"/>
    <cellStyle name="Normal 40 2 4 2 3" xfId="17750"/>
    <cellStyle name="Normal 40 2 4 3" xfId="11540"/>
    <cellStyle name="Normal 40 2 4 4" xfId="17749"/>
    <cellStyle name="Normal 40 2 5" xfId="5388"/>
    <cellStyle name="Normal 40 2 5 2" xfId="5389"/>
    <cellStyle name="Normal 40 2 5 2 2" xfId="11543"/>
    <cellStyle name="Normal 40 2 5 2 3" xfId="17752"/>
    <cellStyle name="Normal 40 2 5 3" xfId="11542"/>
    <cellStyle name="Normal 40 2 5 4" xfId="17751"/>
    <cellStyle name="Normal 40 2 6" xfId="5390"/>
    <cellStyle name="Normal 40 2 6 2" xfId="11544"/>
    <cellStyle name="Normal 40 2 6 3" xfId="17753"/>
    <cellStyle name="Normal 40 2 7" xfId="11521"/>
    <cellStyle name="Normal 40 2 8" xfId="17730"/>
    <cellStyle name="Normal 40 3" xfId="5391"/>
    <cellStyle name="Normal 40 3 2" xfId="5392"/>
    <cellStyle name="Normal 40 3 2 2" xfId="5393"/>
    <cellStyle name="Normal 40 3 2 2 2" xfId="5394"/>
    <cellStyle name="Normal 40 3 2 2 2 2" xfId="11548"/>
    <cellStyle name="Normal 40 3 2 2 2 3" xfId="17757"/>
    <cellStyle name="Normal 40 3 2 2 3" xfId="11547"/>
    <cellStyle name="Normal 40 3 2 2 4" xfId="17756"/>
    <cellStyle name="Normal 40 3 2 3" xfId="5395"/>
    <cellStyle name="Normal 40 3 2 3 2" xfId="5396"/>
    <cellStyle name="Normal 40 3 2 3 2 2" xfId="11550"/>
    <cellStyle name="Normal 40 3 2 3 2 3" xfId="17759"/>
    <cellStyle name="Normal 40 3 2 3 3" xfId="11549"/>
    <cellStyle name="Normal 40 3 2 3 4" xfId="17758"/>
    <cellStyle name="Normal 40 3 2 4" xfId="5397"/>
    <cellStyle name="Normal 40 3 2 4 2" xfId="11551"/>
    <cellStyle name="Normal 40 3 2 4 3" xfId="17760"/>
    <cellStyle name="Normal 40 3 2 5" xfId="11546"/>
    <cellStyle name="Normal 40 3 2 6" xfId="17755"/>
    <cellStyle name="Normal 40 3 3" xfId="5398"/>
    <cellStyle name="Normal 40 3 3 2" xfId="5399"/>
    <cellStyle name="Normal 40 3 3 2 2" xfId="11553"/>
    <cellStyle name="Normal 40 3 3 2 3" xfId="17762"/>
    <cellStyle name="Normal 40 3 3 3" xfId="11552"/>
    <cellStyle name="Normal 40 3 3 4" xfId="17761"/>
    <cellStyle name="Normal 40 3 4" xfId="5400"/>
    <cellStyle name="Normal 40 3 4 2" xfId="5401"/>
    <cellStyle name="Normal 40 3 4 2 2" xfId="11555"/>
    <cellStyle name="Normal 40 3 4 2 3" xfId="17764"/>
    <cellStyle name="Normal 40 3 4 3" xfId="11554"/>
    <cellStyle name="Normal 40 3 4 4" xfId="17763"/>
    <cellStyle name="Normal 40 3 5" xfId="5402"/>
    <cellStyle name="Normal 40 3 5 2" xfId="11556"/>
    <cellStyle name="Normal 40 3 5 3" xfId="17765"/>
    <cellStyle name="Normal 40 3 6" xfId="11545"/>
    <cellStyle name="Normal 40 3 7" xfId="17754"/>
    <cellStyle name="Normal 40 4" xfId="5403"/>
    <cellStyle name="Normal 40 4 2" xfId="5404"/>
    <cellStyle name="Normal 40 4 2 2" xfId="5405"/>
    <cellStyle name="Normal 40 4 2 2 2" xfId="11559"/>
    <cellStyle name="Normal 40 4 2 2 3" xfId="17768"/>
    <cellStyle name="Normal 40 4 2 3" xfId="11558"/>
    <cellStyle name="Normal 40 4 2 4" xfId="17767"/>
    <cellStyle name="Normal 40 4 3" xfId="5406"/>
    <cellStyle name="Normal 40 4 3 2" xfId="5407"/>
    <cellStyle name="Normal 40 4 3 2 2" xfId="11561"/>
    <cellStyle name="Normal 40 4 3 2 3" xfId="17770"/>
    <cellStyle name="Normal 40 4 3 3" xfId="11560"/>
    <cellStyle name="Normal 40 4 3 4" xfId="17769"/>
    <cellStyle name="Normal 40 4 4" xfId="5408"/>
    <cellStyle name="Normal 40 4 4 2" xfId="11562"/>
    <cellStyle name="Normal 40 4 4 3" xfId="17771"/>
    <cellStyle name="Normal 40 4 5" xfId="11557"/>
    <cellStyle name="Normal 40 4 6" xfId="17766"/>
    <cellStyle name="Normal 40 5" xfId="5409"/>
    <cellStyle name="Normal 40 5 2" xfId="5410"/>
    <cellStyle name="Normal 40 5 2 2" xfId="11564"/>
    <cellStyle name="Normal 40 5 2 3" xfId="17773"/>
    <cellStyle name="Normal 40 5 3" xfId="11563"/>
    <cellStyle name="Normal 40 5 4" xfId="17772"/>
    <cellStyle name="Normal 40 6" xfId="5411"/>
    <cellStyle name="Normal 40 6 2" xfId="5412"/>
    <cellStyle name="Normal 40 6 2 2" xfId="11566"/>
    <cellStyle name="Normal 40 6 2 3" xfId="17775"/>
    <cellStyle name="Normal 40 6 3" xfId="11565"/>
    <cellStyle name="Normal 40 6 4" xfId="17774"/>
    <cellStyle name="Normal 40 7" xfId="5413"/>
    <cellStyle name="Normal 40 7 2" xfId="11567"/>
    <cellStyle name="Normal 40 7 3" xfId="17776"/>
    <cellStyle name="Normal 40 8" xfId="5414"/>
    <cellStyle name="Normal 40 8 2" xfId="17777"/>
    <cellStyle name="Normal 40 9" xfId="11520"/>
    <cellStyle name="Normal 41" xfId="5415"/>
    <cellStyle name="Normal 41 10" xfId="17778"/>
    <cellStyle name="Normal 41 2" xfId="5416"/>
    <cellStyle name="Normal 41 2 2" xfId="5417"/>
    <cellStyle name="Normal 41 2 2 2" xfId="5418"/>
    <cellStyle name="Normal 41 2 2 2 2" xfId="5419"/>
    <cellStyle name="Normal 41 2 2 2 2 2" xfId="5420"/>
    <cellStyle name="Normal 41 2 2 2 2 2 2" xfId="11573"/>
    <cellStyle name="Normal 41 2 2 2 2 2 3" xfId="17783"/>
    <cellStyle name="Normal 41 2 2 2 2 3" xfId="11572"/>
    <cellStyle name="Normal 41 2 2 2 2 4" xfId="17782"/>
    <cellStyle name="Normal 41 2 2 2 3" xfId="5421"/>
    <cellStyle name="Normal 41 2 2 2 3 2" xfId="5422"/>
    <cellStyle name="Normal 41 2 2 2 3 2 2" xfId="11575"/>
    <cellStyle name="Normal 41 2 2 2 3 2 3" xfId="17785"/>
    <cellStyle name="Normal 41 2 2 2 3 3" xfId="11574"/>
    <cellStyle name="Normal 41 2 2 2 3 4" xfId="17784"/>
    <cellStyle name="Normal 41 2 2 2 4" xfId="5423"/>
    <cellStyle name="Normal 41 2 2 2 4 2" xfId="11576"/>
    <cellStyle name="Normal 41 2 2 2 4 3" xfId="17786"/>
    <cellStyle name="Normal 41 2 2 2 5" xfId="11571"/>
    <cellStyle name="Normal 41 2 2 2 6" xfId="17781"/>
    <cellStyle name="Normal 41 2 2 3" xfId="5424"/>
    <cellStyle name="Normal 41 2 2 3 2" xfId="5425"/>
    <cellStyle name="Normal 41 2 2 3 2 2" xfId="11578"/>
    <cellStyle name="Normal 41 2 2 3 2 3" xfId="17788"/>
    <cellStyle name="Normal 41 2 2 3 3" xfId="11577"/>
    <cellStyle name="Normal 41 2 2 3 4" xfId="17787"/>
    <cellStyle name="Normal 41 2 2 4" xfId="5426"/>
    <cellStyle name="Normal 41 2 2 4 2" xfId="5427"/>
    <cellStyle name="Normal 41 2 2 4 2 2" xfId="11580"/>
    <cellStyle name="Normal 41 2 2 4 2 3" xfId="17790"/>
    <cellStyle name="Normal 41 2 2 4 3" xfId="11579"/>
    <cellStyle name="Normal 41 2 2 4 4" xfId="17789"/>
    <cellStyle name="Normal 41 2 2 5" xfId="5428"/>
    <cellStyle name="Normal 41 2 2 5 2" xfId="11581"/>
    <cellStyle name="Normal 41 2 2 5 3" xfId="17791"/>
    <cellStyle name="Normal 41 2 2 6" xfId="11570"/>
    <cellStyle name="Normal 41 2 2 7" xfId="17780"/>
    <cellStyle name="Normal 41 2 3" xfId="5429"/>
    <cellStyle name="Normal 41 2 3 2" xfId="5430"/>
    <cellStyle name="Normal 41 2 3 2 2" xfId="5431"/>
    <cellStyle name="Normal 41 2 3 2 2 2" xfId="11584"/>
    <cellStyle name="Normal 41 2 3 2 2 3" xfId="17794"/>
    <cellStyle name="Normal 41 2 3 2 3" xfId="11583"/>
    <cellStyle name="Normal 41 2 3 2 4" xfId="17793"/>
    <cellStyle name="Normal 41 2 3 3" xfId="5432"/>
    <cellStyle name="Normal 41 2 3 3 2" xfId="5433"/>
    <cellStyle name="Normal 41 2 3 3 2 2" xfId="11586"/>
    <cellStyle name="Normal 41 2 3 3 2 3" xfId="17796"/>
    <cellStyle name="Normal 41 2 3 3 3" xfId="11585"/>
    <cellStyle name="Normal 41 2 3 3 4" xfId="17795"/>
    <cellStyle name="Normal 41 2 3 4" xfId="5434"/>
    <cellStyle name="Normal 41 2 3 4 2" xfId="11587"/>
    <cellStyle name="Normal 41 2 3 4 3" xfId="17797"/>
    <cellStyle name="Normal 41 2 3 5" xfId="11582"/>
    <cellStyle name="Normal 41 2 3 6" xfId="17792"/>
    <cellStyle name="Normal 41 2 4" xfId="5435"/>
    <cellStyle name="Normal 41 2 4 2" xfId="5436"/>
    <cellStyle name="Normal 41 2 4 2 2" xfId="11589"/>
    <cellStyle name="Normal 41 2 4 2 3" xfId="17799"/>
    <cellStyle name="Normal 41 2 4 3" xfId="11588"/>
    <cellStyle name="Normal 41 2 4 4" xfId="17798"/>
    <cellStyle name="Normal 41 2 5" xfId="5437"/>
    <cellStyle name="Normal 41 2 5 2" xfId="5438"/>
    <cellStyle name="Normal 41 2 5 2 2" xfId="11591"/>
    <cellStyle name="Normal 41 2 5 2 3" xfId="17801"/>
    <cellStyle name="Normal 41 2 5 3" xfId="11590"/>
    <cellStyle name="Normal 41 2 5 4" xfId="17800"/>
    <cellStyle name="Normal 41 2 6" xfId="5439"/>
    <cellStyle name="Normal 41 2 6 2" xfId="11592"/>
    <cellStyle name="Normal 41 2 6 3" xfId="17802"/>
    <cellStyle name="Normal 41 2 7" xfId="11569"/>
    <cellStyle name="Normal 41 2 8" xfId="17779"/>
    <cellStyle name="Normal 41 3" xfId="5440"/>
    <cellStyle name="Normal 41 3 2" xfId="5441"/>
    <cellStyle name="Normal 41 3 2 2" xfId="5442"/>
    <cellStyle name="Normal 41 3 2 2 2" xfId="5443"/>
    <cellStyle name="Normal 41 3 2 2 2 2" xfId="11596"/>
    <cellStyle name="Normal 41 3 2 2 2 3" xfId="17806"/>
    <cellStyle name="Normal 41 3 2 2 3" xfId="11595"/>
    <cellStyle name="Normal 41 3 2 2 4" xfId="17805"/>
    <cellStyle name="Normal 41 3 2 3" xfId="5444"/>
    <cellStyle name="Normal 41 3 2 3 2" xfId="5445"/>
    <cellStyle name="Normal 41 3 2 3 2 2" xfId="11598"/>
    <cellStyle name="Normal 41 3 2 3 2 3" xfId="17808"/>
    <cellStyle name="Normal 41 3 2 3 3" xfId="11597"/>
    <cellStyle name="Normal 41 3 2 3 4" xfId="17807"/>
    <cellStyle name="Normal 41 3 2 4" xfId="5446"/>
    <cellStyle name="Normal 41 3 2 4 2" xfId="11599"/>
    <cellStyle name="Normal 41 3 2 4 3" xfId="17809"/>
    <cellStyle name="Normal 41 3 2 5" xfId="11594"/>
    <cellStyle name="Normal 41 3 2 6" xfId="17804"/>
    <cellStyle name="Normal 41 3 3" xfId="5447"/>
    <cellStyle name="Normal 41 3 3 2" xfId="5448"/>
    <cellStyle name="Normal 41 3 3 2 2" xfId="11601"/>
    <cellStyle name="Normal 41 3 3 2 3" xfId="17811"/>
    <cellStyle name="Normal 41 3 3 3" xfId="11600"/>
    <cellStyle name="Normal 41 3 3 4" xfId="17810"/>
    <cellStyle name="Normal 41 3 4" xfId="5449"/>
    <cellStyle name="Normal 41 3 4 2" xfId="5450"/>
    <cellStyle name="Normal 41 3 4 2 2" xfId="11603"/>
    <cellStyle name="Normal 41 3 4 2 3" xfId="17813"/>
    <cellStyle name="Normal 41 3 4 3" xfId="11602"/>
    <cellStyle name="Normal 41 3 4 4" xfId="17812"/>
    <cellStyle name="Normal 41 3 5" xfId="5451"/>
    <cellStyle name="Normal 41 3 5 2" xfId="11604"/>
    <cellStyle name="Normal 41 3 5 3" xfId="17814"/>
    <cellStyle name="Normal 41 3 6" xfId="11593"/>
    <cellStyle name="Normal 41 3 7" xfId="17803"/>
    <cellStyle name="Normal 41 4" xfId="5452"/>
    <cellStyle name="Normal 41 4 2" xfId="5453"/>
    <cellStyle name="Normal 41 4 2 2" xfId="5454"/>
    <cellStyle name="Normal 41 4 2 2 2" xfId="11607"/>
    <cellStyle name="Normal 41 4 2 2 3" xfId="17817"/>
    <cellStyle name="Normal 41 4 2 3" xfId="11606"/>
    <cellStyle name="Normal 41 4 2 4" xfId="17816"/>
    <cellStyle name="Normal 41 4 3" xfId="5455"/>
    <cellStyle name="Normal 41 4 3 2" xfId="5456"/>
    <cellStyle name="Normal 41 4 3 2 2" xfId="11609"/>
    <cellStyle name="Normal 41 4 3 2 3" xfId="17819"/>
    <cellStyle name="Normal 41 4 3 3" xfId="11608"/>
    <cellStyle name="Normal 41 4 3 4" xfId="17818"/>
    <cellStyle name="Normal 41 4 4" xfId="5457"/>
    <cellStyle name="Normal 41 4 4 2" xfId="11610"/>
    <cellStyle name="Normal 41 4 4 3" xfId="17820"/>
    <cellStyle name="Normal 41 4 5" xfId="11605"/>
    <cellStyle name="Normal 41 4 6" xfId="17815"/>
    <cellStyle name="Normal 41 5" xfId="5458"/>
    <cellStyle name="Normal 41 5 2" xfId="5459"/>
    <cellStyle name="Normal 41 5 2 2" xfId="11612"/>
    <cellStyle name="Normal 41 5 2 3" xfId="17822"/>
    <cellStyle name="Normal 41 5 3" xfId="11611"/>
    <cellStyle name="Normal 41 5 4" xfId="17821"/>
    <cellStyle name="Normal 41 6" xfId="5460"/>
    <cellStyle name="Normal 41 6 2" xfId="5461"/>
    <cellStyle name="Normal 41 6 2 2" xfId="11614"/>
    <cellStyle name="Normal 41 6 2 3" xfId="17824"/>
    <cellStyle name="Normal 41 6 3" xfId="11613"/>
    <cellStyle name="Normal 41 6 4" xfId="17823"/>
    <cellStyle name="Normal 41 7" xfId="5462"/>
    <cellStyle name="Normal 41 7 2" xfId="11615"/>
    <cellStyle name="Normal 41 7 3" xfId="17825"/>
    <cellStyle name="Normal 41 8" xfId="5463"/>
    <cellStyle name="Normal 41 8 2" xfId="17826"/>
    <cellStyle name="Normal 41 9" xfId="11568"/>
    <cellStyle name="Normal 42" xfId="5464"/>
    <cellStyle name="Normal 42 2" xfId="5465"/>
    <cellStyle name="Normal 42 2 2" xfId="11617"/>
    <cellStyle name="Normal 42 2 3" xfId="17828"/>
    <cellStyle name="Normal 42 3" xfId="5466"/>
    <cellStyle name="Normal 42 3 2" xfId="11618"/>
    <cellStyle name="Normal 42 3 3" xfId="17829"/>
    <cellStyle name="Normal 42 4" xfId="5467"/>
    <cellStyle name="Normal 42 4 2" xfId="17830"/>
    <cellStyle name="Normal 42 5" xfId="11616"/>
    <cellStyle name="Normal 42 6" xfId="17827"/>
    <cellStyle name="Normal 43" xfId="5468"/>
    <cellStyle name="Normal 43 2" xfId="5469"/>
    <cellStyle name="Normal 43 2 2" xfId="5470"/>
    <cellStyle name="Normal 43 2 2 2" xfId="5471"/>
    <cellStyle name="Normal 43 2 2 2 2" xfId="5472"/>
    <cellStyle name="Normal 43 2 2 2 2 2" xfId="5473"/>
    <cellStyle name="Normal 43 2 2 2 2 2 2" xfId="11624"/>
    <cellStyle name="Normal 43 2 2 2 2 2 3" xfId="17836"/>
    <cellStyle name="Normal 43 2 2 2 2 3" xfId="11623"/>
    <cellStyle name="Normal 43 2 2 2 2 4" xfId="17835"/>
    <cellStyle name="Normal 43 2 2 2 3" xfId="5474"/>
    <cellStyle name="Normal 43 2 2 2 3 2" xfId="5475"/>
    <cellStyle name="Normal 43 2 2 2 3 2 2" xfId="11626"/>
    <cellStyle name="Normal 43 2 2 2 3 2 3" xfId="17838"/>
    <cellStyle name="Normal 43 2 2 2 3 3" xfId="11625"/>
    <cellStyle name="Normal 43 2 2 2 3 4" xfId="17837"/>
    <cellStyle name="Normal 43 2 2 2 4" xfId="5476"/>
    <cellStyle name="Normal 43 2 2 2 4 2" xfId="11627"/>
    <cellStyle name="Normal 43 2 2 2 4 3" xfId="17839"/>
    <cellStyle name="Normal 43 2 2 2 5" xfId="11622"/>
    <cellStyle name="Normal 43 2 2 2 6" xfId="17834"/>
    <cellStyle name="Normal 43 2 2 3" xfId="5477"/>
    <cellStyle name="Normal 43 2 2 3 2" xfId="5478"/>
    <cellStyle name="Normal 43 2 2 3 2 2" xfId="11629"/>
    <cellStyle name="Normal 43 2 2 3 2 3" xfId="17841"/>
    <cellStyle name="Normal 43 2 2 3 3" xfId="11628"/>
    <cellStyle name="Normal 43 2 2 3 4" xfId="17840"/>
    <cellStyle name="Normal 43 2 2 4" xfId="5479"/>
    <cellStyle name="Normal 43 2 2 4 2" xfId="5480"/>
    <cellStyle name="Normal 43 2 2 4 2 2" xfId="11631"/>
    <cellStyle name="Normal 43 2 2 4 2 3" xfId="17843"/>
    <cellStyle name="Normal 43 2 2 4 3" xfId="11630"/>
    <cellStyle name="Normal 43 2 2 4 4" xfId="17842"/>
    <cellStyle name="Normal 43 2 2 5" xfId="5481"/>
    <cellStyle name="Normal 43 2 2 5 2" xfId="11632"/>
    <cellStyle name="Normal 43 2 2 5 3" xfId="17844"/>
    <cellStyle name="Normal 43 2 2 6" xfId="11621"/>
    <cellStyle name="Normal 43 2 2 7" xfId="17833"/>
    <cellStyle name="Normal 43 2 3" xfId="5482"/>
    <cellStyle name="Normal 43 2 3 2" xfId="5483"/>
    <cellStyle name="Normal 43 2 3 2 2" xfId="5484"/>
    <cellStyle name="Normal 43 2 3 2 2 2" xfId="11635"/>
    <cellStyle name="Normal 43 2 3 2 2 3" xfId="17847"/>
    <cellStyle name="Normal 43 2 3 2 3" xfId="11634"/>
    <cellStyle name="Normal 43 2 3 2 4" xfId="17846"/>
    <cellStyle name="Normal 43 2 3 3" xfId="5485"/>
    <cellStyle name="Normal 43 2 3 3 2" xfId="5486"/>
    <cellStyle name="Normal 43 2 3 3 2 2" xfId="11637"/>
    <cellStyle name="Normal 43 2 3 3 2 3" xfId="17849"/>
    <cellStyle name="Normal 43 2 3 3 3" xfId="11636"/>
    <cellStyle name="Normal 43 2 3 3 4" xfId="17848"/>
    <cellStyle name="Normal 43 2 3 4" xfId="5487"/>
    <cellStyle name="Normal 43 2 3 4 2" xfId="11638"/>
    <cellStyle name="Normal 43 2 3 4 3" xfId="17850"/>
    <cellStyle name="Normal 43 2 3 5" xfId="11633"/>
    <cellStyle name="Normal 43 2 3 6" xfId="17845"/>
    <cellStyle name="Normal 43 2 4" xfId="5488"/>
    <cellStyle name="Normal 43 2 4 2" xfId="5489"/>
    <cellStyle name="Normal 43 2 4 2 2" xfId="11640"/>
    <cellStyle name="Normal 43 2 4 2 3" xfId="17852"/>
    <cellStyle name="Normal 43 2 4 3" xfId="11639"/>
    <cellStyle name="Normal 43 2 4 4" xfId="17851"/>
    <cellStyle name="Normal 43 2 5" xfId="5490"/>
    <cellStyle name="Normal 43 2 5 2" xfId="5491"/>
    <cellStyle name="Normal 43 2 5 2 2" xfId="11642"/>
    <cellStyle name="Normal 43 2 5 2 3" xfId="17854"/>
    <cellStyle name="Normal 43 2 5 3" xfId="11641"/>
    <cellStyle name="Normal 43 2 5 4" xfId="17853"/>
    <cellStyle name="Normal 43 2 6" xfId="5492"/>
    <cellStyle name="Normal 43 2 6 2" xfId="11643"/>
    <cellStyle name="Normal 43 2 6 3" xfId="17855"/>
    <cellStyle name="Normal 43 2 7" xfId="11620"/>
    <cellStyle name="Normal 43 2 8" xfId="17832"/>
    <cellStyle name="Normal 43 3" xfId="5493"/>
    <cellStyle name="Normal 43 3 2" xfId="11644"/>
    <cellStyle name="Normal 43 3 3" xfId="17856"/>
    <cellStyle name="Normal 43 4" xfId="5494"/>
    <cellStyle name="Normal 43 4 2" xfId="17857"/>
    <cellStyle name="Normal 43 5" xfId="11619"/>
    <cellStyle name="Normal 43 6" xfId="17831"/>
    <cellStyle name="Normal 44" xfId="5495"/>
    <cellStyle name="Normal 44 10" xfId="17858"/>
    <cellStyle name="Normal 44 2" xfId="5496"/>
    <cellStyle name="Normal 44 2 2" xfId="5497"/>
    <cellStyle name="Normal 44 2 2 2" xfId="5498"/>
    <cellStyle name="Normal 44 2 2 2 2" xfId="5499"/>
    <cellStyle name="Normal 44 2 2 2 2 2" xfId="5500"/>
    <cellStyle name="Normal 44 2 2 2 2 2 2" xfId="11650"/>
    <cellStyle name="Normal 44 2 2 2 2 2 3" xfId="17863"/>
    <cellStyle name="Normal 44 2 2 2 2 3" xfId="11649"/>
    <cellStyle name="Normal 44 2 2 2 2 4" xfId="17862"/>
    <cellStyle name="Normal 44 2 2 2 3" xfId="5501"/>
    <cellStyle name="Normal 44 2 2 2 3 2" xfId="5502"/>
    <cellStyle name="Normal 44 2 2 2 3 2 2" xfId="11652"/>
    <cellStyle name="Normal 44 2 2 2 3 2 3" xfId="17865"/>
    <cellStyle name="Normal 44 2 2 2 3 3" xfId="11651"/>
    <cellStyle name="Normal 44 2 2 2 3 4" xfId="17864"/>
    <cellStyle name="Normal 44 2 2 2 4" xfId="5503"/>
    <cellStyle name="Normal 44 2 2 2 4 2" xfId="11653"/>
    <cellStyle name="Normal 44 2 2 2 4 3" xfId="17866"/>
    <cellStyle name="Normal 44 2 2 2 5" xfId="11648"/>
    <cellStyle name="Normal 44 2 2 2 6" xfId="17861"/>
    <cellStyle name="Normal 44 2 2 3" xfId="5504"/>
    <cellStyle name="Normal 44 2 2 3 2" xfId="5505"/>
    <cellStyle name="Normal 44 2 2 3 2 2" xfId="11655"/>
    <cellStyle name="Normal 44 2 2 3 2 3" xfId="17868"/>
    <cellStyle name="Normal 44 2 2 3 3" xfId="11654"/>
    <cellStyle name="Normal 44 2 2 3 4" xfId="17867"/>
    <cellStyle name="Normal 44 2 2 4" xfId="5506"/>
    <cellStyle name="Normal 44 2 2 4 2" xfId="5507"/>
    <cellStyle name="Normal 44 2 2 4 2 2" xfId="11657"/>
    <cellStyle name="Normal 44 2 2 4 2 3" xfId="17870"/>
    <cellStyle name="Normal 44 2 2 4 3" xfId="11656"/>
    <cellStyle name="Normal 44 2 2 4 4" xfId="17869"/>
    <cellStyle name="Normal 44 2 2 5" xfId="5508"/>
    <cellStyle name="Normal 44 2 2 5 2" xfId="11658"/>
    <cellStyle name="Normal 44 2 2 5 3" xfId="17871"/>
    <cellStyle name="Normal 44 2 2 6" xfId="11647"/>
    <cellStyle name="Normal 44 2 2 7" xfId="17860"/>
    <cellStyle name="Normal 44 2 3" xfId="5509"/>
    <cellStyle name="Normal 44 2 3 2" xfId="5510"/>
    <cellStyle name="Normal 44 2 3 2 2" xfId="5511"/>
    <cellStyle name="Normal 44 2 3 2 2 2" xfId="11661"/>
    <cellStyle name="Normal 44 2 3 2 2 3" xfId="17874"/>
    <cellStyle name="Normal 44 2 3 2 3" xfId="11660"/>
    <cellStyle name="Normal 44 2 3 2 4" xfId="17873"/>
    <cellStyle name="Normal 44 2 3 3" xfId="5512"/>
    <cellStyle name="Normal 44 2 3 3 2" xfId="5513"/>
    <cellStyle name="Normal 44 2 3 3 2 2" xfId="11663"/>
    <cellStyle name="Normal 44 2 3 3 2 3" xfId="17876"/>
    <cellStyle name="Normal 44 2 3 3 3" xfId="11662"/>
    <cellStyle name="Normal 44 2 3 3 4" xfId="17875"/>
    <cellStyle name="Normal 44 2 3 4" xfId="5514"/>
    <cellStyle name="Normal 44 2 3 4 2" xfId="11664"/>
    <cellStyle name="Normal 44 2 3 4 3" xfId="17877"/>
    <cellStyle name="Normal 44 2 3 5" xfId="11659"/>
    <cellStyle name="Normal 44 2 3 6" xfId="17872"/>
    <cellStyle name="Normal 44 2 4" xfId="5515"/>
    <cellStyle name="Normal 44 2 4 2" xfId="5516"/>
    <cellStyle name="Normal 44 2 4 2 2" xfId="11666"/>
    <cellStyle name="Normal 44 2 4 2 3" xfId="17879"/>
    <cellStyle name="Normal 44 2 4 3" xfId="11665"/>
    <cellStyle name="Normal 44 2 4 4" xfId="17878"/>
    <cellStyle name="Normal 44 2 5" xfId="5517"/>
    <cellStyle name="Normal 44 2 5 2" xfId="5518"/>
    <cellStyle name="Normal 44 2 5 2 2" xfId="11668"/>
    <cellStyle name="Normal 44 2 5 2 3" xfId="17881"/>
    <cellStyle name="Normal 44 2 5 3" xfId="11667"/>
    <cellStyle name="Normal 44 2 5 4" xfId="17880"/>
    <cellStyle name="Normal 44 2 6" xfId="5519"/>
    <cellStyle name="Normal 44 2 6 2" xfId="11669"/>
    <cellStyle name="Normal 44 2 6 3" xfId="17882"/>
    <cellStyle name="Normal 44 2 7" xfId="11646"/>
    <cellStyle name="Normal 44 2 8" xfId="17859"/>
    <cellStyle name="Normal 44 3" xfId="5520"/>
    <cellStyle name="Normal 44 3 2" xfId="5521"/>
    <cellStyle name="Normal 44 3 2 2" xfId="5522"/>
    <cellStyle name="Normal 44 3 2 2 2" xfId="5523"/>
    <cellStyle name="Normal 44 3 2 2 2 2" xfId="11673"/>
    <cellStyle name="Normal 44 3 2 2 2 3" xfId="17886"/>
    <cellStyle name="Normal 44 3 2 2 3" xfId="11672"/>
    <cellStyle name="Normal 44 3 2 2 4" xfId="17885"/>
    <cellStyle name="Normal 44 3 2 3" xfId="5524"/>
    <cellStyle name="Normal 44 3 2 3 2" xfId="5525"/>
    <cellStyle name="Normal 44 3 2 3 2 2" xfId="11675"/>
    <cellStyle name="Normal 44 3 2 3 2 3" xfId="17888"/>
    <cellStyle name="Normal 44 3 2 3 3" xfId="11674"/>
    <cellStyle name="Normal 44 3 2 3 4" xfId="17887"/>
    <cellStyle name="Normal 44 3 2 4" xfId="5526"/>
    <cellStyle name="Normal 44 3 2 4 2" xfId="11676"/>
    <cellStyle name="Normal 44 3 2 4 3" xfId="17889"/>
    <cellStyle name="Normal 44 3 2 5" xfId="11671"/>
    <cellStyle name="Normal 44 3 2 6" xfId="17884"/>
    <cellStyle name="Normal 44 3 3" xfId="5527"/>
    <cellStyle name="Normal 44 3 3 2" xfId="5528"/>
    <cellStyle name="Normal 44 3 3 2 2" xfId="11678"/>
    <cellStyle name="Normal 44 3 3 2 3" xfId="17891"/>
    <cellStyle name="Normal 44 3 3 3" xfId="11677"/>
    <cellStyle name="Normal 44 3 3 4" xfId="17890"/>
    <cellStyle name="Normal 44 3 4" xfId="5529"/>
    <cellStyle name="Normal 44 3 4 2" xfId="5530"/>
    <cellStyle name="Normal 44 3 4 2 2" xfId="11680"/>
    <cellStyle name="Normal 44 3 4 2 3" xfId="17893"/>
    <cellStyle name="Normal 44 3 4 3" xfId="11679"/>
    <cellStyle name="Normal 44 3 4 4" xfId="17892"/>
    <cellStyle name="Normal 44 3 5" xfId="5531"/>
    <cellStyle name="Normal 44 3 5 2" xfId="11681"/>
    <cellStyle name="Normal 44 3 5 3" xfId="17894"/>
    <cellStyle name="Normal 44 3 6" xfId="11670"/>
    <cellStyle name="Normal 44 3 7" xfId="17883"/>
    <cellStyle name="Normal 44 4" xfId="5532"/>
    <cellStyle name="Normal 44 4 2" xfId="5533"/>
    <cellStyle name="Normal 44 4 2 2" xfId="5534"/>
    <cellStyle name="Normal 44 4 2 2 2" xfId="11684"/>
    <cellStyle name="Normal 44 4 2 2 3" xfId="17897"/>
    <cellStyle name="Normal 44 4 2 3" xfId="11683"/>
    <cellStyle name="Normal 44 4 2 4" xfId="17896"/>
    <cellStyle name="Normal 44 4 3" xfId="5535"/>
    <cellStyle name="Normal 44 4 3 2" xfId="5536"/>
    <cellStyle name="Normal 44 4 3 2 2" xfId="11686"/>
    <cellStyle name="Normal 44 4 3 2 3" xfId="17899"/>
    <cellStyle name="Normal 44 4 3 3" xfId="11685"/>
    <cellStyle name="Normal 44 4 3 4" xfId="17898"/>
    <cellStyle name="Normal 44 4 4" xfId="5537"/>
    <cellStyle name="Normal 44 4 4 2" xfId="11687"/>
    <cellStyle name="Normal 44 4 4 3" xfId="17900"/>
    <cellStyle name="Normal 44 4 5" xfId="11682"/>
    <cellStyle name="Normal 44 4 6" xfId="17895"/>
    <cellStyle name="Normal 44 5" xfId="5538"/>
    <cellStyle name="Normal 44 5 2" xfId="5539"/>
    <cellStyle name="Normal 44 5 2 2" xfId="11689"/>
    <cellStyle name="Normal 44 5 2 3" xfId="17902"/>
    <cellStyle name="Normal 44 5 3" xfId="11688"/>
    <cellStyle name="Normal 44 5 4" xfId="17901"/>
    <cellStyle name="Normal 44 6" xfId="5540"/>
    <cellStyle name="Normal 44 6 2" xfId="5541"/>
    <cellStyle name="Normal 44 6 2 2" xfId="11691"/>
    <cellStyle name="Normal 44 6 2 3" xfId="17904"/>
    <cellStyle name="Normal 44 6 3" xfId="11690"/>
    <cellStyle name="Normal 44 6 4" xfId="17903"/>
    <cellStyle name="Normal 44 7" xfId="5542"/>
    <cellStyle name="Normal 44 7 2" xfId="11692"/>
    <cellStyle name="Normal 44 7 3" xfId="17905"/>
    <cellStyle name="Normal 44 8" xfId="5543"/>
    <cellStyle name="Normal 44 8 2" xfId="17906"/>
    <cellStyle name="Normal 44 9" xfId="11645"/>
    <cellStyle name="Normal 45" xfId="5544"/>
    <cellStyle name="Normal 45 2" xfId="5545"/>
    <cellStyle name="Normal 45 2 2" xfId="5546"/>
    <cellStyle name="Normal 45 2 2 2" xfId="5547"/>
    <cellStyle name="Normal 45 2 2 2 2" xfId="5548"/>
    <cellStyle name="Normal 45 2 2 2 2 2" xfId="5549"/>
    <cellStyle name="Normal 45 2 2 2 2 2 2" xfId="11698"/>
    <cellStyle name="Normal 45 2 2 2 2 2 3" xfId="17912"/>
    <cellStyle name="Normal 45 2 2 2 2 3" xfId="11697"/>
    <cellStyle name="Normal 45 2 2 2 2 4" xfId="17911"/>
    <cellStyle name="Normal 45 2 2 2 3" xfId="5550"/>
    <cellStyle name="Normal 45 2 2 2 3 2" xfId="5551"/>
    <cellStyle name="Normal 45 2 2 2 3 2 2" xfId="11700"/>
    <cellStyle name="Normal 45 2 2 2 3 2 3" xfId="17914"/>
    <cellStyle name="Normal 45 2 2 2 3 3" xfId="11699"/>
    <cellStyle name="Normal 45 2 2 2 3 4" xfId="17913"/>
    <cellStyle name="Normal 45 2 2 2 4" xfId="5552"/>
    <cellStyle name="Normal 45 2 2 2 4 2" xfId="11701"/>
    <cellStyle name="Normal 45 2 2 2 4 3" xfId="17915"/>
    <cellStyle name="Normal 45 2 2 2 5" xfId="11696"/>
    <cellStyle name="Normal 45 2 2 2 6" xfId="17910"/>
    <cellStyle name="Normal 45 2 2 3" xfId="5553"/>
    <cellStyle name="Normal 45 2 2 3 2" xfId="5554"/>
    <cellStyle name="Normal 45 2 2 3 2 2" xfId="11703"/>
    <cellStyle name="Normal 45 2 2 3 2 3" xfId="17917"/>
    <cellStyle name="Normal 45 2 2 3 3" xfId="11702"/>
    <cellStyle name="Normal 45 2 2 3 4" xfId="17916"/>
    <cellStyle name="Normal 45 2 2 4" xfId="5555"/>
    <cellStyle name="Normal 45 2 2 4 2" xfId="5556"/>
    <cellStyle name="Normal 45 2 2 4 2 2" xfId="11705"/>
    <cellStyle name="Normal 45 2 2 4 2 3" xfId="17919"/>
    <cellStyle name="Normal 45 2 2 4 3" xfId="11704"/>
    <cellStyle name="Normal 45 2 2 4 4" xfId="17918"/>
    <cellStyle name="Normal 45 2 2 5" xfId="5557"/>
    <cellStyle name="Normal 45 2 2 5 2" xfId="11706"/>
    <cellStyle name="Normal 45 2 2 5 3" xfId="17920"/>
    <cellStyle name="Normal 45 2 2 6" xfId="11695"/>
    <cellStyle name="Normal 45 2 2 7" xfId="17909"/>
    <cellStyle name="Normal 45 2 3" xfId="5558"/>
    <cellStyle name="Normal 45 2 3 2" xfId="5559"/>
    <cellStyle name="Normal 45 2 3 2 2" xfId="5560"/>
    <cellStyle name="Normal 45 2 3 2 2 2" xfId="11709"/>
    <cellStyle name="Normal 45 2 3 2 2 3" xfId="17923"/>
    <cellStyle name="Normal 45 2 3 2 3" xfId="11708"/>
    <cellStyle name="Normal 45 2 3 2 4" xfId="17922"/>
    <cellStyle name="Normal 45 2 3 3" xfId="5561"/>
    <cellStyle name="Normal 45 2 3 3 2" xfId="5562"/>
    <cellStyle name="Normal 45 2 3 3 2 2" xfId="11711"/>
    <cellStyle name="Normal 45 2 3 3 2 3" xfId="17925"/>
    <cellStyle name="Normal 45 2 3 3 3" xfId="11710"/>
    <cellStyle name="Normal 45 2 3 3 4" xfId="17924"/>
    <cellStyle name="Normal 45 2 3 4" xfId="5563"/>
    <cellStyle name="Normal 45 2 3 4 2" xfId="11712"/>
    <cellStyle name="Normal 45 2 3 4 3" xfId="17926"/>
    <cellStyle name="Normal 45 2 3 5" xfId="11707"/>
    <cellStyle name="Normal 45 2 3 6" xfId="17921"/>
    <cellStyle name="Normal 45 2 4" xfId="5564"/>
    <cellStyle name="Normal 45 2 4 2" xfId="5565"/>
    <cellStyle name="Normal 45 2 4 2 2" xfId="11714"/>
    <cellStyle name="Normal 45 2 4 2 3" xfId="17928"/>
    <cellStyle name="Normal 45 2 4 3" xfId="11713"/>
    <cellStyle name="Normal 45 2 4 4" xfId="17927"/>
    <cellStyle name="Normal 45 2 5" xfId="5566"/>
    <cellStyle name="Normal 45 2 5 2" xfId="5567"/>
    <cellStyle name="Normal 45 2 5 2 2" xfId="11716"/>
    <cellStyle name="Normal 45 2 5 2 3" xfId="17930"/>
    <cellStyle name="Normal 45 2 5 3" xfId="11715"/>
    <cellStyle name="Normal 45 2 5 4" xfId="17929"/>
    <cellStyle name="Normal 45 2 6" xfId="5568"/>
    <cellStyle name="Normal 45 2 6 2" xfId="11717"/>
    <cellStyle name="Normal 45 2 6 3" xfId="17931"/>
    <cellStyle name="Normal 45 2 7" xfId="11694"/>
    <cellStyle name="Normal 45 2 8" xfId="17908"/>
    <cellStyle name="Normal 45 3" xfId="5569"/>
    <cellStyle name="Normal 45 3 2" xfId="11718"/>
    <cellStyle name="Normal 45 3 3" xfId="17932"/>
    <cellStyle name="Normal 45 4" xfId="5570"/>
    <cellStyle name="Normal 45 4 2" xfId="17933"/>
    <cellStyle name="Normal 45 5" xfId="11693"/>
    <cellStyle name="Normal 45 6" xfId="17907"/>
    <cellStyle name="Normal 46" xfId="5571"/>
    <cellStyle name="Normal 46 2" xfId="5572"/>
    <cellStyle name="Normal 46 2 2" xfId="5573"/>
    <cellStyle name="Normal 46 2 2 2" xfId="5574"/>
    <cellStyle name="Normal 46 2 2 2 2" xfId="5575"/>
    <cellStyle name="Normal 46 2 2 2 2 2" xfId="5576"/>
    <cellStyle name="Normal 46 2 2 2 2 2 2" xfId="11724"/>
    <cellStyle name="Normal 46 2 2 2 2 2 3" xfId="17939"/>
    <cellStyle name="Normal 46 2 2 2 2 3" xfId="11723"/>
    <cellStyle name="Normal 46 2 2 2 2 4" xfId="17938"/>
    <cellStyle name="Normal 46 2 2 2 3" xfId="5577"/>
    <cellStyle name="Normal 46 2 2 2 3 2" xfId="5578"/>
    <cellStyle name="Normal 46 2 2 2 3 2 2" xfId="11726"/>
    <cellStyle name="Normal 46 2 2 2 3 2 3" xfId="17941"/>
    <cellStyle name="Normal 46 2 2 2 3 3" xfId="11725"/>
    <cellStyle name="Normal 46 2 2 2 3 4" xfId="17940"/>
    <cellStyle name="Normal 46 2 2 2 4" xfId="5579"/>
    <cellStyle name="Normal 46 2 2 2 4 2" xfId="11727"/>
    <cellStyle name="Normal 46 2 2 2 4 3" xfId="17942"/>
    <cellStyle name="Normal 46 2 2 2 5" xfId="11722"/>
    <cellStyle name="Normal 46 2 2 2 6" xfId="17937"/>
    <cellStyle name="Normal 46 2 2 3" xfId="5580"/>
    <cellStyle name="Normal 46 2 2 3 2" xfId="5581"/>
    <cellStyle name="Normal 46 2 2 3 2 2" xfId="11729"/>
    <cellStyle name="Normal 46 2 2 3 2 3" xfId="17944"/>
    <cellStyle name="Normal 46 2 2 3 3" xfId="11728"/>
    <cellStyle name="Normal 46 2 2 3 4" xfId="17943"/>
    <cellStyle name="Normal 46 2 2 4" xfId="5582"/>
    <cellStyle name="Normal 46 2 2 4 2" xfId="5583"/>
    <cellStyle name="Normal 46 2 2 4 2 2" xfId="11731"/>
    <cellStyle name="Normal 46 2 2 4 2 3" xfId="17946"/>
    <cellStyle name="Normal 46 2 2 4 3" xfId="11730"/>
    <cellStyle name="Normal 46 2 2 4 4" xfId="17945"/>
    <cellStyle name="Normal 46 2 2 5" xfId="5584"/>
    <cellStyle name="Normal 46 2 2 5 2" xfId="11732"/>
    <cellStyle name="Normal 46 2 2 5 3" xfId="17947"/>
    <cellStyle name="Normal 46 2 2 6" xfId="11721"/>
    <cellStyle name="Normal 46 2 2 7" xfId="17936"/>
    <cellStyle name="Normal 46 2 3" xfId="5585"/>
    <cellStyle name="Normal 46 2 3 2" xfId="5586"/>
    <cellStyle name="Normal 46 2 3 2 2" xfId="5587"/>
    <cellStyle name="Normal 46 2 3 2 2 2" xfId="11735"/>
    <cellStyle name="Normal 46 2 3 2 2 3" xfId="17950"/>
    <cellStyle name="Normal 46 2 3 2 3" xfId="11734"/>
    <cellStyle name="Normal 46 2 3 2 4" xfId="17949"/>
    <cellStyle name="Normal 46 2 3 3" xfId="5588"/>
    <cellStyle name="Normal 46 2 3 3 2" xfId="5589"/>
    <cellStyle name="Normal 46 2 3 3 2 2" xfId="11737"/>
    <cellStyle name="Normal 46 2 3 3 2 3" xfId="17952"/>
    <cellStyle name="Normal 46 2 3 3 3" xfId="11736"/>
    <cellStyle name="Normal 46 2 3 3 4" xfId="17951"/>
    <cellStyle name="Normal 46 2 3 4" xfId="5590"/>
    <cellStyle name="Normal 46 2 3 4 2" xfId="11738"/>
    <cellStyle name="Normal 46 2 3 4 3" xfId="17953"/>
    <cellStyle name="Normal 46 2 3 5" xfId="11733"/>
    <cellStyle name="Normal 46 2 3 6" xfId="17948"/>
    <cellStyle name="Normal 46 2 4" xfId="5591"/>
    <cellStyle name="Normal 46 2 4 2" xfId="5592"/>
    <cellStyle name="Normal 46 2 4 2 2" xfId="11740"/>
    <cellStyle name="Normal 46 2 4 2 3" xfId="17955"/>
    <cellStyle name="Normal 46 2 4 3" xfId="11739"/>
    <cellStyle name="Normal 46 2 4 4" xfId="17954"/>
    <cellStyle name="Normal 46 2 5" xfId="5593"/>
    <cellStyle name="Normal 46 2 5 2" xfId="5594"/>
    <cellStyle name="Normal 46 2 5 2 2" xfId="11742"/>
    <cellStyle name="Normal 46 2 5 2 3" xfId="17957"/>
    <cellStyle name="Normal 46 2 5 3" xfId="11741"/>
    <cellStyle name="Normal 46 2 5 4" xfId="17956"/>
    <cellStyle name="Normal 46 2 6" xfId="5595"/>
    <cellStyle name="Normal 46 2 6 2" xfId="11743"/>
    <cellStyle name="Normal 46 2 6 3" xfId="17958"/>
    <cellStyle name="Normal 46 2 7" xfId="11720"/>
    <cellStyle name="Normal 46 2 8" xfId="17935"/>
    <cellStyle name="Normal 46 3" xfId="5596"/>
    <cellStyle name="Normal 46 3 2" xfId="11744"/>
    <cellStyle name="Normal 46 3 3" xfId="17959"/>
    <cellStyle name="Normal 46 4" xfId="5597"/>
    <cellStyle name="Normal 46 4 2" xfId="17960"/>
    <cellStyle name="Normal 46 5" xfId="11719"/>
    <cellStyle name="Normal 46 6" xfId="17934"/>
    <cellStyle name="Normal 47" xfId="5598"/>
    <cellStyle name="Normal 47 2" xfId="5599"/>
    <cellStyle name="Normal 47 2 2" xfId="5600"/>
    <cellStyle name="Normal 47 2 2 2" xfId="5601"/>
    <cellStyle name="Normal 47 2 2 2 2" xfId="5602"/>
    <cellStyle name="Normal 47 2 2 2 2 2" xfId="5603"/>
    <cellStyle name="Normal 47 2 2 2 2 2 2" xfId="11750"/>
    <cellStyle name="Normal 47 2 2 2 2 2 3" xfId="17966"/>
    <cellStyle name="Normal 47 2 2 2 2 3" xfId="11749"/>
    <cellStyle name="Normal 47 2 2 2 2 4" xfId="17965"/>
    <cellStyle name="Normal 47 2 2 2 3" xfId="5604"/>
    <cellStyle name="Normal 47 2 2 2 3 2" xfId="5605"/>
    <cellStyle name="Normal 47 2 2 2 3 2 2" xfId="11752"/>
    <cellStyle name="Normal 47 2 2 2 3 2 3" xfId="17968"/>
    <cellStyle name="Normal 47 2 2 2 3 3" xfId="11751"/>
    <cellStyle name="Normal 47 2 2 2 3 4" xfId="17967"/>
    <cellStyle name="Normal 47 2 2 2 4" xfId="5606"/>
    <cellStyle name="Normal 47 2 2 2 4 2" xfId="11753"/>
    <cellStyle name="Normal 47 2 2 2 4 3" xfId="17969"/>
    <cellStyle name="Normal 47 2 2 2 5" xfId="11748"/>
    <cellStyle name="Normal 47 2 2 2 6" xfId="17964"/>
    <cellStyle name="Normal 47 2 2 3" xfId="5607"/>
    <cellStyle name="Normal 47 2 2 3 2" xfId="5608"/>
    <cellStyle name="Normal 47 2 2 3 2 2" xfId="11755"/>
    <cellStyle name="Normal 47 2 2 3 2 3" xfId="17971"/>
    <cellStyle name="Normal 47 2 2 3 3" xfId="11754"/>
    <cellStyle name="Normal 47 2 2 3 4" xfId="17970"/>
    <cellStyle name="Normal 47 2 2 4" xfId="5609"/>
    <cellStyle name="Normal 47 2 2 4 2" xfId="5610"/>
    <cellStyle name="Normal 47 2 2 4 2 2" xfId="11757"/>
    <cellStyle name="Normal 47 2 2 4 2 3" xfId="17973"/>
    <cellStyle name="Normal 47 2 2 4 3" xfId="11756"/>
    <cellStyle name="Normal 47 2 2 4 4" xfId="17972"/>
    <cellStyle name="Normal 47 2 2 5" xfId="5611"/>
    <cellStyle name="Normal 47 2 2 5 2" xfId="11758"/>
    <cellStyle name="Normal 47 2 2 5 3" xfId="17974"/>
    <cellStyle name="Normal 47 2 2 6" xfId="11747"/>
    <cellStyle name="Normal 47 2 2 7" xfId="17963"/>
    <cellStyle name="Normal 47 2 3" xfId="5612"/>
    <cellStyle name="Normal 47 2 3 2" xfId="5613"/>
    <cellStyle name="Normal 47 2 3 2 2" xfId="5614"/>
    <cellStyle name="Normal 47 2 3 2 2 2" xfId="11761"/>
    <cellStyle name="Normal 47 2 3 2 2 3" xfId="17977"/>
    <cellStyle name="Normal 47 2 3 2 3" xfId="11760"/>
    <cellStyle name="Normal 47 2 3 2 4" xfId="17976"/>
    <cellStyle name="Normal 47 2 3 3" xfId="5615"/>
    <cellStyle name="Normal 47 2 3 3 2" xfId="5616"/>
    <cellStyle name="Normal 47 2 3 3 2 2" xfId="11763"/>
    <cellStyle name="Normal 47 2 3 3 2 3" xfId="17979"/>
    <cellStyle name="Normal 47 2 3 3 3" xfId="11762"/>
    <cellStyle name="Normal 47 2 3 3 4" xfId="17978"/>
    <cellStyle name="Normal 47 2 3 4" xfId="5617"/>
    <cellStyle name="Normal 47 2 3 4 2" xfId="11764"/>
    <cellStyle name="Normal 47 2 3 4 3" xfId="17980"/>
    <cellStyle name="Normal 47 2 3 5" xfId="11759"/>
    <cellStyle name="Normal 47 2 3 6" xfId="17975"/>
    <cellStyle name="Normal 47 2 4" xfId="5618"/>
    <cellStyle name="Normal 47 2 4 2" xfId="5619"/>
    <cellStyle name="Normal 47 2 4 2 2" xfId="11766"/>
    <cellStyle name="Normal 47 2 4 2 3" xfId="17982"/>
    <cellStyle name="Normal 47 2 4 3" xfId="11765"/>
    <cellStyle name="Normal 47 2 4 4" xfId="17981"/>
    <cellStyle name="Normal 47 2 5" xfId="5620"/>
    <cellStyle name="Normal 47 2 5 2" xfId="5621"/>
    <cellStyle name="Normal 47 2 5 2 2" xfId="11768"/>
    <cellStyle name="Normal 47 2 5 2 3" xfId="17984"/>
    <cellStyle name="Normal 47 2 5 3" xfId="11767"/>
    <cellStyle name="Normal 47 2 5 4" xfId="17983"/>
    <cellStyle name="Normal 47 2 6" xfId="5622"/>
    <cellStyle name="Normal 47 2 6 2" xfId="11769"/>
    <cellStyle name="Normal 47 2 6 3" xfId="17985"/>
    <cellStyle name="Normal 47 2 7" xfId="11746"/>
    <cellStyle name="Normal 47 2 8" xfId="17962"/>
    <cellStyle name="Normal 47 3" xfId="5623"/>
    <cellStyle name="Normal 47 3 2" xfId="11770"/>
    <cellStyle name="Normal 47 3 3" xfId="17986"/>
    <cellStyle name="Normal 47 4" xfId="5624"/>
    <cellStyle name="Normal 47 4 2" xfId="17987"/>
    <cellStyle name="Normal 47 5" xfId="11745"/>
    <cellStyle name="Normal 47 6" xfId="17961"/>
    <cellStyle name="Normal 48" xfId="5625"/>
    <cellStyle name="Normal 48 10" xfId="17988"/>
    <cellStyle name="Normal 48 2" xfId="5626"/>
    <cellStyle name="Normal 48 2 2" xfId="5627"/>
    <cellStyle name="Normal 48 2 2 2" xfId="5628"/>
    <cellStyle name="Normal 48 2 2 2 2" xfId="5629"/>
    <cellStyle name="Normal 48 2 2 2 2 2" xfId="5630"/>
    <cellStyle name="Normal 48 2 2 2 2 2 2" xfId="11776"/>
    <cellStyle name="Normal 48 2 2 2 2 2 3" xfId="17993"/>
    <cellStyle name="Normal 48 2 2 2 2 3" xfId="11775"/>
    <cellStyle name="Normal 48 2 2 2 2 4" xfId="17992"/>
    <cellStyle name="Normal 48 2 2 2 3" xfId="5631"/>
    <cellStyle name="Normal 48 2 2 2 3 2" xfId="5632"/>
    <cellStyle name="Normal 48 2 2 2 3 2 2" xfId="11778"/>
    <cellStyle name="Normal 48 2 2 2 3 2 3" xfId="17995"/>
    <cellStyle name="Normal 48 2 2 2 3 3" xfId="11777"/>
    <cellStyle name="Normal 48 2 2 2 3 4" xfId="17994"/>
    <cellStyle name="Normal 48 2 2 2 4" xfId="5633"/>
    <cellStyle name="Normal 48 2 2 2 4 2" xfId="11779"/>
    <cellStyle name="Normal 48 2 2 2 4 3" xfId="17996"/>
    <cellStyle name="Normal 48 2 2 2 5" xfId="11774"/>
    <cellStyle name="Normal 48 2 2 2 6" xfId="17991"/>
    <cellStyle name="Normal 48 2 2 3" xfId="5634"/>
    <cellStyle name="Normal 48 2 2 3 2" xfId="5635"/>
    <cellStyle name="Normal 48 2 2 3 2 2" xfId="11781"/>
    <cellStyle name="Normal 48 2 2 3 2 3" xfId="17998"/>
    <cellStyle name="Normal 48 2 2 3 3" xfId="11780"/>
    <cellStyle name="Normal 48 2 2 3 4" xfId="17997"/>
    <cellStyle name="Normal 48 2 2 4" xfId="5636"/>
    <cellStyle name="Normal 48 2 2 4 2" xfId="5637"/>
    <cellStyle name="Normal 48 2 2 4 2 2" xfId="11783"/>
    <cellStyle name="Normal 48 2 2 4 2 3" xfId="18000"/>
    <cellStyle name="Normal 48 2 2 4 3" xfId="11782"/>
    <cellStyle name="Normal 48 2 2 4 4" xfId="17999"/>
    <cellStyle name="Normal 48 2 2 5" xfId="5638"/>
    <cellStyle name="Normal 48 2 2 5 2" xfId="11784"/>
    <cellStyle name="Normal 48 2 2 5 3" xfId="18001"/>
    <cellStyle name="Normal 48 2 2 6" xfId="11773"/>
    <cellStyle name="Normal 48 2 2 7" xfId="17990"/>
    <cellStyle name="Normal 48 2 3" xfId="5639"/>
    <cellStyle name="Normal 48 2 3 2" xfId="5640"/>
    <cellStyle name="Normal 48 2 3 2 2" xfId="5641"/>
    <cellStyle name="Normal 48 2 3 2 2 2" xfId="11787"/>
    <cellStyle name="Normal 48 2 3 2 2 3" xfId="18004"/>
    <cellStyle name="Normal 48 2 3 2 3" xfId="11786"/>
    <cellStyle name="Normal 48 2 3 2 4" xfId="18003"/>
    <cellStyle name="Normal 48 2 3 3" xfId="5642"/>
    <cellStyle name="Normal 48 2 3 3 2" xfId="5643"/>
    <cellStyle name="Normal 48 2 3 3 2 2" xfId="11789"/>
    <cellStyle name="Normal 48 2 3 3 2 3" xfId="18006"/>
    <cellStyle name="Normal 48 2 3 3 3" xfId="11788"/>
    <cellStyle name="Normal 48 2 3 3 4" xfId="18005"/>
    <cellStyle name="Normal 48 2 3 4" xfId="5644"/>
    <cellStyle name="Normal 48 2 3 4 2" xfId="11790"/>
    <cellStyle name="Normal 48 2 3 4 3" xfId="18007"/>
    <cellStyle name="Normal 48 2 3 5" xfId="11785"/>
    <cellStyle name="Normal 48 2 3 6" xfId="18002"/>
    <cellStyle name="Normal 48 2 4" xfId="5645"/>
    <cellStyle name="Normal 48 2 4 2" xfId="5646"/>
    <cellStyle name="Normal 48 2 4 2 2" xfId="11792"/>
    <cellStyle name="Normal 48 2 4 2 3" xfId="18009"/>
    <cellStyle name="Normal 48 2 4 3" xfId="11791"/>
    <cellStyle name="Normal 48 2 4 4" xfId="18008"/>
    <cellStyle name="Normal 48 2 5" xfId="5647"/>
    <cellStyle name="Normal 48 2 5 2" xfId="5648"/>
    <cellStyle name="Normal 48 2 5 2 2" xfId="11794"/>
    <cellStyle name="Normal 48 2 5 2 3" xfId="18011"/>
    <cellStyle name="Normal 48 2 5 3" xfId="11793"/>
    <cellStyle name="Normal 48 2 5 4" xfId="18010"/>
    <cellStyle name="Normal 48 2 6" xfId="5649"/>
    <cellStyle name="Normal 48 2 6 2" xfId="11795"/>
    <cellStyle name="Normal 48 2 6 3" xfId="18012"/>
    <cellStyle name="Normal 48 2 7" xfId="11772"/>
    <cellStyle name="Normal 48 2 8" xfId="17989"/>
    <cellStyle name="Normal 48 3" xfId="5650"/>
    <cellStyle name="Normal 48 3 2" xfId="5651"/>
    <cellStyle name="Normal 48 3 2 2" xfId="5652"/>
    <cellStyle name="Normal 48 3 2 2 2" xfId="5653"/>
    <cellStyle name="Normal 48 3 2 2 2 2" xfId="11799"/>
    <cellStyle name="Normal 48 3 2 2 2 3" xfId="18016"/>
    <cellStyle name="Normal 48 3 2 2 3" xfId="11798"/>
    <cellStyle name="Normal 48 3 2 2 4" xfId="18015"/>
    <cellStyle name="Normal 48 3 2 3" xfId="5654"/>
    <cellStyle name="Normal 48 3 2 3 2" xfId="5655"/>
    <cellStyle name="Normal 48 3 2 3 2 2" xfId="11801"/>
    <cellStyle name="Normal 48 3 2 3 2 3" xfId="18018"/>
    <cellStyle name="Normal 48 3 2 3 3" xfId="11800"/>
    <cellStyle name="Normal 48 3 2 3 4" xfId="18017"/>
    <cellStyle name="Normal 48 3 2 4" xfId="5656"/>
    <cellStyle name="Normal 48 3 2 4 2" xfId="11802"/>
    <cellStyle name="Normal 48 3 2 4 3" xfId="18019"/>
    <cellStyle name="Normal 48 3 2 5" xfId="11797"/>
    <cellStyle name="Normal 48 3 2 6" xfId="18014"/>
    <cellStyle name="Normal 48 3 3" xfId="5657"/>
    <cellStyle name="Normal 48 3 3 2" xfId="5658"/>
    <cellStyle name="Normal 48 3 3 2 2" xfId="11804"/>
    <cellStyle name="Normal 48 3 3 2 3" xfId="18021"/>
    <cellStyle name="Normal 48 3 3 3" xfId="11803"/>
    <cellStyle name="Normal 48 3 3 4" xfId="18020"/>
    <cellStyle name="Normal 48 3 4" xfId="5659"/>
    <cellStyle name="Normal 48 3 4 2" xfId="5660"/>
    <cellStyle name="Normal 48 3 4 2 2" xfId="11806"/>
    <cellStyle name="Normal 48 3 4 2 3" xfId="18023"/>
    <cellStyle name="Normal 48 3 4 3" xfId="11805"/>
    <cellStyle name="Normal 48 3 4 4" xfId="18022"/>
    <cellStyle name="Normal 48 3 5" xfId="5661"/>
    <cellStyle name="Normal 48 3 5 2" xfId="11807"/>
    <cellStyle name="Normal 48 3 5 3" xfId="18024"/>
    <cellStyle name="Normal 48 3 6" xfId="11796"/>
    <cellStyle name="Normal 48 3 7" xfId="18013"/>
    <cellStyle name="Normal 48 4" xfId="5662"/>
    <cellStyle name="Normal 48 4 2" xfId="5663"/>
    <cellStyle name="Normal 48 4 2 2" xfId="5664"/>
    <cellStyle name="Normal 48 4 2 2 2" xfId="11810"/>
    <cellStyle name="Normal 48 4 2 2 3" xfId="18027"/>
    <cellStyle name="Normal 48 4 2 3" xfId="11809"/>
    <cellStyle name="Normal 48 4 2 4" xfId="18026"/>
    <cellStyle name="Normal 48 4 3" xfId="5665"/>
    <cellStyle name="Normal 48 4 3 2" xfId="5666"/>
    <cellStyle name="Normal 48 4 3 2 2" xfId="11812"/>
    <cellStyle name="Normal 48 4 3 2 3" xfId="18029"/>
    <cellStyle name="Normal 48 4 3 3" xfId="11811"/>
    <cellStyle name="Normal 48 4 3 4" xfId="18028"/>
    <cellStyle name="Normal 48 4 4" xfId="5667"/>
    <cellStyle name="Normal 48 4 4 2" xfId="11813"/>
    <cellStyle name="Normal 48 4 4 3" xfId="18030"/>
    <cellStyle name="Normal 48 4 5" xfId="11808"/>
    <cellStyle name="Normal 48 4 6" xfId="18025"/>
    <cellStyle name="Normal 48 5" xfId="5668"/>
    <cellStyle name="Normal 48 5 2" xfId="5669"/>
    <cellStyle name="Normal 48 5 2 2" xfId="11815"/>
    <cellStyle name="Normal 48 5 2 3" xfId="18032"/>
    <cellStyle name="Normal 48 5 3" xfId="11814"/>
    <cellStyle name="Normal 48 5 4" xfId="18031"/>
    <cellStyle name="Normal 48 6" xfId="5670"/>
    <cellStyle name="Normal 48 6 2" xfId="5671"/>
    <cellStyle name="Normal 48 6 2 2" xfId="11817"/>
    <cellStyle name="Normal 48 6 2 3" xfId="18034"/>
    <cellStyle name="Normal 48 6 3" xfId="11816"/>
    <cellStyle name="Normal 48 6 4" xfId="18033"/>
    <cellStyle name="Normal 48 7" xfId="5672"/>
    <cellStyle name="Normal 48 7 2" xfId="11818"/>
    <cellStyle name="Normal 48 7 3" xfId="18035"/>
    <cellStyle name="Normal 48 8" xfId="5673"/>
    <cellStyle name="Normal 48 8 2" xfId="18036"/>
    <cellStyle name="Normal 48 9" xfId="11771"/>
    <cellStyle name="Normal 49" xfId="5674"/>
    <cellStyle name="Normal 49 10" xfId="18037"/>
    <cellStyle name="Normal 49 2" xfId="5675"/>
    <cellStyle name="Normal 49 2 2" xfId="5676"/>
    <cellStyle name="Normal 49 2 2 2" xfId="5677"/>
    <cellStyle name="Normal 49 2 2 2 2" xfId="5678"/>
    <cellStyle name="Normal 49 2 2 2 2 2" xfId="5679"/>
    <cellStyle name="Normal 49 2 2 2 2 2 2" xfId="11824"/>
    <cellStyle name="Normal 49 2 2 2 2 2 3" xfId="18042"/>
    <cellStyle name="Normal 49 2 2 2 2 3" xfId="11823"/>
    <cellStyle name="Normal 49 2 2 2 2 4" xfId="18041"/>
    <cellStyle name="Normal 49 2 2 2 3" xfId="5680"/>
    <cellStyle name="Normal 49 2 2 2 3 2" xfId="5681"/>
    <cellStyle name="Normal 49 2 2 2 3 2 2" xfId="11826"/>
    <cellStyle name="Normal 49 2 2 2 3 2 3" xfId="18044"/>
    <cellStyle name="Normal 49 2 2 2 3 3" xfId="11825"/>
    <cellStyle name="Normal 49 2 2 2 3 4" xfId="18043"/>
    <cellStyle name="Normal 49 2 2 2 4" xfId="5682"/>
    <cellStyle name="Normal 49 2 2 2 4 2" xfId="11827"/>
    <cellStyle name="Normal 49 2 2 2 4 3" xfId="18045"/>
    <cellStyle name="Normal 49 2 2 2 5" xfId="11822"/>
    <cellStyle name="Normal 49 2 2 2 6" xfId="18040"/>
    <cellStyle name="Normal 49 2 2 3" xfId="5683"/>
    <cellStyle name="Normal 49 2 2 3 2" xfId="5684"/>
    <cellStyle name="Normal 49 2 2 3 2 2" xfId="11829"/>
    <cellStyle name="Normal 49 2 2 3 2 3" xfId="18047"/>
    <cellStyle name="Normal 49 2 2 3 3" xfId="11828"/>
    <cellStyle name="Normal 49 2 2 3 4" xfId="18046"/>
    <cellStyle name="Normal 49 2 2 4" xfId="5685"/>
    <cellStyle name="Normal 49 2 2 4 2" xfId="5686"/>
    <cellStyle name="Normal 49 2 2 4 2 2" xfId="11831"/>
    <cellStyle name="Normal 49 2 2 4 2 3" xfId="18049"/>
    <cellStyle name="Normal 49 2 2 4 3" xfId="11830"/>
    <cellStyle name="Normal 49 2 2 4 4" xfId="18048"/>
    <cellStyle name="Normal 49 2 2 5" xfId="5687"/>
    <cellStyle name="Normal 49 2 2 5 2" xfId="11832"/>
    <cellStyle name="Normal 49 2 2 5 3" xfId="18050"/>
    <cellStyle name="Normal 49 2 2 6" xfId="11821"/>
    <cellStyle name="Normal 49 2 2 7" xfId="18039"/>
    <cellStyle name="Normal 49 2 3" xfId="5688"/>
    <cellStyle name="Normal 49 2 3 2" xfId="5689"/>
    <cellStyle name="Normal 49 2 3 2 2" xfId="5690"/>
    <cellStyle name="Normal 49 2 3 2 2 2" xfId="11835"/>
    <cellStyle name="Normal 49 2 3 2 2 3" xfId="18053"/>
    <cellStyle name="Normal 49 2 3 2 3" xfId="11834"/>
    <cellStyle name="Normal 49 2 3 2 4" xfId="18052"/>
    <cellStyle name="Normal 49 2 3 3" xfId="5691"/>
    <cellStyle name="Normal 49 2 3 3 2" xfId="5692"/>
    <cellStyle name="Normal 49 2 3 3 2 2" xfId="11837"/>
    <cellStyle name="Normal 49 2 3 3 2 3" xfId="18055"/>
    <cellStyle name="Normal 49 2 3 3 3" xfId="11836"/>
    <cellStyle name="Normal 49 2 3 3 4" xfId="18054"/>
    <cellStyle name="Normal 49 2 3 4" xfId="5693"/>
    <cellStyle name="Normal 49 2 3 4 2" xfId="11838"/>
    <cellStyle name="Normal 49 2 3 4 3" xfId="18056"/>
    <cellStyle name="Normal 49 2 3 5" xfId="11833"/>
    <cellStyle name="Normal 49 2 3 6" xfId="18051"/>
    <cellStyle name="Normal 49 2 4" xfId="5694"/>
    <cellStyle name="Normal 49 2 4 2" xfId="5695"/>
    <cellStyle name="Normal 49 2 4 2 2" xfId="11840"/>
    <cellStyle name="Normal 49 2 4 2 3" xfId="18058"/>
    <cellStyle name="Normal 49 2 4 3" xfId="11839"/>
    <cellStyle name="Normal 49 2 4 4" xfId="18057"/>
    <cellStyle name="Normal 49 2 5" xfId="5696"/>
    <cellStyle name="Normal 49 2 5 2" xfId="5697"/>
    <cellStyle name="Normal 49 2 5 2 2" xfId="11842"/>
    <cellStyle name="Normal 49 2 5 2 3" xfId="18060"/>
    <cellStyle name="Normal 49 2 5 3" xfId="11841"/>
    <cellStyle name="Normal 49 2 5 4" xfId="18059"/>
    <cellStyle name="Normal 49 2 6" xfId="5698"/>
    <cellStyle name="Normal 49 2 6 2" xfId="11843"/>
    <cellStyle name="Normal 49 2 6 3" xfId="18061"/>
    <cellStyle name="Normal 49 2 7" xfId="11820"/>
    <cellStyle name="Normal 49 2 8" xfId="18038"/>
    <cellStyle name="Normal 49 3" xfId="5699"/>
    <cellStyle name="Normal 49 3 2" xfId="5700"/>
    <cellStyle name="Normal 49 3 2 2" xfId="5701"/>
    <cellStyle name="Normal 49 3 2 2 2" xfId="5702"/>
    <cellStyle name="Normal 49 3 2 2 2 2" xfId="11847"/>
    <cellStyle name="Normal 49 3 2 2 2 3" xfId="18065"/>
    <cellStyle name="Normal 49 3 2 2 3" xfId="11846"/>
    <cellStyle name="Normal 49 3 2 2 4" xfId="18064"/>
    <cellStyle name="Normal 49 3 2 3" xfId="5703"/>
    <cellStyle name="Normal 49 3 2 3 2" xfId="5704"/>
    <cellStyle name="Normal 49 3 2 3 2 2" xfId="11849"/>
    <cellStyle name="Normal 49 3 2 3 2 3" xfId="18067"/>
    <cellStyle name="Normal 49 3 2 3 3" xfId="11848"/>
    <cellStyle name="Normal 49 3 2 3 4" xfId="18066"/>
    <cellStyle name="Normal 49 3 2 4" xfId="5705"/>
    <cellStyle name="Normal 49 3 2 4 2" xfId="11850"/>
    <cellStyle name="Normal 49 3 2 4 3" xfId="18068"/>
    <cellStyle name="Normal 49 3 2 5" xfId="11845"/>
    <cellStyle name="Normal 49 3 2 6" xfId="18063"/>
    <cellStyle name="Normal 49 3 3" xfId="5706"/>
    <cellStyle name="Normal 49 3 3 2" xfId="5707"/>
    <cellStyle name="Normal 49 3 3 2 2" xfId="11852"/>
    <cellStyle name="Normal 49 3 3 2 3" xfId="18070"/>
    <cellStyle name="Normal 49 3 3 3" xfId="11851"/>
    <cellStyle name="Normal 49 3 3 4" xfId="18069"/>
    <cellStyle name="Normal 49 3 4" xfId="5708"/>
    <cellStyle name="Normal 49 3 4 2" xfId="5709"/>
    <cellStyle name="Normal 49 3 4 2 2" xfId="11854"/>
    <cellStyle name="Normal 49 3 4 2 3" xfId="18072"/>
    <cellStyle name="Normal 49 3 4 3" xfId="11853"/>
    <cellStyle name="Normal 49 3 4 4" xfId="18071"/>
    <cellStyle name="Normal 49 3 5" xfId="5710"/>
    <cellStyle name="Normal 49 3 5 2" xfId="11855"/>
    <cellStyle name="Normal 49 3 5 3" xfId="18073"/>
    <cellStyle name="Normal 49 3 6" xfId="11844"/>
    <cellStyle name="Normal 49 3 7" xfId="18062"/>
    <cellStyle name="Normal 49 4" xfId="5711"/>
    <cellStyle name="Normal 49 4 2" xfId="5712"/>
    <cellStyle name="Normal 49 4 2 2" xfId="5713"/>
    <cellStyle name="Normal 49 4 2 2 2" xfId="11858"/>
    <cellStyle name="Normal 49 4 2 2 3" xfId="18076"/>
    <cellStyle name="Normal 49 4 2 3" xfId="11857"/>
    <cellStyle name="Normal 49 4 2 4" xfId="18075"/>
    <cellStyle name="Normal 49 4 3" xfId="5714"/>
    <cellStyle name="Normal 49 4 3 2" xfId="5715"/>
    <cellStyle name="Normal 49 4 3 2 2" xfId="11860"/>
    <cellStyle name="Normal 49 4 3 2 3" xfId="18078"/>
    <cellStyle name="Normal 49 4 3 3" xfId="11859"/>
    <cellStyle name="Normal 49 4 3 4" xfId="18077"/>
    <cellStyle name="Normal 49 4 4" xfId="5716"/>
    <cellStyle name="Normal 49 4 4 2" xfId="11861"/>
    <cellStyle name="Normal 49 4 4 3" xfId="18079"/>
    <cellStyle name="Normal 49 4 5" xfId="11856"/>
    <cellStyle name="Normal 49 4 6" xfId="18074"/>
    <cellStyle name="Normal 49 5" xfId="5717"/>
    <cellStyle name="Normal 49 5 2" xfId="5718"/>
    <cellStyle name="Normal 49 5 2 2" xfId="11863"/>
    <cellStyle name="Normal 49 5 2 3" xfId="18081"/>
    <cellStyle name="Normal 49 5 3" xfId="11862"/>
    <cellStyle name="Normal 49 5 4" xfId="18080"/>
    <cellStyle name="Normal 49 6" xfId="5719"/>
    <cellStyle name="Normal 49 6 2" xfId="5720"/>
    <cellStyle name="Normal 49 6 2 2" xfId="11865"/>
    <cellStyle name="Normal 49 6 2 3" xfId="18083"/>
    <cellStyle name="Normal 49 6 3" xfId="11864"/>
    <cellStyle name="Normal 49 6 4" xfId="18082"/>
    <cellStyle name="Normal 49 7" xfId="5721"/>
    <cellStyle name="Normal 49 7 2" xfId="11866"/>
    <cellStyle name="Normal 49 7 3" xfId="18084"/>
    <cellStyle name="Normal 49 8" xfId="5722"/>
    <cellStyle name="Normal 49 8 2" xfId="18085"/>
    <cellStyle name="Normal 49 9" xfId="11819"/>
    <cellStyle name="Normal 5" xfId="5723"/>
    <cellStyle name="Normal 5 10" xfId="5724"/>
    <cellStyle name="Normal 5 10 2" xfId="11868"/>
    <cellStyle name="Normal 5 10 3" xfId="18087"/>
    <cellStyle name="Normal 5 11" xfId="5725"/>
    <cellStyle name="Normal 5 11 2" xfId="18088"/>
    <cellStyle name="Normal 5 12" xfId="11867"/>
    <cellStyle name="Normal 5 13" xfId="18086"/>
    <cellStyle name="Normal 5 2" xfId="5726"/>
    <cellStyle name="Normal 5 2 10" xfId="5727"/>
    <cellStyle name="Normal 5 2 10 2" xfId="11870"/>
    <cellStyle name="Normal 5 2 10 3" xfId="18090"/>
    <cellStyle name="Normal 5 2 11" xfId="5728"/>
    <cellStyle name="Normal 5 2 11 2" xfId="11871"/>
    <cellStyle name="Normal 5 2 11 3" xfId="18091"/>
    <cellStyle name="Normal 5 2 12" xfId="5729"/>
    <cellStyle name="Normal 5 2 12 2" xfId="18092"/>
    <cellStyle name="Normal 5 2 13" xfId="11869"/>
    <cellStyle name="Normal 5 2 14" xfId="18089"/>
    <cellStyle name="Normal 5 2 2" xfId="5730"/>
    <cellStyle name="Normal 5 2 2 2" xfId="5731"/>
    <cellStyle name="Normal 5 2 2 2 2" xfId="5732"/>
    <cellStyle name="Normal 5 2 2 2 2 2" xfId="5733"/>
    <cellStyle name="Normal 5 2 2 2 2 2 2" xfId="5734"/>
    <cellStyle name="Normal 5 2 2 2 2 2 2 2" xfId="5735"/>
    <cellStyle name="Normal 5 2 2 2 2 2 2 2 2" xfId="11877"/>
    <cellStyle name="Normal 5 2 2 2 2 2 2 2 3" xfId="18098"/>
    <cellStyle name="Normal 5 2 2 2 2 2 2 3" xfId="11876"/>
    <cellStyle name="Normal 5 2 2 2 2 2 2 4" xfId="18097"/>
    <cellStyle name="Normal 5 2 2 2 2 2 3" xfId="5736"/>
    <cellStyle name="Normal 5 2 2 2 2 2 3 2" xfId="5737"/>
    <cellStyle name="Normal 5 2 2 2 2 2 3 2 2" xfId="11879"/>
    <cellStyle name="Normal 5 2 2 2 2 2 3 2 3" xfId="18100"/>
    <cellStyle name="Normal 5 2 2 2 2 2 3 3" xfId="11878"/>
    <cellStyle name="Normal 5 2 2 2 2 2 3 4" xfId="18099"/>
    <cellStyle name="Normal 5 2 2 2 2 2 4" xfId="5738"/>
    <cellStyle name="Normal 5 2 2 2 2 2 4 2" xfId="11880"/>
    <cellStyle name="Normal 5 2 2 2 2 2 4 3" xfId="18101"/>
    <cellStyle name="Normal 5 2 2 2 2 2 5" xfId="11875"/>
    <cellStyle name="Normal 5 2 2 2 2 2 6" xfId="18096"/>
    <cellStyle name="Normal 5 2 2 2 2 3" xfId="5739"/>
    <cellStyle name="Normal 5 2 2 2 2 3 2" xfId="5740"/>
    <cellStyle name="Normal 5 2 2 2 2 3 2 2" xfId="11882"/>
    <cellStyle name="Normal 5 2 2 2 2 3 2 3" xfId="18103"/>
    <cellStyle name="Normal 5 2 2 2 2 3 3" xfId="11881"/>
    <cellStyle name="Normal 5 2 2 2 2 3 4" xfId="18102"/>
    <cellStyle name="Normal 5 2 2 2 2 4" xfId="5741"/>
    <cellStyle name="Normal 5 2 2 2 2 4 2" xfId="5742"/>
    <cellStyle name="Normal 5 2 2 2 2 4 2 2" xfId="11884"/>
    <cellStyle name="Normal 5 2 2 2 2 4 2 3" xfId="18105"/>
    <cellStyle name="Normal 5 2 2 2 2 4 3" xfId="11883"/>
    <cellStyle name="Normal 5 2 2 2 2 4 4" xfId="18104"/>
    <cellStyle name="Normal 5 2 2 2 2 5" xfId="5743"/>
    <cellStyle name="Normal 5 2 2 2 2 5 2" xfId="11885"/>
    <cellStyle name="Normal 5 2 2 2 2 5 3" xfId="18106"/>
    <cellStyle name="Normal 5 2 2 2 2 6" xfId="11874"/>
    <cellStyle name="Normal 5 2 2 2 2 7" xfId="18095"/>
    <cellStyle name="Normal 5 2 2 2 3" xfId="5744"/>
    <cellStyle name="Normal 5 2 2 2 3 2" xfId="5745"/>
    <cellStyle name="Normal 5 2 2 2 3 2 2" xfId="5746"/>
    <cellStyle name="Normal 5 2 2 2 3 2 2 2" xfId="11888"/>
    <cellStyle name="Normal 5 2 2 2 3 2 2 3" xfId="18109"/>
    <cellStyle name="Normal 5 2 2 2 3 2 3" xfId="11887"/>
    <cellStyle name="Normal 5 2 2 2 3 2 4" xfId="18108"/>
    <cellStyle name="Normal 5 2 2 2 3 3" xfId="5747"/>
    <cellStyle name="Normal 5 2 2 2 3 3 2" xfId="5748"/>
    <cellStyle name="Normal 5 2 2 2 3 3 2 2" xfId="11890"/>
    <cellStyle name="Normal 5 2 2 2 3 3 2 3" xfId="18111"/>
    <cellStyle name="Normal 5 2 2 2 3 3 3" xfId="11889"/>
    <cellStyle name="Normal 5 2 2 2 3 3 4" xfId="18110"/>
    <cellStyle name="Normal 5 2 2 2 3 4" xfId="5749"/>
    <cellStyle name="Normal 5 2 2 2 3 4 2" xfId="11891"/>
    <cellStyle name="Normal 5 2 2 2 3 4 3" xfId="18112"/>
    <cellStyle name="Normal 5 2 2 2 3 5" xfId="11886"/>
    <cellStyle name="Normal 5 2 2 2 3 6" xfId="18107"/>
    <cellStyle name="Normal 5 2 2 2 4" xfId="5750"/>
    <cellStyle name="Normal 5 2 2 2 4 2" xfId="5751"/>
    <cellStyle name="Normal 5 2 2 2 4 2 2" xfId="11893"/>
    <cellStyle name="Normal 5 2 2 2 4 2 3" xfId="18114"/>
    <cellStyle name="Normal 5 2 2 2 4 3" xfId="11892"/>
    <cellStyle name="Normal 5 2 2 2 4 4" xfId="18113"/>
    <cellStyle name="Normal 5 2 2 2 5" xfId="5752"/>
    <cellStyle name="Normal 5 2 2 2 5 2" xfId="5753"/>
    <cellStyle name="Normal 5 2 2 2 5 2 2" xfId="11895"/>
    <cellStyle name="Normal 5 2 2 2 5 2 3" xfId="18116"/>
    <cellStyle name="Normal 5 2 2 2 5 3" xfId="11894"/>
    <cellStyle name="Normal 5 2 2 2 5 4" xfId="18115"/>
    <cellStyle name="Normal 5 2 2 2 6" xfId="5754"/>
    <cellStyle name="Normal 5 2 2 2 6 2" xfId="11896"/>
    <cellStyle name="Normal 5 2 2 2 6 3" xfId="18117"/>
    <cellStyle name="Normal 5 2 2 2 7" xfId="11873"/>
    <cellStyle name="Normal 5 2 2 2 8" xfId="18094"/>
    <cellStyle name="Normal 5 2 2 3" xfId="5755"/>
    <cellStyle name="Normal 5 2 2 3 2" xfId="5756"/>
    <cellStyle name="Normal 5 2 2 3 2 2" xfId="5757"/>
    <cellStyle name="Normal 5 2 2 3 2 2 2" xfId="5758"/>
    <cellStyle name="Normal 5 2 2 3 2 2 2 2" xfId="11900"/>
    <cellStyle name="Normal 5 2 2 3 2 2 2 3" xfId="18121"/>
    <cellStyle name="Normal 5 2 2 3 2 2 3" xfId="11899"/>
    <cellStyle name="Normal 5 2 2 3 2 2 4" xfId="18120"/>
    <cellStyle name="Normal 5 2 2 3 2 3" xfId="5759"/>
    <cellStyle name="Normal 5 2 2 3 2 3 2" xfId="5760"/>
    <cellStyle name="Normal 5 2 2 3 2 3 2 2" xfId="11902"/>
    <cellStyle name="Normal 5 2 2 3 2 3 2 3" xfId="18123"/>
    <cellStyle name="Normal 5 2 2 3 2 3 3" xfId="11901"/>
    <cellStyle name="Normal 5 2 2 3 2 3 4" xfId="18122"/>
    <cellStyle name="Normal 5 2 2 3 2 4" xfId="5761"/>
    <cellStyle name="Normal 5 2 2 3 2 4 2" xfId="11903"/>
    <cellStyle name="Normal 5 2 2 3 2 4 3" xfId="18124"/>
    <cellStyle name="Normal 5 2 2 3 2 5" xfId="11898"/>
    <cellStyle name="Normal 5 2 2 3 2 6" xfId="18119"/>
    <cellStyle name="Normal 5 2 2 3 3" xfId="5762"/>
    <cellStyle name="Normal 5 2 2 3 3 2" xfId="5763"/>
    <cellStyle name="Normal 5 2 2 3 3 2 2" xfId="11905"/>
    <cellStyle name="Normal 5 2 2 3 3 2 3" xfId="18126"/>
    <cellStyle name="Normal 5 2 2 3 3 3" xfId="11904"/>
    <cellStyle name="Normal 5 2 2 3 3 4" xfId="18125"/>
    <cellStyle name="Normal 5 2 2 3 4" xfId="5764"/>
    <cellStyle name="Normal 5 2 2 3 4 2" xfId="5765"/>
    <cellStyle name="Normal 5 2 2 3 4 2 2" xfId="11907"/>
    <cellStyle name="Normal 5 2 2 3 4 2 3" xfId="18128"/>
    <cellStyle name="Normal 5 2 2 3 4 3" xfId="11906"/>
    <cellStyle name="Normal 5 2 2 3 4 4" xfId="18127"/>
    <cellStyle name="Normal 5 2 2 3 5" xfId="5766"/>
    <cellStyle name="Normal 5 2 2 3 5 2" xfId="11908"/>
    <cellStyle name="Normal 5 2 2 3 5 3" xfId="18129"/>
    <cellStyle name="Normal 5 2 2 3 6" xfId="11897"/>
    <cellStyle name="Normal 5 2 2 3 7" xfId="18118"/>
    <cellStyle name="Normal 5 2 2 4" xfId="5767"/>
    <cellStyle name="Normal 5 2 2 4 2" xfId="5768"/>
    <cellStyle name="Normal 5 2 2 4 2 2" xfId="5769"/>
    <cellStyle name="Normal 5 2 2 4 2 2 2" xfId="11911"/>
    <cellStyle name="Normal 5 2 2 4 2 2 3" xfId="18132"/>
    <cellStyle name="Normal 5 2 2 4 2 3" xfId="11910"/>
    <cellStyle name="Normal 5 2 2 4 2 4" xfId="18131"/>
    <cellStyle name="Normal 5 2 2 4 3" xfId="5770"/>
    <cellStyle name="Normal 5 2 2 4 3 2" xfId="5771"/>
    <cellStyle name="Normal 5 2 2 4 3 2 2" xfId="11913"/>
    <cellStyle name="Normal 5 2 2 4 3 2 3" xfId="18134"/>
    <cellStyle name="Normal 5 2 2 4 3 3" xfId="11912"/>
    <cellStyle name="Normal 5 2 2 4 3 4" xfId="18133"/>
    <cellStyle name="Normal 5 2 2 4 4" xfId="5772"/>
    <cellStyle name="Normal 5 2 2 4 4 2" xfId="11914"/>
    <cellStyle name="Normal 5 2 2 4 4 3" xfId="18135"/>
    <cellStyle name="Normal 5 2 2 4 5" xfId="11909"/>
    <cellStyle name="Normal 5 2 2 4 6" xfId="18130"/>
    <cellStyle name="Normal 5 2 2 5" xfId="5773"/>
    <cellStyle name="Normal 5 2 2 5 2" xfId="5774"/>
    <cellStyle name="Normal 5 2 2 5 2 2" xfId="11916"/>
    <cellStyle name="Normal 5 2 2 5 2 3" xfId="18137"/>
    <cellStyle name="Normal 5 2 2 5 3" xfId="11915"/>
    <cellStyle name="Normal 5 2 2 5 4" xfId="18136"/>
    <cellStyle name="Normal 5 2 2 6" xfId="5775"/>
    <cellStyle name="Normal 5 2 2 6 2" xfId="5776"/>
    <cellStyle name="Normal 5 2 2 6 2 2" xfId="11918"/>
    <cellStyle name="Normal 5 2 2 6 2 3" xfId="18139"/>
    <cellStyle name="Normal 5 2 2 6 3" xfId="11917"/>
    <cellStyle name="Normal 5 2 2 6 4" xfId="18138"/>
    <cellStyle name="Normal 5 2 2 7" xfId="5777"/>
    <cellStyle name="Normal 5 2 2 7 2" xfId="11919"/>
    <cellStyle name="Normal 5 2 2 7 3" xfId="18140"/>
    <cellStyle name="Normal 5 2 2 8" xfId="11872"/>
    <cellStyle name="Normal 5 2 2 9" xfId="18093"/>
    <cellStyle name="Normal 5 2 3" xfId="5778"/>
    <cellStyle name="Normal 5 2 3 2" xfId="5779"/>
    <cellStyle name="Normal 5 2 3 2 2" xfId="5780"/>
    <cellStyle name="Normal 5 2 3 2 2 2" xfId="5781"/>
    <cellStyle name="Normal 5 2 3 2 2 2 2" xfId="5782"/>
    <cellStyle name="Normal 5 2 3 2 2 2 2 2" xfId="11924"/>
    <cellStyle name="Normal 5 2 3 2 2 2 2 3" xfId="18145"/>
    <cellStyle name="Normal 5 2 3 2 2 2 3" xfId="11923"/>
    <cellStyle name="Normal 5 2 3 2 2 2 4" xfId="18144"/>
    <cellStyle name="Normal 5 2 3 2 2 3" xfId="5783"/>
    <cellStyle name="Normal 5 2 3 2 2 3 2" xfId="5784"/>
    <cellStyle name="Normal 5 2 3 2 2 3 2 2" xfId="11926"/>
    <cellStyle name="Normal 5 2 3 2 2 3 2 3" xfId="18147"/>
    <cellStyle name="Normal 5 2 3 2 2 3 3" xfId="11925"/>
    <cellStyle name="Normal 5 2 3 2 2 3 4" xfId="18146"/>
    <cellStyle name="Normal 5 2 3 2 2 4" xfId="5785"/>
    <cellStyle name="Normal 5 2 3 2 2 4 2" xfId="11927"/>
    <cellStyle name="Normal 5 2 3 2 2 4 3" xfId="18148"/>
    <cellStyle name="Normal 5 2 3 2 2 5" xfId="11922"/>
    <cellStyle name="Normal 5 2 3 2 2 6" xfId="18143"/>
    <cellStyle name="Normal 5 2 3 2 3" xfId="5786"/>
    <cellStyle name="Normal 5 2 3 2 3 2" xfId="5787"/>
    <cellStyle name="Normal 5 2 3 2 3 2 2" xfId="11929"/>
    <cellStyle name="Normal 5 2 3 2 3 2 3" xfId="18150"/>
    <cellStyle name="Normal 5 2 3 2 3 3" xfId="11928"/>
    <cellStyle name="Normal 5 2 3 2 3 4" xfId="18149"/>
    <cellStyle name="Normal 5 2 3 2 4" xfId="5788"/>
    <cellStyle name="Normal 5 2 3 2 4 2" xfId="5789"/>
    <cellStyle name="Normal 5 2 3 2 4 2 2" xfId="11931"/>
    <cellStyle name="Normal 5 2 3 2 4 2 3" xfId="18152"/>
    <cellStyle name="Normal 5 2 3 2 4 3" xfId="11930"/>
    <cellStyle name="Normal 5 2 3 2 4 4" xfId="18151"/>
    <cellStyle name="Normal 5 2 3 2 5" xfId="5790"/>
    <cellStyle name="Normal 5 2 3 2 5 2" xfId="11932"/>
    <cellStyle name="Normal 5 2 3 2 5 3" xfId="18153"/>
    <cellStyle name="Normal 5 2 3 2 6" xfId="11921"/>
    <cellStyle name="Normal 5 2 3 2 7" xfId="18142"/>
    <cellStyle name="Normal 5 2 3 3" xfId="5791"/>
    <cellStyle name="Normal 5 2 3 3 2" xfId="5792"/>
    <cellStyle name="Normal 5 2 3 3 2 2" xfId="5793"/>
    <cellStyle name="Normal 5 2 3 3 2 2 2" xfId="11935"/>
    <cellStyle name="Normal 5 2 3 3 2 2 3" xfId="18156"/>
    <cellStyle name="Normal 5 2 3 3 2 3" xfId="11934"/>
    <cellStyle name="Normal 5 2 3 3 2 4" xfId="18155"/>
    <cellStyle name="Normal 5 2 3 3 3" xfId="5794"/>
    <cellStyle name="Normal 5 2 3 3 3 2" xfId="5795"/>
    <cellStyle name="Normal 5 2 3 3 3 2 2" xfId="11937"/>
    <cellStyle name="Normal 5 2 3 3 3 2 3" xfId="18158"/>
    <cellStyle name="Normal 5 2 3 3 3 3" xfId="11936"/>
    <cellStyle name="Normal 5 2 3 3 3 4" xfId="18157"/>
    <cellStyle name="Normal 5 2 3 3 4" xfId="5796"/>
    <cellStyle name="Normal 5 2 3 3 4 2" xfId="11938"/>
    <cellStyle name="Normal 5 2 3 3 4 3" xfId="18159"/>
    <cellStyle name="Normal 5 2 3 3 5" xfId="11933"/>
    <cellStyle name="Normal 5 2 3 3 6" xfId="18154"/>
    <cellStyle name="Normal 5 2 3 4" xfId="5797"/>
    <cellStyle name="Normal 5 2 3 4 2" xfId="5798"/>
    <cellStyle name="Normal 5 2 3 4 2 2" xfId="11940"/>
    <cellStyle name="Normal 5 2 3 4 2 3" xfId="18161"/>
    <cellStyle name="Normal 5 2 3 4 3" xfId="5799"/>
    <cellStyle name="Normal 5 2 3 4 3 2" xfId="11941"/>
    <cellStyle name="Normal 5 2 3 4 3 3" xfId="18162"/>
    <cellStyle name="Normal 5 2 3 4 4" xfId="11939"/>
    <cellStyle name="Normal 5 2 3 4 5" xfId="18160"/>
    <cellStyle name="Normal 5 2 3 5" xfId="5800"/>
    <cellStyle name="Normal 5 2 3 5 2" xfId="5801"/>
    <cellStyle name="Normal 5 2 3 5 2 2" xfId="11943"/>
    <cellStyle name="Normal 5 2 3 5 2 3" xfId="18164"/>
    <cellStyle name="Normal 5 2 3 5 3" xfId="11942"/>
    <cellStyle name="Normal 5 2 3 5 4" xfId="18163"/>
    <cellStyle name="Normal 5 2 3 6" xfId="5802"/>
    <cellStyle name="Normal 5 2 3 6 2" xfId="11944"/>
    <cellStyle name="Normal 5 2 3 6 3" xfId="18165"/>
    <cellStyle name="Normal 5 2 3 7" xfId="11920"/>
    <cellStyle name="Normal 5 2 3 8" xfId="18141"/>
    <cellStyle name="Normal 5 2 4" xfId="5803"/>
    <cellStyle name="Normal 5 2 4 2" xfId="5804"/>
    <cellStyle name="Normal 5 2 4 2 2" xfId="5805"/>
    <cellStyle name="Normal 5 2 4 2 2 2" xfId="5806"/>
    <cellStyle name="Normal 5 2 4 2 2 2 2" xfId="11948"/>
    <cellStyle name="Normal 5 2 4 2 2 2 3" xfId="18169"/>
    <cellStyle name="Normal 5 2 4 2 2 3" xfId="11947"/>
    <cellStyle name="Normal 5 2 4 2 2 4" xfId="18168"/>
    <cellStyle name="Normal 5 2 4 2 3" xfId="5807"/>
    <cellStyle name="Normal 5 2 4 2 3 2" xfId="5808"/>
    <cellStyle name="Normal 5 2 4 2 3 2 2" xfId="11950"/>
    <cellStyle name="Normal 5 2 4 2 3 2 3" xfId="18171"/>
    <cellStyle name="Normal 5 2 4 2 3 3" xfId="11949"/>
    <cellStyle name="Normal 5 2 4 2 3 4" xfId="18170"/>
    <cellStyle name="Normal 5 2 4 2 4" xfId="5809"/>
    <cellStyle name="Normal 5 2 4 2 4 2" xfId="11951"/>
    <cellStyle name="Normal 5 2 4 2 4 3" xfId="18172"/>
    <cellStyle name="Normal 5 2 4 2 5" xfId="5810"/>
    <cellStyle name="Normal 5 2 4 2 5 2" xfId="11952"/>
    <cellStyle name="Normal 5 2 4 2 5 3" xfId="18173"/>
    <cellStyle name="Normal 5 2 4 2 6" xfId="11946"/>
    <cellStyle name="Normal 5 2 4 2 7" xfId="18167"/>
    <cellStyle name="Normal 5 2 4 3" xfId="5811"/>
    <cellStyle name="Normal 5 2 4 3 2" xfId="5812"/>
    <cellStyle name="Normal 5 2 4 3 2 2" xfId="11954"/>
    <cellStyle name="Normal 5 2 4 3 2 3" xfId="18175"/>
    <cellStyle name="Normal 5 2 4 3 3" xfId="5813"/>
    <cellStyle name="Normal 5 2 4 3 3 2" xfId="11955"/>
    <cellStyle name="Normal 5 2 4 3 3 3" xfId="18176"/>
    <cellStyle name="Normal 5 2 4 3 4" xfId="11953"/>
    <cellStyle name="Normal 5 2 4 3 5" xfId="18174"/>
    <cellStyle name="Normal 5 2 4 4" xfId="5814"/>
    <cellStyle name="Normal 5 2 4 4 2" xfId="5815"/>
    <cellStyle name="Normal 5 2 4 4 2 2" xfId="11957"/>
    <cellStyle name="Normal 5 2 4 4 2 3" xfId="18178"/>
    <cellStyle name="Normal 5 2 4 4 3" xfId="5816"/>
    <cellStyle name="Normal 5 2 4 4 3 2" xfId="11958"/>
    <cellStyle name="Normal 5 2 4 4 3 3" xfId="18179"/>
    <cellStyle name="Normal 5 2 4 4 4" xfId="11956"/>
    <cellStyle name="Normal 5 2 4 4 5" xfId="18177"/>
    <cellStyle name="Normal 5 2 4 5" xfId="5817"/>
    <cellStyle name="Normal 5 2 4 5 2" xfId="11959"/>
    <cellStyle name="Normal 5 2 4 5 3" xfId="18180"/>
    <cellStyle name="Normal 5 2 4 6" xfId="5818"/>
    <cellStyle name="Normal 5 2 4 6 2" xfId="11960"/>
    <cellStyle name="Normal 5 2 4 6 3" xfId="18181"/>
    <cellStyle name="Normal 5 2 4 7" xfId="11945"/>
    <cellStyle name="Normal 5 2 4 8" xfId="18166"/>
    <cellStyle name="Normal 5 2 5" xfId="5819"/>
    <cellStyle name="Normal 5 2 5 10" xfId="5820"/>
    <cellStyle name="Normal 5 2 5 10 2" xfId="5821"/>
    <cellStyle name="Normal 5 2 5 10 2 2" xfId="11963"/>
    <cellStyle name="Normal 5 2 5 10 2 3" xfId="18184"/>
    <cellStyle name="Normal 5 2 5 10 3" xfId="5822"/>
    <cellStyle name="Normal 5 2 5 10 3 2" xfId="11964"/>
    <cellStyle name="Normal 5 2 5 10 3 3" xfId="18185"/>
    <cellStyle name="Normal 5 2 5 10 4" xfId="11962"/>
    <cellStyle name="Normal 5 2 5 10 5" xfId="18183"/>
    <cellStyle name="Normal 5 2 5 11" xfId="5823"/>
    <cellStyle name="Normal 5 2 5 11 2" xfId="5824"/>
    <cellStyle name="Normal 5 2 5 11 2 2" xfId="11966"/>
    <cellStyle name="Normal 5 2 5 11 2 3" xfId="18187"/>
    <cellStyle name="Normal 5 2 5 11 3" xfId="11965"/>
    <cellStyle name="Normal 5 2 5 11 4" xfId="18186"/>
    <cellStyle name="Normal 5 2 5 12" xfId="5825"/>
    <cellStyle name="Normal 5 2 5 12 2" xfId="5826"/>
    <cellStyle name="Normal 5 2 5 12 2 2" xfId="11968"/>
    <cellStyle name="Normal 5 2 5 12 2 3" xfId="18189"/>
    <cellStyle name="Normal 5 2 5 12 3" xfId="11967"/>
    <cellStyle name="Normal 5 2 5 12 4" xfId="18188"/>
    <cellStyle name="Normal 5 2 5 13" xfId="5827"/>
    <cellStyle name="Normal 5 2 5 13 2" xfId="11969"/>
    <cellStyle name="Normal 5 2 5 13 3" xfId="18190"/>
    <cellStyle name="Normal 5 2 5 14" xfId="5828"/>
    <cellStyle name="Normal 5 2 5 14 2" xfId="11970"/>
    <cellStyle name="Normal 5 2 5 14 3" xfId="18191"/>
    <cellStyle name="Normal 5 2 5 15" xfId="5829"/>
    <cellStyle name="Normal 5 2 5 15 2" xfId="11971"/>
    <cellStyle name="Normal 5 2 5 15 3" xfId="18192"/>
    <cellStyle name="Normal 5 2 5 16" xfId="5830"/>
    <cellStyle name="Normal 5 2 5 16 2" xfId="11972"/>
    <cellStyle name="Normal 5 2 5 16 3" xfId="18193"/>
    <cellStyle name="Normal 5 2 5 17" xfId="5831"/>
    <cellStyle name="Normal 5 2 5 17 2" xfId="11973"/>
    <cellStyle name="Normal 5 2 5 17 3" xfId="18194"/>
    <cellStyle name="Normal 5 2 5 18" xfId="5832"/>
    <cellStyle name="Normal 5 2 5 18 2" xfId="11974"/>
    <cellStyle name="Normal 5 2 5 18 3" xfId="18195"/>
    <cellStyle name="Normal 5 2 5 19" xfId="5833"/>
    <cellStyle name="Normal 5 2 5 19 2" xfId="5834"/>
    <cellStyle name="Normal 5 2 5 19 2 2" xfId="11976"/>
    <cellStyle name="Normal 5 2 5 19 2 3" xfId="18197"/>
    <cellStyle name="Normal 5 2 5 19 3" xfId="5835"/>
    <cellStyle name="Normal 5 2 5 19 3 2" xfId="11977"/>
    <cellStyle name="Normal 5 2 5 19 3 3" xfId="18198"/>
    <cellStyle name="Normal 5 2 5 19 4" xfId="5836"/>
    <cellStyle name="Normal 5 2 5 19 4 2" xfId="11978"/>
    <cellStyle name="Normal 5 2 5 19 4 3" xfId="18199"/>
    <cellStyle name="Normal 5 2 5 19 5" xfId="5837"/>
    <cellStyle name="Normal 5 2 5 19 5 2" xfId="11979"/>
    <cellStyle name="Normal 5 2 5 19 5 3" xfId="18200"/>
    <cellStyle name="Normal 5 2 5 19 6" xfId="5838"/>
    <cellStyle name="Normal 5 2 5 19 6 2" xfId="11980"/>
    <cellStyle name="Normal 5 2 5 19 6 3" xfId="18201"/>
    <cellStyle name="Normal 5 2 5 19 7" xfId="5839"/>
    <cellStyle name="Normal 5 2 5 19 7 2" xfId="11981"/>
    <cellStyle name="Normal 5 2 5 19 7 3" xfId="18202"/>
    <cellStyle name="Normal 5 2 5 19 8" xfId="11975"/>
    <cellStyle name="Normal 5 2 5 19 9" xfId="18196"/>
    <cellStyle name="Normal 5 2 5 2" xfId="5840"/>
    <cellStyle name="Normal 5 2 5 2 2" xfId="5841"/>
    <cellStyle name="Normal 5 2 5 2 2 2" xfId="5842"/>
    <cellStyle name="Normal 5 2 5 2 2 2 2" xfId="11984"/>
    <cellStyle name="Normal 5 2 5 2 2 2 3" xfId="18205"/>
    <cellStyle name="Normal 5 2 5 2 2 3" xfId="5843"/>
    <cellStyle name="Normal 5 2 5 2 2 3 2" xfId="11985"/>
    <cellStyle name="Normal 5 2 5 2 2 3 3" xfId="18206"/>
    <cellStyle name="Normal 5 2 5 2 2 4" xfId="5844"/>
    <cellStyle name="Normal 5 2 5 2 2 4 2" xfId="11986"/>
    <cellStyle name="Normal 5 2 5 2 2 4 3" xfId="18207"/>
    <cellStyle name="Normal 5 2 5 2 2 5" xfId="5845"/>
    <cellStyle name="Normal 5 2 5 2 2 5 2" xfId="11987"/>
    <cellStyle name="Normal 5 2 5 2 2 5 3" xfId="18208"/>
    <cellStyle name="Normal 5 2 5 2 2 6" xfId="11983"/>
    <cellStyle name="Normal 5 2 5 2 2 7" xfId="18204"/>
    <cellStyle name="Normal 5 2 5 2 3" xfId="5846"/>
    <cellStyle name="Normal 5 2 5 2 3 2" xfId="5847"/>
    <cellStyle name="Normal 5 2 5 2 3 2 2" xfId="11989"/>
    <cellStyle name="Normal 5 2 5 2 3 2 3" xfId="18210"/>
    <cellStyle name="Normal 5 2 5 2 3 3" xfId="5848"/>
    <cellStyle name="Normal 5 2 5 2 3 3 2" xfId="11990"/>
    <cellStyle name="Normal 5 2 5 2 3 3 3" xfId="18211"/>
    <cellStyle name="Normal 5 2 5 2 3 4" xfId="11988"/>
    <cellStyle name="Normal 5 2 5 2 3 5" xfId="18209"/>
    <cellStyle name="Normal 5 2 5 2 4" xfId="5849"/>
    <cellStyle name="Normal 5 2 5 2 4 2" xfId="5850"/>
    <cellStyle name="Normal 5 2 5 2 4 2 2" xfId="11992"/>
    <cellStyle name="Normal 5 2 5 2 4 2 3" xfId="18213"/>
    <cellStyle name="Normal 5 2 5 2 4 3" xfId="5851"/>
    <cellStyle name="Normal 5 2 5 2 4 3 2" xfId="11993"/>
    <cellStyle name="Normal 5 2 5 2 4 3 3" xfId="18214"/>
    <cellStyle name="Normal 5 2 5 2 4 4" xfId="11991"/>
    <cellStyle name="Normal 5 2 5 2 4 5" xfId="18212"/>
    <cellStyle name="Normal 5 2 5 2 5" xfId="5852"/>
    <cellStyle name="Normal 5 2 5 2 5 2" xfId="11994"/>
    <cellStyle name="Normal 5 2 5 2 5 3" xfId="18215"/>
    <cellStyle name="Normal 5 2 5 2 6" xfId="5853"/>
    <cellStyle name="Normal 5 2 5 2 6 2" xfId="11995"/>
    <cellStyle name="Normal 5 2 5 2 6 3" xfId="18216"/>
    <cellStyle name="Normal 5 2 5 2 7" xfId="11982"/>
    <cellStyle name="Normal 5 2 5 2 8" xfId="18203"/>
    <cellStyle name="Normal 5 2 5 20" xfId="5854"/>
    <cellStyle name="Normal 5 2 5 20 2" xfId="11996"/>
    <cellStyle name="Normal 5 2 5 20 3" xfId="18217"/>
    <cellStyle name="Normal 5 2 5 21" xfId="5855"/>
    <cellStyle name="Normal 5 2 5 21 2" xfId="11997"/>
    <cellStyle name="Normal 5 2 5 21 3" xfId="18218"/>
    <cellStyle name="Normal 5 2 5 22" xfId="5856"/>
    <cellStyle name="Normal 5 2 5 22 2" xfId="11998"/>
    <cellStyle name="Normal 5 2 5 22 3" xfId="18219"/>
    <cellStyle name="Normal 5 2 5 23" xfId="5857"/>
    <cellStyle name="Normal 5 2 5 23 2" xfId="11999"/>
    <cellStyle name="Normal 5 2 5 23 3" xfId="18220"/>
    <cellStyle name="Normal 5 2 5 24" xfId="5858"/>
    <cellStyle name="Normal 5 2 5 24 2" xfId="12000"/>
    <cellStyle name="Normal 5 2 5 24 3" xfId="18221"/>
    <cellStyle name="Normal 5 2 5 25" xfId="5859"/>
    <cellStyle name="Normal 5 2 5 25 2" xfId="12001"/>
    <cellStyle name="Normal 5 2 5 25 3" xfId="18222"/>
    <cellStyle name="Normal 5 2 5 26" xfId="5860"/>
    <cellStyle name="Normal 5 2 5 26 2" xfId="12002"/>
    <cellStyle name="Normal 5 2 5 26 3" xfId="18223"/>
    <cellStyle name="Normal 5 2 5 27" xfId="5861"/>
    <cellStyle name="Normal 5 2 5 27 2" xfId="12003"/>
    <cellStyle name="Normal 5 2 5 27 3" xfId="18224"/>
    <cellStyle name="Normal 5 2 5 28" xfId="11961"/>
    <cellStyle name="Normal 5 2 5 29" xfId="18182"/>
    <cellStyle name="Normal 5 2 5 3" xfId="5862"/>
    <cellStyle name="Normal 5 2 5 3 10" xfId="5863"/>
    <cellStyle name="Normal 5 2 5 3 10 2" xfId="12005"/>
    <cellStyle name="Normal 5 2 5 3 10 3" xfId="18226"/>
    <cellStyle name="Normal 5 2 5 3 11" xfId="5864"/>
    <cellStyle name="Normal 5 2 5 3 11 2" xfId="12006"/>
    <cellStyle name="Normal 5 2 5 3 11 3" xfId="18227"/>
    <cellStyle name="Normal 5 2 5 3 12" xfId="5865"/>
    <cellStyle name="Normal 5 2 5 3 12 2" xfId="12007"/>
    <cellStyle name="Normal 5 2 5 3 12 3" xfId="18228"/>
    <cellStyle name="Normal 5 2 5 3 13" xfId="5866"/>
    <cellStyle name="Normal 5 2 5 3 13 2" xfId="12008"/>
    <cellStyle name="Normal 5 2 5 3 13 3" xfId="18229"/>
    <cellStyle name="Normal 5 2 5 3 14" xfId="5867"/>
    <cellStyle name="Normal 5 2 5 3 14 2" xfId="12009"/>
    <cellStyle name="Normal 5 2 5 3 14 3" xfId="18230"/>
    <cellStyle name="Normal 5 2 5 3 15" xfId="5868"/>
    <cellStyle name="Normal 5 2 5 3 15 2" xfId="12010"/>
    <cellStyle name="Normal 5 2 5 3 15 3" xfId="18231"/>
    <cellStyle name="Normal 5 2 5 3 16" xfId="5869"/>
    <cellStyle name="Normal 5 2 5 3 16 2" xfId="12011"/>
    <cellStyle name="Normal 5 2 5 3 16 3" xfId="18232"/>
    <cellStyle name="Normal 5 2 5 3 17" xfId="5870"/>
    <cellStyle name="Normal 5 2 5 3 17 2" xfId="12012"/>
    <cellStyle name="Normal 5 2 5 3 17 3" xfId="18233"/>
    <cellStyle name="Normal 5 2 5 3 18" xfId="5871"/>
    <cellStyle name="Normal 5 2 5 3 18 2" xfId="12013"/>
    <cellStyle name="Normal 5 2 5 3 18 3" xfId="18234"/>
    <cellStyle name="Normal 5 2 5 3 19" xfId="5872"/>
    <cellStyle name="Normal 5 2 5 3 19 2" xfId="12014"/>
    <cellStyle name="Normal 5 2 5 3 19 3" xfId="18235"/>
    <cellStyle name="Normal 5 2 5 3 2" xfId="5873"/>
    <cellStyle name="Normal 5 2 5 3 2 2" xfId="5874"/>
    <cellStyle name="Normal 5 2 5 3 2 2 2" xfId="5875"/>
    <cellStyle name="Normal 5 2 5 3 2 2 2 2" xfId="12017"/>
    <cellStyle name="Normal 5 2 5 3 2 2 2 3" xfId="18238"/>
    <cellStyle name="Normal 5 2 5 3 2 2 3" xfId="5876"/>
    <cellStyle name="Normal 5 2 5 3 2 2 3 2" xfId="12018"/>
    <cellStyle name="Normal 5 2 5 3 2 2 3 3" xfId="18239"/>
    <cellStyle name="Normal 5 2 5 3 2 2 4" xfId="12016"/>
    <cellStyle name="Normal 5 2 5 3 2 2 5" xfId="18237"/>
    <cellStyle name="Normal 5 2 5 3 2 3" xfId="5877"/>
    <cellStyle name="Normal 5 2 5 3 2 3 2" xfId="5878"/>
    <cellStyle name="Normal 5 2 5 3 2 3 2 2" xfId="12020"/>
    <cellStyle name="Normal 5 2 5 3 2 3 2 3" xfId="18241"/>
    <cellStyle name="Normal 5 2 5 3 2 3 3" xfId="5879"/>
    <cellStyle name="Normal 5 2 5 3 2 3 3 2" xfId="12021"/>
    <cellStyle name="Normal 5 2 5 3 2 3 3 3" xfId="18242"/>
    <cellStyle name="Normal 5 2 5 3 2 3 4" xfId="12019"/>
    <cellStyle name="Normal 5 2 5 3 2 3 5" xfId="18240"/>
    <cellStyle name="Normal 5 2 5 3 2 4" xfId="5880"/>
    <cellStyle name="Normal 5 2 5 3 2 4 2" xfId="12022"/>
    <cellStyle name="Normal 5 2 5 3 2 4 3" xfId="18243"/>
    <cellStyle name="Normal 5 2 5 3 2 5" xfId="5881"/>
    <cellStyle name="Normal 5 2 5 3 2 5 2" xfId="12023"/>
    <cellStyle name="Normal 5 2 5 3 2 5 3" xfId="18244"/>
    <cellStyle name="Normal 5 2 5 3 2 6" xfId="12015"/>
    <cellStyle name="Normal 5 2 5 3 2 7" xfId="18236"/>
    <cellStyle name="Normal 5 2 5 3 20" xfId="12004"/>
    <cellStyle name="Normal 5 2 5 3 21" xfId="18225"/>
    <cellStyle name="Normal 5 2 5 3 3" xfId="5882"/>
    <cellStyle name="Normal 5 2 5 3 3 2" xfId="5883"/>
    <cellStyle name="Normal 5 2 5 3 3 2 2" xfId="12025"/>
    <cellStyle name="Normal 5 2 5 3 3 2 3" xfId="18246"/>
    <cellStyle name="Normal 5 2 5 3 3 3" xfId="5884"/>
    <cellStyle name="Normal 5 2 5 3 3 3 2" xfId="12026"/>
    <cellStyle name="Normal 5 2 5 3 3 3 3" xfId="18247"/>
    <cellStyle name="Normal 5 2 5 3 3 4" xfId="5885"/>
    <cellStyle name="Normal 5 2 5 3 3 4 2" xfId="12027"/>
    <cellStyle name="Normal 5 2 5 3 3 4 3" xfId="18248"/>
    <cellStyle name="Normal 5 2 5 3 3 5" xfId="5886"/>
    <cellStyle name="Normal 5 2 5 3 3 5 2" xfId="12028"/>
    <cellStyle name="Normal 5 2 5 3 3 5 3" xfId="18249"/>
    <cellStyle name="Normal 5 2 5 3 3 6" xfId="12024"/>
    <cellStyle name="Normal 5 2 5 3 3 7" xfId="18245"/>
    <cellStyle name="Normal 5 2 5 3 4" xfId="5887"/>
    <cellStyle name="Normal 5 2 5 3 4 2" xfId="5888"/>
    <cellStyle name="Normal 5 2 5 3 4 2 2" xfId="12030"/>
    <cellStyle name="Normal 5 2 5 3 4 2 3" xfId="18251"/>
    <cellStyle name="Normal 5 2 5 3 4 3" xfId="5889"/>
    <cellStyle name="Normal 5 2 5 3 4 3 2" xfId="12031"/>
    <cellStyle name="Normal 5 2 5 3 4 3 3" xfId="18252"/>
    <cellStyle name="Normal 5 2 5 3 4 4" xfId="12029"/>
    <cellStyle name="Normal 5 2 5 3 4 5" xfId="18250"/>
    <cellStyle name="Normal 5 2 5 3 5" xfId="5890"/>
    <cellStyle name="Normal 5 2 5 3 5 2" xfId="5891"/>
    <cellStyle name="Normal 5 2 5 3 5 2 2" xfId="12033"/>
    <cellStyle name="Normal 5 2 5 3 5 2 3" xfId="18254"/>
    <cellStyle name="Normal 5 2 5 3 5 3" xfId="5892"/>
    <cellStyle name="Normal 5 2 5 3 5 3 2" xfId="12034"/>
    <cellStyle name="Normal 5 2 5 3 5 3 3" xfId="18255"/>
    <cellStyle name="Normal 5 2 5 3 5 4" xfId="12032"/>
    <cellStyle name="Normal 5 2 5 3 5 5" xfId="18253"/>
    <cellStyle name="Normal 5 2 5 3 6" xfId="5893"/>
    <cellStyle name="Normal 5 2 5 3 6 2" xfId="12035"/>
    <cellStyle name="Normal 5 2 5 3 6 3" xfId="18256"/>
    <cellStyle name="Normal 5 2 5 3 7" xfId="5894"/>
    <cellStyle name="Normal 5 2 5 3 7 2" xfId="12036"/>
    <cellStyle name="Normal 5 2 5 3 7 3" xfId="18257"/>
    <cellStyle name="Normal 5 2 5 3 8" xfId="5895"/>
    <cellStyle name="Normal 5 2 5 3 8 2" xfId="12037"/>
    <cellStyle name="Normal 5 2 5 3 8 3" xfId="18258"/>
    <cellStyle name="Normal 5 2 5 3 9" xfId="5896"/>
    <cellStyle name="Normal 5 2 5 3 9 2" xfId="12038"/>
    <cellStyle name="Normal 5 2 5 3 9 3" xfId="18259"/>
    <cellStyle name="Normal 5 2 5 4" xfId="5897"/>
    <cellStyle name="Normal 5 2 5 4 2" xfId="5898"/>
    <cellStyle name="Normal 5 2 5 4 2 2" xfId="5899"/>
    <cellStyle name="Normal 5 2 5 4 2 2 2" xfId="12041"/>
    <cellStyle name="Normal 5 2 5 4 2 2 3" xfId="18262"/>
    <cellStyle name="Normal 5 2 5 4 2 3" xfId="5900"/>
    <cellStyle name="Normal 5 2 5 4 2 3 2" xfId="12042"/>
    <cellStyle name="Normal 5 2 5 4 2 3 3" xfId="18263"/>
    <cellStyle name="Normal 5 2 5 4 2 4" xfId="5901"/>
    <cellStyle name="Normal 5 2 5 4 2 4 2" xfId="12043"/>
    <cellStyle name="Normal 5 2 5 4 2 4 3" xfId="18264"/>
    <cellStyle name="Normal 5 2 5 4 2 5" xfId="5902"/>
    <cellStyle name="Normal 5 2 5 4 2 5 2" xfId="12044"/>
    <cellStyle name="Normal 5 2 5 4 2 5 3" xfId="18265"/>
    <cellStyle name="Normal 5 2 5 4 2 6" xfId="12040"/>
    <cellStyle name="Normal 5 2 5 4 2 7" xfId="18261"/>
    <cellStyle name="Normal 5 2 5 4 3" xfId="5903"/>
    <cellStyle name="Normal 5 2 5 4 3 2" xfId="5904"/>
    <cellStyle name="Normal 5 2 5 4 3 2 2" xfId="12046"/>
    <cellStyle name="Normal 5 2 5 4 3 2 3" xfId="18267"/>
    <cellStyle name="Normal 5 2 5 4 3 3" xfId="5905"/>
    <cellStyle name="Normal 5 2 5 4 3 3 2" xfId="12047"/>
    <cellStyle name="Normal 5 2 5 4 3 3 3" xfId="18268"/>
    <cellStyle name="Normal 5 2 5 4 3 4" xfId="12045"/>
    <cellStyle name="Normal 5 2 5 4 3 5" xfId="18266"/>
    <cellStyle name="Normal 5 2 5 4 4" xfId="5906"/>
    <cellStyle name="Normal 5 2 5 4 4 2" xfId="5907"/>
    <cellStyle name="Normal 5 2 5 4 4 2 2" xfId="12049"/>
    <cellStyle name="Normal 5 2 5 4 4 2 3" xfId="18270"/>
    <cellStyle name="Normal 5 2 5 4 4 3" xfId="5908"/>
    <cellStyle name="Normal 5 2 5 4 4 3 2" xfId="12050"/>
    <cellStyle name="Normal 5 2 5 4 4 3 3" xfId="18271"/>
    <cellStyle name="Normal 5 2 5 4 4 4" xfId="12048"/>
    <cellStyle name="Normal 5 2 5 4 4 5" xfId="18269"/>
    <cellStyle name="Normal 5 2 5 4 5" xfId="5909"/>
    <cellStyle name="Normal 5 2 5 4 5 2" xfId="12051"/>
    <cellStyle name="Normal 5 2 5 4 5 3" xfId="18272"/>
    <cellStyle name="Normal 5 2 5 4 6" xfId="5910"/>
    <cellStyle name="Normal 5 2 5 4 6 2" xfId="12052"/>
    <cellStyle name="Normal 5 2 5 4 6 3" xfId="18273"/>
    <cellStyle name="Normal 5 2 5 4 7" xfId="12039"/>
    <cellStyle name="Normal 5 2 5 4 8" xfId="18260"/>
    <cellStyle name="Normal 5 2 5 5" xfId="5911"/>
    <cellStyle name="Normal 5 2 5 5 2" xfId="5912"/>
    <cellStyle name="Normal 5 2 5 5 2 2" xfId="5913"/>
    <cellStyle name="Normal 5 2 5 5 2 2 2" xfId="12055"/>
    <cellStyle name="Normal 5 2 5 5 2 2 3" xfId="18276"/>
    <cellStyle name="Normal 5 2 5 5 2 3" xfId="5914"/>
    <cellStyle name="Normal 5 2 5 5 2 3 2" xfId="12056"/>
    <cellStyle name="Normal 5 2 5 5 2 3 3" xfId="18277"/>
    <cellStyle name="Normal 5 2 5 5 2 4" xfId="5915"/>
    <cellStyle name="Normal 5 2 5 5 2 4 2" xfId="12057"/>
    <cellStyle name="Normal 5 2 5 5 2 4 3" xfId="18278"/>
    <cellStyle name="Normal 5 2 5 5 2 5" xfId="5916"/>
    <cellStyle name="Normal 5 2 5 5 2 5 2" xfId="12058"/>
    <cellStyle name="Normal 5 2 5 5 2 5 3" xfId="18279"/>
    <cellStyle name="Normal 5 2 5 5 2 6" xfId="12054"/>
    <cellStyle name="Normal 5 2 5 5 2 7" xfId="18275"/>
    <cellStyle name="Normal 5 2 5 5 3" xfId="5917"/>
    <cellStyle name="Normal 5 2 5 5 3 2" xfId="5918"/>
    <cellStyle name="Normal 5 2 5 5 3 2 2" xfId="12060"/>
    <cellStyle name="Normal 5 2 5 5 3 2 3" xfId="18281"/>
    <cellStyle name="Normal 5 2 5 5 3 3" xfId="5919"/>
    <cellStyle name="Normal 5 2 5 5 3 3 2" xfId="12061"/>
    <cellStyle name="Normal 5 2 5 5 3 3 3" xfId="18282"/>
    <cellStyle name="Normal 5 2 5 5 3 4" xfId="12059"/>
    <cellStyle name="Normal 5 2 5 5 3 5" xfId="18280"/>
    <cellStyle name="Normal 5 2 5 5 4" xfId="5920"/>
    <cellStyle name="Normal 5 2 5 5 4 2" xfId="5921"/>
    <cellStyle name="Normal 5 2 5 5 4 2 2" xfId="12063"/>
    <cellStyle name="Normal 5 2 5 5 4 2 3" xfId="18284"/>
    <cellStyle name="Normal 5 2 5 5 4 3" xfId="5922"/>
    <cellStyle name="Normal 5 2 5 5 4 3 2" xfId="12064"/>
    <cellStyle name="Normal 5 2 5 5 4 3 3" xfId="18285"/>
    <cellStyle name="Normal 5 2 5 5 4 4" xfId="12062"/>
    <cellStyle name="Normal 5 2 5 5 4 5" xfId="18283"/>
    <cellStyle name="Normal 5 2 5 5 5" xfId="5923"/>
    <cellStyle name="Normal 5 2 5 5 5 2" xfId="12065"/>
    <cellStyle name="Normal 5 2 5 5 5 3" xfId="18286"/>
    <cellStyle name="Normal 5 2 5 5 6" xfId="5924"/>
    <cellStyle name="Normal 5 2 5 5 6 2" xfId="12066"/>
    <cellStyle name="Normal 5 2 5 5 6 3" xfId="18287"/>
    <cellStyle name="Normal 5 2 5 5 7" xfId="12053"/>
    <cellStyle name="Normal 5 2 5 5 8" xfId="18274"/>
    <cellStyle name="Normal 5 2 5 6" xfId="5925"/>
    <cellStyle name="Normal 5 2 5 6 2" xfId="5926"/>
    <cellStyle name="Normal 5 2 5 6 2 2" xfId="5927"/>
    <cellStyle name="Normal 5 2 5 6 2 2 2" xfId="12069"/>
    <cellStyle name="Normal 5 2 5 6 2 2 3" xfId="18290"/>
    <cellStyle name="Normal 5 2 5 6 2 3" xfId="5928"/>
    <cellStyle name="Normal 5 2 5 6 2 3 2" xfId="12070"/>
    <cellStyle name="Normal 5 2 5 6 2 3 3" xfId="18291"/>
    <cellStyle name="Normal 5 2 5 6 2 4" xfId="5929"/>
    <cellStyle name="Normal 5 2 5 6 2 4 2" xfId="12071"/>
    <cellStyle name="Normal 5 2 5 6 2 4 3" xfId="18292"/>
    <cellStyle name="Normal 5 2 5 6 2 5" xfId="5930"/>
    <cellStyle name="Normal 5 2 5 6 2 5 2" xfId="12072"/>
    <cellStyle name="Normal 5 2 5 6 2 5 3" xfId="18293"/>
    <cellStyle name="Normal 5 2 5 6 2 6" xfId="12068"/>
    <cellStyle name="Normal 5 2 5 6 2 7" xfId="18289"/>
    <cellStyle name="Normal 5 2 5 6 3" xfId="5931"/>
    <cellStyle name="Normal 5 2 5 6 3 2" xfId="5932"/>
    <cellStyle name="Normal 5 2 5 6 3 2 2" xfId="12074"/>
    <cellStyle name="Normal 5 2 5 6 3 2 3" xfId="18295"/>
    <cellStyle name="Normal 5 2 5 6 3 3" xfId="5933"/>
    <cellStyle name="Normal 5 2 5 6 3 3 2" xfId="12075"/>
    <cellStyle name="Normal 5 2 5 6 3 3 3" xfId="18296"/>
    <cellStyle name="Normal 5 2 5 6 3 4" xfId="12073"/>
    <cellStyle name="Normal 5 2 5 6 3 5" xfId="18294"/>
    <cellStyle name="Normal 5 2 5 6 4" xfId="5934"/>
    <cellStyle name="Normal 5 2 5 6 4 2" xfId="5935"/>
    <cellStyle name="Normal 5 2 5 6 4 2 2" xfId="12077"/>
    <cellStyle name="Normal 5 2 5 6 4 2 3" xfId="18298"/>
    <cellStyle name="Normal 5 2 5 6 4 3" xfId="5936"/>
    <cellStyle name="Normal 5 2 5 6 4 3 2" xfId="12078"/>
    <cellStyle name="Normal 5 2 5 6 4 3 3" xfId="18299"/>
    <cellStyle name="Normal 5 2 5 6 4 4" xfId="12076"/>
    <cellStyle name="Normal 5 2 5 6 4 5" xfId="18297"/>
    <cellStyle name="Normal 5 2 5 6 5" xfId="5937"/>
    <cellStyle name="Normal 5 2 5 6 5 2" xfId="12079"/>
    <cellStyle name="Normal 5 2 5 6 5 3" xfId="18300"/>
    <cellStyle name="Normal 5 2 5 6 6" xfId="5938"/>
    <cellStyle name="Normal 5 2 5 6 6 2" xfId="12080"/>
    <cellStyle name="Normal 5 2 5 6 6 3" xfId="18301"/>
    <cellStyle name="Normal 5 2 5 6 7" xfId="12067"/>
    <cellStyle name="Normal 5 2 5 6 8" xfId="18288"/>
    <cellStyle name="Normal 5 2 5 7" xfId="5939"/>
    <cellStyle name="Normal 5 2 5 7 2" xfId="5940"/>
    <cellStyle name="Normal 5 2 5 7 2 2" xfId="5941"/>
    <cellStyle name="Normal 5 2 5 7 2 2 2" xfId="12083"/>
    <cellStyle name="Normal 5 2 5 7 2 2 3" xfId="18304"/>
    <cellStyle name="Normal 5 2 5 7 2 3" xfId="5942"/>
    <cellStyle name="Normal 5 2 5 7 2 3 2" xfId="12084"/>
    <cellStyle name="Normal 5 2 5 7 2 3 3" xfId="18305"/>
    <cellStyle name="Normal 5 2 5 7 2 4" xfId="12082"/>
    <cellStyle name="Normal 5 2 5 7 2 5" xfId="18303"/>
    <cellStyle name="Normal 5 2 5 7 3" xfId="5943"/>
    <cellStyle name="Normal 5 2 5 7 3 2" xfId="5944"/>
    <cellStyle name="Normal 5 2 5 7 3 2 2" xfId="12086"/>
    <cellStyle name="Normal 5 2 5 7 3 2 3" xfId="18307"/>
    <cellStyle name="Normal 5 2 5 7 3 3" xfId="5945"/>
    <cellStyle name="Normal 5 2 5 7 3 3 2" xfId="12087"/>
    <cellStyle name="Normal 5 2 5 7 3 3 3" xfId="18308"/>
    <cellStyle name="Normal 5 2 5 7 3 4" xfId="12085"/>
    <cellStyle name="Normal 5 2 5 7 3 5" xfId="18306"/>
    <cellStyle name="Normal 5 2 5 7 4" xfId="5946"/>
    <cellStyle name="Normal 5 2 5 7 4 2" xfId="5947"/>
    <cellStyle name="Normal 5 2 5 7 4 2 2" xfId="12089"/>
    <cellStyle name="Normal 5 2 5 7 4 2 3" xfId="18310"/>
    <cellStyle name="Normal 5 2 5 7 4 3" xfId="12088"/>
    <cellStyle name="Normal 5 2 5 7 4 4" xfId="18309"/>
    <cellStyle name="Normal 5 2 5 7 5" xfId="5948"/>
    <cellStyle name="Normal 5 2 5 7 5 2" xfId="12090"/>
    <cellStyle name="Normal 5 2 5 7 5 3" xfId="18311"/>
    <cellStyle name="Normal 5 2 5 7 6" xfId="5949"/>
    <cellStyle name="Normal 5 2 5 7 6 2" xfId="12091"/>
    <cellStyle name="Normal 5 2 5 7 6 3" xfId="18312"/>
    <cellStyle name="Normal 5 2 5 7 7" xfId="12081"/>
    <cellStyle name="Normal 5 2 5 7 8" xfId="18302"/>
    <cellStyle name="Normal 5 2 5 8" xfId="5950"/>
    <cellStyle name="Normal 5 2 5 8 2" xfId="5951"/>
    <cellStyle name="Normal 5 2 5 8 2 2" xfId="12093"/>
    <cellStyle name="Normal 5 2 5 8 2 3" xfId="18314"/>
    <cellStyle name="Normal 5 2 5 8 3" xfId="5952"/>
    <cellStyle name="Normal 5 2 5 8 3 2" xfId="12094"/>
    <cellStyle name="Normal 5 2 5 8 3 3" xfId="18315"/>
    <cellStyle name="Normal 5 2 5 8 4" xfId="5953"/>
    <cellStyle name="Normal 5 2 5 8 4 2" xfId="12095"/>
    <cellStyle name="Normal 5 2 5 8 4 3" xfId="18316"/>
    <cellStyle name="Normal 5 2 5 8 5" xfId="5954"/>
    <cellStyle name="Normal 5 2 5 8 5 2" xfId="12096"/>
    <cellStyle name="Normal 5 2 5 8 5 3" xfId="18317"/>
    <cellStyle name="Normal 5 2 5 8 6" xfId="12092"/>
    <cellStyle name="Normal 5 2 5 8 7" xfId="18313"/>
    <cellStyle name="Normal 5 2 5 9" xfId="5955"/>
    <cellStyle name="Normal 5 2 5 9 2" xfId="5956"/>
    <cellStyle name="Normal 5 2 5 9 2 2" xfId="12098"/>
    <cellStyle name="Normal 5 2 5 9 2 3" xfId="18319"/>
    <cellStyle name="Normal 5 2 5 9 3" xfId="5957"/>
    <cellStyle name="Normal 5 2 5 9 3 2" xfId="12099"/>
    <cellStyle name="Normal 5 2 5 9 3 3" xfId="18320"/>
    <cellStyle name="Normal 5 2 5 9 4" xfId="12097"/>
    <cellStyle name="Normal 5 2 5 9 5" xfId="18318"/>
    <cellStyle name="Normal 5 2 5_10070" xfId="5958"/>
    <cellStyle name="Normal 5 2 6" xfId="5959"/>
    <cellStyle name="Normal 5 2 6 2" xfId="5960"/>
    <cellStyle name="Normal 5 2 6 2 2" xfId="5961"/>
    <cellStyle name="Normal 5 2 6 2 2 2" xfId="12102"/>
    <cellStyle name="Normal 5 2 6 2 2 3" xfId="18323"/>
    <cellStyle name="Normal 5 2 6 2 3" xfId="5962"/>
    <cellStyle name="Normal 5 2 6 2 3 2" xfId="12103"/>
    <cellStyle name="Normal 5 2 6 2 3 3" xfId="18324"/>
    <cellStyle name="Normal 5 2 6 2 4" xfId="12101"/>
    <cellStyle name="Normal 5 2 6 2 5" xfId="18322"/>
    <cellStyle name="Normal 5 2 6 3" xfId="5963"/>
    <cellStyle name="Normal 5 2 6 3 2" xfId="5964"/>
    <cellStyle name="Normal 5 2 6 3 2 2" xfId="12105"/>
    <cellStyle name="Normal 5 2 6 3 2 3" xfId="18326"/>
    <cellStyle name="Normal 5 2 6 3 3" xfId="5965"/>
    <cellStyle name="Normal 5 2 6 3 3 2" xfId="12106"/>
    <cellStyle name="Normal 5 2 6 3 3 3" xfId="18327"/>
    <cellStyle name="Normal 5 2 6 3 4" xfId="12104"/>
    <cellStyle name="Normal 5 2 6 3 5" xfId="18325"/>
    <cellStyle name="Normal 5 2 6 4" xfId="5966"/>
    <cellStyle name="Normal 5 2 6 4 2" xfId="12107"/>
    <cellStyle name="Normal 5 2 6 4 3" xfId="18328"/>
    <cellStyle name="Normal 5 2 6 5" xfId="5967"/>
    <cellStyle name="Normal 5 2 6 5 2" xfId="12108"/>
    <cellStyle name="Normal 5 2 6 5 3" xfId="18329"/>
    <cellStyle name="Normal 5 2 6 6" xfId="12100"/>
    <cellStyle name="Normal 5 2 6 7" xfId="18321"/>
    <cellStyle name="Normal 5 2 7" xfId="5968"/>
    <cellStyle name="Normal 5 2 7 2" xfId="5969"/>
    <cellStyle name="Normal 5 2 7 2 2" xfId="12110"/>
    <cellStyle name="Normal 5 2 7 2 3" xfId="18331"/>
    <cellStyle name="Normal 5 2 7 3" xfId="5970"/>
    <cellStyle name="Normal 5 2 7 3 2" xfId="12111"/>
    <cellStyle name="Normal 5 2 7 3 3" xfId="18332"/>
    <cellStyle name="Normal 5 2 7 4" xfId="5971"/>
    <cellStyle name="Normal 5 2 7 4 2" xfId="12112"/>
    <cellStyle name="Normal 5 2 7 4 3" xfId="18333"/>
    <cellStyle name="Normal 5 2 7 5" xfId="5972"/>
    <cellStyle name="Normal 5 2 7 5 2" xfId="12113"/>
    <cellStyle name="Normal 5 2 7 5 3" xfId="18334"/>
    <cellStyle name="Normal 5 2 7 6" xfId="12109"/>
    <cellStyle name="Normal 5 2 7 7" xfId="18330"/>
    <cellStyle name="Normal 5 2 8" xfId="5973"/>
    <cellStyle name="Normal 5 2 8 2" xfId="12114"/>
    <cellStyle name="Normal 5 2 8 3" xfId="18335"/>
    <cellStyle name="Normal 5 2 9" xfId="5974"/>
    <cellStyle name="Normal 5 2 9 2" xfId="12115"/>
    <cellStyle name="Normal 5 2 9 3" xfId="18336"/>
    <cellStyle name="Normal 5 3" xfId="5975"/>
    <cellStyle name="Normal 5 3 10" xfId="18337"/>
    <cellStyle name="Normal 5 3 2" xfId="5976"/>
    <cellStyle name="Normal 5 3 2 2" xfId="5977"/>
    <cellStyle name="Normal 5 3 2 2 2" xfId="5978"/>
    <cellStyle name="Normal 5 3 2 2 2 2" xfId="5979"/>
    <cellStyle name="Normal 5 3 2 2 2 2 2" xfId="5980"/>
    <cellStyle name="Normal 5 3 2 2 2 2 2 2" xfId="12121"/>
    <cellStyle name="Normal 5 3 2 2 2 2 2 3" xfId="18342"/>
    <cellStyle name="Normal 5 3 2 2 2 2 3" xfId="12120"/>
    <cellStyle name="Normal 5 3 2 2 2 2 4" xfId="18341"/>
    <cellStyle name="Normal 5 3 2 2 2 3" xfId="5981"/>
    <cellStyle name="Normal 5 3 2 2 2 3 2" xfId="5982"/>
    <cellStyle name="Normal 5 3 2 2 2 3 2 2" xfId="12123"/>
    <cellStyle name="Normal 5 3 2 2 2 3 2 3" xfId="18344"/>
    <cellStyle name="Normal 5 3 2 2 2 3 3" xfId="12122"/>
    <cellStyle name="Normal 5 3 2 2 2 3 4" xfId="18343"/>
    <cellStyle name="Normal 5 3 2 2 2 4" xfId="5983"/>
    <cellStyle name="Normal 5 3 2 2 2 4 2" xfId="12124"/>
    <cellStyle name="Normal 5 3 2 2 2 4 3" xfId="18345"/>
    <cellStyle name="Normal 5 3 2 2 2 5" xfId="12119"/>
    <cellStyle name="Normal 5 3 2 2 2 6" xfId="18340"/>
    <cellStyle name="Normal 5 3 2 2 3" xfId="5984"/>
    <cellStyle name="Normal 5 3 2 2 3 2" xfId="5985"/>
    <cellStyle name="Normal 5 3 2 2 3 2 2" xfId="12126"/>
    <cellStyle name="Normal 5 3 2 2 3 2 3" xfId="18347"/>
    <cellStyle name="Normal 5 3 2 2 3 3" xfId="12125"/>
    <cellStyle name="Normal 5 3 2 2 3 4" xfId="18346"/>
    <cellStyle name="Normal 5 3 2 2 4" xfId="5986"/>
    <cellStyle name="Normal 5 3 2 2 4 2" xfId="5987"/>
    <cellStyle name="Normal 5 3 2 2 4 2 2" xfId="12128"/>
    <cellStyle name="Normal 5 3 2 2 4 2 3" xfId="18349"/>
    <cellStyle name="Normal 5 3 2 2 4 3" xfId="12127"/>
    <cellStyle name="Normal 5 3 2 2 4 4" xfId="18348"/>
    <cellStyle name="Normal 5 3 2 2 5" xfId="5988"/>
    <cellStyle name="Normal 5 3 2 2 5 2" xfId="12129"/>
    <cellStyle name="Normal 5 3 2 2 5 3" xfId="18350"/>
    <cellStyle name="Normal 5 3 2 2 6" xfId="12118"/>
    <cellStyle name="Normal 5 3 2 2 7" xfId="18339"/>
    <cellStyle name="Normal 5 3 2 3" xfId="5989"/>
    <cellStyle name="Normal 5 3 2 3 2" xfId="5990"/>
    <cellStyle name="Normal 5 3 2 3 2 2" xfId="5991"/>
    <cellStyle name="Normal 5 3 2 3 2 2 2" xfId="12132"/>
    <cellStyle name="Normal 5 3 2 3 2 2 3" xfId="18353"/>
    <cellStyle name="Normal 5 3 2 3 2 3" xfId="12131"/>
    <cellStyle name="Normal 5 3 2 3 2 4" xfId="18352"/>
    <cellStyle name="Normal 5 3 2 3 3" xfId="5992"/>
    <cellStyle name="Normal 5 3 2 3 3 2" xfId="5993"/>
    <cellStyle name="Normal 5 3 2 3 3 2 2" xfId="12134"/>
    <cellStyle name="Normal 5 3 2 3 3 2 3" xfId="18355"/>
    <cellStyle name="Normal 5 3 2 3 3 3" xfId="12133"/>
    <cellStyle name="Normal 5 3 2 3 3 4" xfId="18354"/>
    <cellStyle name="Normal 5 3 2 3 4" xfId="5994"/>
    <cellStyle name="Normal 5 3 2 3 4 2" xfId="12135"/>
    <cellStyle name="Normal 5 3 2 3 4 3" xfId="18356"/>
    <cellStyle name="Normal 5 3 2 3 5" xfId="12130"/>
    <cellStyle name="Normal 5 3 2 3 6" xfId="18351"/>
    <cellStyle name="Normal 5 3 2 4" xfId="5995"/>
    <cellStyle name="Normal 5 3 2 4 2" xfId="5996"/>
    <cellStyle name="Normal 5 3 2 4 2 2" xfId="12137"/>
    <cellStyle name="Normal 5 3 2 4 2 3" xfId="18358"/>
    <cellStyle name="Normal 5 3 2 4 3" xfId="12136"/>
    <cellStyle name="Normal 5 3 2 4 4" xfId="18357"/>
    <cellStyle name="Normal 5 3 2 5" xfId="5997"/>
    <cellStyle name="Normal 5 3 2 5 2" xfId="5998"/>
    <cellStyle name="Normal 5 3 2 5 2 2" xfId="12139"/>
    <cellStyle name="Normal 5 3 2 5 2 3" xfId="18360"/>
    <cellStyle name="Normal 5 3 2 5 3" xfId="12138"/>
    <cellStyle name="Normal 5 3 2 5 4" xfId="18359"/>
    <cellStyle name="Normal 5 3 2 6" xfId="5999"/>
    <cellStyle name="Normal 5 3 2 6 2" xfId="12140"/>
    <cellStyle name="Normal 5 3 2 6 3" xfId="18361"/>
    <cellStyle name="Normal 5 3 2 7" xfId="12117"/>
    <cellStyle name="Normal 5 3 2 8" xfId="18338"/>
    <cellStyle name="Normal 5 3 3" xfId="6000"/>
    <cellStyle name="Normal 5 3 3 2" xfId="6001"/>
    <cellStyle name="Normal 5 3 3 2 2" xfId="6002"/>
    <cellStyle name="Normal 5 3 3 2 2 2" xfId="6003"/>
    <cellStyle name="Normal 5 3 3 2 2 2 2" xfId="12144"/>
    <cellStyle name="Normal 5 3 3 2 2 2 3" xfId="18365"/>
    <cellStyle name="Normal 5 3 3 2 2 3" xfId="12143"/>
    <cellStyle name="Normal 5 3 3 2 2 4" xfId="18364"/>
    <cellStyle name="Normal 5 3 3 2 3" xfId="6004"/>
    <cellStyle name="Normal 5 3 3 2 3 2" xfId="6005"/>
    <cellStyle name="Normal 5 3 3 2 3 2 2" xfId="12146"/>
    <cellStyle name="Normal 5 3 3 2 3 2 3" xfId="18367"/>
    <cellStyle name="Normal 5 3 3 2 3 3" xfId="12145"/>
    <cellStyle name="Normal 5 3 3 2 3 4" xfId="18366"/>
    <cellStyle name="Normal 5 3 3 2 4" xfId="6006"/>
    <cellStyle name="Normal 5 3 3 2 4 2" xfId="12147"/>
    <cellStyle name="Normal 5 3 3 2 4 3" xfId="18368"/>
    <cellStyle name="Normal 5 3 3 2 5" xfId="12142"/>
    <cellStyle name="Normal 5 3 3 2 6" xfId="18363"/>
    <cellStyle name="Normal 5 3 3 3" xfId="6007"/>
    <cellStyle name="Normal 5 3 3 3 2" xfId="6008"/>
    <cellStyle name="Normal 5 3 3 3 2 2" xfId="12149"/>
    <cellStyle name="Normal 5 3 3 3 2 3" xfId="18370"/>
    <cellStyle name="Normal 5 3 3 3 3" xfId="12148"/>
    <cellStyle name="Normal 5 3 3 3 4" xfId="18369"/>
    <cellStyle name="Normal 5 3 3 4" xfId="6009"/>
    <cellStyle name="Normal 5 3 3 4 2" xfId="6010"/>
    <cellStyle name="Normal 5 3 3 4 2 2" xfId="12151"/>
    <cellStyle name="Normal 5 3 3 4 2 3" xfId="18372"/>
    <cellStyle name="Normal 5 3 3 4 3" xfId="12150"/>
    <cellStyle name="Normal 5 3 3 4 4" xfId="18371"/>
    <cellStyle name="Normal 5 3 3 5" xfId="6011"/>
    <cellStyle name="Normal 5 3 3 5 2" xfId="12152"/>
    <cellStyle name="Normal 5 3 3 5 3" xfId="18373"/>
    <cellStyle name="Normal 5 3 3 6" xfId="12141"/>
    <cellStyle name="Normal 5 3 3 7" xfId="18362"/>
    <cellStyle name="Normal 5 3 4" xfId="6012"/>
    <cellStyle name="Normal 5 3 4 2" xfId="6013"/>
    <cellStyle name="Normal 5 3 4 2 2" xfId="6014"/>
    <cellStyle name="Normal 5 3 4 2 2 2" xfId="12155"/>
    <cellStyle name="Normal 5 3 4 2 2 3" xfId="18376"/>
    <cellStyle name="Normal 5 3 4 2 3" xfId="12154"/>
    <cellStyle name="Normal 5 3 4 2 4" xfId="18375"/>
    <cellStyle name="Normal 5 3 4 3" xfId="6015"/>
    <cellStyle name="Normal 5 3 4 3 2" xfId="6016"/>
    <cellStyle name="Normal 5 3 4 3 2 2" xfId="12157"/>
    <cellStyle name="Normal 5 3 4 3 2 3" xfId="18378"/>
    <cellStyle name="Normal 5 3 4 3 3" xfId="12156"/>
    <cellStyle name="Normal 5 3 4 3 4" xfId="18377"/>
    <cellStyle name="Normal 5 3 4 4" xfId="6017"/>
    <cellStyle name="Normal 5 3 4 4 2" xfId="12158"/>
    <cellStyle name="Normal 5 3 4 4 3" xfId="18379"/>
    <cellStyle name="Normal 5 3 4 5" xfId="12153"/>
    <cellStyle name="Normal 5 3 4 6" xfId="18374"/>
    <cellStyle name="Normal 5 3 5" xfId="6018"/>
    <cellStyle name="Normal 5 3 5 2" xfId="6019"/>
    <cellStyle name="Normal 5 3 5 2 2" xfId="12160"/>
    <cellStyle name="Normal 5 3 5 2 3" xfId="18381"/>
    <cellStyle name="Normal 5 3 5 3" xfId="12159"/>
    <cellStyle name="Normal 5 3 5 4" xfId="18380"/>
    <cellStyle name="Normal 5 3 6" xfId="6020"/>
    <cellStyle name="Normal 5 3 6 2" xfId="6021"/>
    <cellStyle name="Normal 5 3 6 2 2" xfId="12162"/>
    <cellStyle name="Normal 5 3 6 2 3" xfId="18383"/>
    <cellStyle name="Normal 5 3 6 3" xfId="12161"/>
    <cellStyle name="Normal 5 3 6 4" xfId="18382"/>
    <cellStyle name="Normal 5 3 7" xfId="6022"/>
    <cellStyle name="Normal 5 3 7 2" xfId="12163"/>
    <cellStyle name="Normal 5 3 7 3" xfId="18384"/>
    <cellStyle name="Normal 5 3 8" xfId="6023"/>
    <cellStyle name="Normal 5 3 8 2" xfId="18385"/>
    <cellStyle name="Normal 5 3 9" xfId="12116"/>
    <cellStyle name="Normal 5 4" xfId="6024"/>
    <cellStyle name="Normal 5 4 10" xfId="18386"/>
    <cellStyle name="Normal 5 4 2" xfId="6025"/>
    <cellStyle name="Normal 5 4 2 2" xfId="6026"/>
    <cellStyle name="Normal 5 4 2 2 2" xfId="6027"/>
    <cellStyle name="Normal 5 4 2 2 2 2" xfId="6028"/>
    <cellStyle name="Normal 5 4 2 2 2 2 2" xfId="6029"/>
    <cellStyle name="Normal 5 4 2 2 2 2 2 2" xfId="12169"/>
    <cellStyle name="Normal 5 4 2 2 2 2 2 3" xfId="18391"/>
    <cellStyle name="Normal 5 4 2 2 2 2 3" xfId="12168"/>
    <cellStyle name="Normal 5 4 2 2 2 2 4" xfId="18390"/>
    <cellStyle name="Normal 5 4 2 2 2 3" xfId="6030"/>
    <cellStyle name="Normal 5 4 2 2 2 3 2" xfId="6031"/>
    <cellStyle name="Normal 5 4 2 2 2 3 2 2" xfId="12171"/>
    <cellStyle name="Normal 5 4 2 2 2 3 2 3" xfId="18393"/>
    <cellStyle name="Normal 5 4 2 2 2 3 3" xfId="12170"/>
    <cellStyle name="Normal 5 4 2 2 2 3 4" xfId="18392"/>
    <cellStyle name="Normal 5 4 2 2 2 4" xfId="6032"/>
    <cellStyle name="Normal 5 4 2 2 2 4 2" xfId="12172"/>
    <cellStyle name="Normal 5 4 2 2 2 4 3" xfId="18394"/>
    <cellStyle name="Normal 5 4 2 2 2 5" xfId="12167"/>
    <cellStyle name="Normal 5 4 2 2 2 6" xfId="18389"/>
    <cellStyle name="Normal 5 4 2 2 3" xfId="6033"/>
    <cellStyle name="Normal 5 4 2 2 3 2" xfId="6034"/>
    <cellStyle name="Normal 5 4 2 2 3 2 2" xfId="12174"/>
    <cellStyle name="Normal 5 4 2 2 3 2 3" xfId="18396"/>
    <cellStyle name="Normal 5 4 2 2 3 3" xfId="12173"/>
    <cellStyle name="Normal 5 4 2 2 3 4" xfId="18395"/>
    <cellStyle name="Normal 5 4 2 2 4" xfId="6035"/>
    <cellStyle name="Normal 5 4 2 2 4 2" xfId="6036"/>
    <cellStyle name="Normal 5 4 2 2 4 2 2" xfId="12176"/>
    <cellStyle name="Normal 5 4 2 2 4 2 3" xfId="18398"/>
    <cellStyle name="Normal 5 4 2 2 4 3" xfId="12175"/>
    <cellStyle name="Normal 5 4 2 2 4 4" xfId="18397"/>
    <cellStyle name="Normal 5 4 2 2 5" xfId="6037"/>
    <cellStyle name="Normal 5 4 2 2 5 2" xfId="12177"/>
    <cellStyle name="Normal 5 4 2 2 5 3" xfId="18399"/>
    <cellStyle name="Normal 5 4 2 2 6" xfId="12166"/>
    <cellStyle name="Normal 5 4 2 2 7" xfId="18388"/>
    <cellStyle name="Normal 5 4 2 3" xfId="6038"/>
    <cellStyle name="Normal 5 4 2 3 2" xfId="6039"/>
    <cellStyle name="Normal 5 4 2 3 2 2" xfId="6040"/>
    <cellStyle name="Normal 5 4 2 3 2 2 2" xfId="12180"/>
    <cellStyle name="Normal 5 4 2 3 2 2 3" xfId="18402"/>
    <cellStyle name="Normal 5 4 2 3 2 3" xfId="12179"/>
    <cellStyle name="Normal 5 4 2 3 2 4" xfId="18401"/>
    <cellStyle name="Normal 5 4 2 3 3" xfId="6041"/>
    <cellStyle name="Normal 5 4 2 3 3 2" xfId="6042"/>
    <cellStyle name="Normal 5 4 2 3 3 2 2" xfId="12182"/>
    <cellStyle name="Normal 5 4 2 3 3 2 3" xfId="18404"/>
    <cellStyle name="Normal 5 4 2 3 3 3" xfId="12181"/>
    <cellStyle name="Normal 5 4 2 3 3 4" xfId="18403"/>
    <cellStyle name="Normal 5 4 2 3 4" xfId="6043"/>
    <cellStyle name="Normal 5 4 2 3 4 2" xfId="12183"/>
    <cellStyle name="Normal 5 4 2 3 4 3" xfId="18405"/>
    <cellStyle name="Normal 5 4 2 3 5" xfId="12178"/>
    <cellStyle name="Normal 5 4 2 3 6" xfId="18400"/>
    <cellStyle name="Normal 5 4 2 4" xfId="6044"/>
    <cellStyle name="Normal 5 4 2 4 2" xfId="6045"/>
    <cellStyle name="Normal 5 4 2 4 2 2" xfId="12185"/>
    <cellStyle name="Normal 5 4 2 4 2 3" xfId="18407"/>
    <cellStyle name="Normal 5 4 2 4 3" xfId="12184"/>
    <cellStyle name="Normal 5 4 2 4 4" xfId="18406"/>
    <cellStyle name="Normal 5 4 2 5" xfId="6046"/>
    <cellStyle name="Normal 5 4 2 5 2" xfId="6047"/>
    <cellStyle name="Normal 5 4 2 5 2 2" xfId="12187"/>
    <cellStyle name="Normal 5 4 2 5 2 3" xfId="18409"/>
    <cellStyle name="Normal 5 4 2 5 3" xfId="12186"/>
    <cellStyle name="Normal 5 4 2 5 4" xfId="18408"/>
    <cellStyle name="Normal 5 4 2 6" xfId="6048"/>
    <cellStyle name="Normal 5 4 2 6 2" xfId="12188"/>
    <cellStyle name="Normal 5 4 2 6 3" xfId="18410"/>
    <cellStyle name="Normal 5 4 2 7" xfId="12165"/>
    <cellStyle name="Normal 5 4 2 8" xfId="18387"/>
    <cellStyle name="Normal 5 4 3" xfId="6049"/>
    <cellStyle name="Normal 5 4 3 2" xfId="6050"/>
    <cellStyle name="Normal 5 4 3 2 2" xfId="6051"/>
    <cellStyle name="Normal 5 4 3 2 2 2" xfId="6052"/>
    <cellStyle name="Normal 5 4 3 2 2 2 2" xfId="12192"/>
    <cellStyle name="Normal 5 4 3 2 2 2 3" xfId="18414"/>
    <cellStyle name="Normal 5 4 3 2 2 3" xfId="12191"/>
    <cellStyle name="Normal 5 4 3 2 2 4" xfId="18413"/>
    <cellStyle name="Normal 5 4 3 2 3" xfId="6053"/>
    <cellStyle name="Normal 5 4 3 2 3 2" xfId="6054"/>
    <cellStyle name="Normal 5 4 3 2 3 2 2" xfId="12194"/>
    <cellStyle name="Normal 5 4 3 2 3 2 3" xfId="18416"/>
    <cellStyle name="Normal 5 4 3 2 3 3" xfId="12193"/>
    <cellStyle name="Normal 5 4 3 2 3 4" xfId="18415"/>
    <cellStyle name="Normal 5 4 3 2 4" xfId="6055"/>
    <cellStyle name="Normal 5 4 3 2 4 2" xfId="12195"/>
    <cellStyle name="Normal 5 4 3 2 4 3" xfId="18417"/>
    <cellStyle name="Normal 5 4 3 2 5" xfId="12190"/>
    <cellStyle name="Normal 5 4 3 2 6" xfId="18412"/>
    <cellStyle name="Normal 5 4 3 3" xfId="6056"/>
    <cellStyle name="Normal 5 4 3 3 2" xfId="6057"/>
    <cellStyle name="Normal 5 4 3 3 2 2" xfId="12197"/>
    <cellStyle name="Normal 5 4 3 3 2 3" xfId="18419"/>
    <cellStyle name="Normal 5 4 3 3 3" xfId="12196"/>
    <cellStyle name="Normal 5 4 3 3 4" xfId="18418"/>
    <cellStyle name="Normal 5 4 3 4" xfId="6058"/>
    <cellStyle name="Normal 5 4 3 4 2" xfId="6059"/>
    <cellStyle name="Normal 5 4 3 4 2 2" xfId="12199"/>
    <cellStyle name="Normal 5 4 3 4 2 3" xfId="18421"/>
    <cellStyle name="Normal 5 4 3 4 3" xfId="12198"/>
    <cellStyle name="Normal 5 4 3 4 4" xfId="18420"/>
    <cellStyle name="Normal 5 4 3 5" xfId="6060"/>
    <cellStyle name="Normal 5 4 3 5 2" xfId="12200"/>
    <cellStyle name="Normal 5 4 3 5 3" xfId="18422"/>
    <cellStyle name="Normal 5 4 3 6" xfId="12189"/>
    <cellStyle name="Normal 5 4 3 7" xfId="18411"/>
    <cellStyle name="Normal 5 4 4" xfId="6061"/>
    <cellStyle name="Normal 5 4 4 2" xfId="6062"/>
    <cellStyle name="Normal 5 4 4 2 2" xfId="6063"/>
    <cellStyle name="Normal 5 4 4 2 2 2" xfId="12203"/>
    <cellStyle name="Normal 5 4 4 2 2 3" xfId="18425"/>
    <cellStyle name="Normal 5 4 4 2 3" xfId="12202"/>
    <cellStyle name="Normal 5 4 4 2 4" xfId="18424"/>
    <cellStyle name="Normal 5 4 4 3" xfId="6064"/>
    <cellStyle name="Normal 5 4 4 3 2" xfId="6065"/>
    <cellStyle name="Normal 5 4 4 3 2 2" xfId="12205"/>
    <cellStyle name="Normal 5 4 4 3 2 3" xfId="18427"/>
    <cellStyle name="Normal 5 4 4 3 3" xfId="12204"/>
    <cellStyle name="Normal 5 4 4 3 4" xfId="18426"/>
    <cellStyle name="Normal 5 4 4 4" xfId="6066"/>
    <cellStyle name="Normal 5 4 4 4 2" xfId="12206"/>
    <cellStyle name="Normal 5 4 4 4 3" xfId="18428"/>
    <cellStyle name="Normal 5 4 4 5" xfId="12201"/>
    <cellStyle name="Normal 5 4 4 6" xfId="18423"/>
    <cellStyle name="Normal 5 4 5" xfId="6067"/>
    <cellStyle name="Normal 5 4 5 2" xfId="6068"/>
    <cellStyle name="Normal 5 4 5 2 2" xfId="12208"/>
    <cellStyle name="Normal 5 4 5 2 3" xfId="18430"/>
    <cellStyle name="Normal 5 4 5 3" xfId="12207"/>
    <cellStyle name="Normal 5 4 5 4" xfId="18429"/>
    <cellStyle name="Normal 5 4 6" xfId="6069"/>
    <cellStyle name="Normal 5 4 6 2" xfId="6070"/>
    <cellStyle name="Normal 5 4 6 2 2" xfId="12210"/>
    <cellStyle name="Normal 5 4 6 2 3" xfId="18432"/>
    <cellStyle name="Normal 5 4 6 3" xfId="12209"/>
    <cellStyle name="Normal 5 4 6 4" xfId="18431"/>
    <cellStyle name="Normal 5 4 7" xfId="6071"/>
    <cellStyle name="Normal 5 4 7 2" xfId="12211"/>
    <cellStyle name="Normal 5 4 7 3" xfId="18433"/>
    <cellStyle name="Normal 5 4 8" xfId="6072"/>
    <cellStyle name="Normal 5 4 8 2" xfId="18434"/>
    <cellStyle name="Normal 5 4 9" xfId="12164"/>
    <cellStyle name="Normal 5 5" xfId="6073"/>
    <cellStyle name="Normal 5 5 2" xfId="6074"/>
    <cellStyle name="Normal 5 5 2 2" xfId="6075"/>
    <cellStyle name="Normal 5 5 2 2 2" xfId="6076"/>
    <cellStyle name="Normal 5 5 2 2 2 2" xfId="6077"/>
    <cellStyle name="Normal 5 5 2 2 2 2 2" xfId="12216"/>
    <cellStyle name="Normal 5 5 2 2 2 2 3" xfId="18439"/>
    <cellStyle name="Normal 5 5 2 2 2 3" xfId="12215"/>
    <cellStyle name="Normal 5 5 2 2 2 4" xfId="18438"/>
    <cellStyle name="Normal 5 5 2 2 3" xfId="6078"/>
    <cellStyle name="Normal 5 5 2 2 3 2" xfId="6079"/>
    <cellStyle name="Normal 5 5 2 2 3 2 2" xfId="12218"/>
    <cellStyle name="Normal 5 5 2 2 3 2 3" xfId="18441"/>
    <cellStyle name="Normal 5 5 2 2 3 3" xfId="12217"/>
    <cellStyle name="Normal 5 5 2 2 3 4" xfId="18440"/>
    <cellStyle name="Normal 5 5 2 2 4" xfId="6080"/>
    <cellStyle name="Normal 5 5 2 2 4 2" xfId="12219"/>
    <cellStyle name="Normal 5 5 2 2 4 3" xfId="18442"/>
    <cellStyle name="Normal 5 5 2 2 5" xfId="12214"/>
    <cellStyle name="Normal 5 5 2 2 6" xfId="18437"/>
    <cellStyle name="Normal 5 5 2 3" xfId="6081"/>
    <cellStyle name="Normal 5 5 2 3 2" xfId="6082"/>
    <cellStyle name="Normal 5 5 2 3 2 2" xfId="12221"/>
    <cellStyle name="Normal 5 5 2 3 2 3" xfId="18444"/>
    <cellStyle name="Normal 5 5 2 3 3" xfId="12220"/>
    <cellStyle name="Normal 5 5 2 3 4" xfId="18443"/>
    <cellStyle name="Normal 5 5 2 4" xfId="6083"/>
    <cellStyle name="Normal 5 5 2 4 2" xfId="6084"/>
    <cellStyle name="Normal 5 5 2 4 2 2" xfId="12223"/>
    <cellStyle name="Normal 5 5 2 4 2 3" xfId="18446"/>
    <cellStyle name="Normal 5 5 2 4 3" xfId="12222"/>
    <cellStyle name="Normal 5 5 2 4 4" xfId="18445"/>
    <cellStyle name="Normal 5 5 2 5" xfId="6085"/>
    <cellStyle name="Normal 5 5 2 5 2" xfId="12224"/>
    <cellStyle name="Normal 5 5 2 5 3" xfId="18447"/>
    <cellStyle name="Normal 5 5 2 6" xfId="12213"/>
    <cellStyle name="Normal 5 5 2 7" xfId="18436"/>
    <cellStyle name="Normal 5 5 3" xfId="6086"/>
    <cellStyle name="Normal 5 5 3 2" xfId="6087"/>
    <cellStyle name="Normal 5 5 3 2 2" xfId="6088"/>
    <cellStyle name="Normal 5 5 3 2 2 2" xfId="12227"/>
    <cellStyle name="Normal 5 5 3 2 2 3" xfId="18450"/>
    <cellStyle name="Normal 5 5 3 2 3" xfId="12226"/>
    <cellStyle name="Normal 5 5 3 2 4" xfId="18449"/>
    <cellStyle name="Normal 5 5 3 3" xfId="6089"/>
    <cellStyle name="Normal 5 5 3 3 2" xfId="6090"/>
    <cellStyle name="Normal 5 5 3 3 2 2" xfId="12229"/>
    <cellStyle name="Normal 5 5 3 3 2 3" xfId="18452"/>
    <cellStyle name="Normal 5 5 3 3 3" xfId="12228"/>
    <cellStyle name="Normal 5 5 3 3 4" xfId="18451"/>
    <cellStyle name="Normal 5 5 3 4" xfId="6091"/>
    <cellStyle name="Normal 5 5 3 4 2" xfId="12230"/>
    <cellStyle name="Normal 5 5 3 4 3" xfId="18453"/>
    <cellStyle name="Normal 5 5 3 5" xfId="12225"/>
    <cellStyle name="Normal 5 5 3 6" xfId="18448"/>
    <cellStyle name="Normal 5 5 4" xfId="6092"/>
    <cellStyle name="Normal 5 5 4 2" xfId="6093"/>
    <cellStyle name="Normal 5 5 4 2 2" xfId="12232"/>
    <cellStyle name="Normal 5 5 4 2 3" xfId="18455"/>
    <cellStyle name="Normal 5 5 4 3" xfId="12231"/>
    <cellStyle name="Normal 5 5 4 4" xfId="18454"/>
    <cellStyle name="Normal 5 5 5" xfId="6094"/>
    <cellStyle name="Normal 5 5 5 2" xfId="6095"/>
    <cellStyle name="Normal 5 5 5 2 2" xfId="12234"/>
    <cellStyle name="Normal 5 5 5 2 3" xfId="18457"/>
    <cellStyle name="Normal 5 5 5 3" xfId="12233"/>
    <cellStyle name="Normal 5 5 5 4" xfId="18456"/>
    <cellStyle name="Normal 5 5 6" xfId="6096"/>
    <cellStyle name="Normal 5 5 6 2" xfId="12235"/>
    <cellStyle name="Normal 5 5 6 3" xfId="18458"/>
    <cellStyle name="Normal 5 5 7" xfId="12212"/>
    <cellStyle name="Normal 5 5 8" xfId="18435"/>
    <cellStyle name="Normal 5 6" xfId="6097"/>
    <cellStyle name="Normal 5 6 2" xfId="6098"/>
    <cellStyle name="Normal 5 6 2 2" xfId="6099"/>
    <cellStyle name="Normal 5 6 2 2 2" xfId="6100"/>
    <cellStyle name="Normal 5 6 2 2 2 2" xfId="12239"/>
    <cellStyle name="Normal 5 6 2 2 2 3" xfId="18462"/>
    <cellStyle name="Normal 5 6 2 2 3" xfId="12238"/>
    <cellStyle name="Normal 5 6 2 2 4" xfId="18461"/>
    <cellStyle name="Normal 5 6 2 3" xfId="6101"/>
    <cellStyle name="Normal 5 6 2 3 2" xfId="6102"/>
    <cellStyle name="Normal 5 6 2 3 2 2" xfId="12241"/>
    <cellStyle name="Normal 5 6 2 3 2 3" xfId="18464"/>
    <cellStyle name="Normal 5 6 2 3 3" xfId="12240"/>
    <cellStyle name="Normal 5 6 2 3 4" xfId="18463"/>
    <cellStyle name="Normal 5 6 2 4" xfId="6103"/>
    <cellStyle name="Normal 5 6 2 4 2" xfId="12242"/>
    <cellStyle name="Normal 5 6 2 4 3" xfId="18465"/>
    <cellStyle name="Normal 5 6 2 5" xfId="12237"/>
    <cellStyle name="Normal 5 6 2 6" xfId="18460"/>
    <cellStyle name="Normal 5 6 3" xfId="6104"/>
    <cellStyle name="Normal 5 6 3 2" xfId="6105"/>
    <cellStyle name="Normal 5 6 3 2 2" xfId="12244"/>
    <cellStyle name="Normal 5 6 3 2 3" xfId="18467"/>
    <cellStyle name="Normal 5 6 3 3" xfId="12243"/>
    <cellStyle name="Normal 5 6 3 4" xfId="18466"/>
    <cellStyle name="Normal 5 6 4" xfId="6106"/>
    <cellStyle name="Normal 5 6 4 2" xfId="6107"/>
    <cellStyle name="Normal 5 6 4 2 2" xfId="12246"/>
    <cellStyle name="Normal 5 6 4 2 3" xfId="18469"/>
    <cellStyle name="Normal 5 6 4 3" xfId="12245"/>
    <cellStyle name="Normal 5 6 4 4" xfId="18468"/>
    <cellStyle name="Normal 5 6 5" xfId="6108"/>
    <cellStyle name="Normal 5 6 5 2" xfId="12247"/>
    <cellStyle name="Normal 5 6 5 3" xfId="18470"/>
    <cellStyle name="Normal 5 6 6" xfId="12236"/>
    <cellStyle name="Normal 5 6 7" xfId="18459"/>
    <cellStyle name="Normal 5 7" xfId="6109"/>
    <cellStyle name="Normal 5 7 2" xfId="6110"/>
    <cellStyle name="Normal 5 7 2 2" xfId="6111"/>
    <cellStyle name="Normal 5 7 2 2 2" xfId="12250"/>
    <cellStyle name="Normal 5 7 2 2 3" xfId="18473"/>
    <cellStyle name="Normal 5 7 2 3" xfId="12249"/>
    <cellStyle name="Normal 5 7 2 4" xfId="18472"/>
    <cellStyle name="Normal 5 7 3" xfId="6112"/>
    <cellStyle name="Normal 5 7 3 2" xfId="6113"/>
    <cellStyle name="Normal 5 7 3 2 2" xfId="12252"/>
    <cellStyle name="Normal 5 7 3 2 3" xfId="18475"/>
    <cellStyle name="Normal 5 7 3 3" xfId="12251"/>
    <cellStyle name="Normal 5 7 3 4" xfId="18474"/>
    <cellStyle name="Normal 5 7 4" xfId="6114"/>
    <cellStyle name="Normal 5 7 4 2" xfId="12253"/>
    <cellStyle name="Normal 5 7 4 3" xfId="18476"/>
    <cellStyle name="Normal 5 7 5" xfId="12248"/>
    <cellStyle name="Normal 5 7 6" xfId="18471"/>
    <cellStyle name="Normal 5 8" xfId="6115"/>
    <cellStyle name="Normal 5 8 2" xfId="6116"/>
    <cellStyle name="Normal 5 8 2 2" xfId="12255"/>
    <cellStyle name="Normal 5 8 2 3" xfId="18478"/>
    <cellStyle name="Normal 5 8 3" xfId="12254"/>
    <cellStyle name="Normal 5 8 4" xfId="18477"/>
    <cellStyle name="Normal 5 9" xfId="6117"/>
    <cellStyle name="Normal 5 9 2" xfId="6118"/>
    <cellStyle name="Normal 5 9 2 2" xfId="12257"/>
    <cellStyle name="Normal 5 9 2 3" xfId="18480"/>
    <cellStyle name="Normal 5 9 3" xfId="12256"/>
    <cellStyle name="Normal 5 9 4" xfId="18479"/>
    <cellStyle name="Normal 5_10051" xfId="6119"/>
    <cellStyle name="Normal 50" xfId="6120"/>
    <cellStyle name="Normal 50 10" xfId="18481"/>
    <cellStyle name="Normal 50 2" xfId="6121"/>
    <cellStyle name="Normal 50 2 2" xfId="6122"/>
    <cellStyle name="Normal 50 2 2 2" xfId="6123"/>
    <cellStyle name="Normal 50 2 2 2 2" xfId="6124"/>
    <cellStyle name="Normal 50 2 2 2 2 2" xfId="6125"/>
    <cellStyle name="Normal 50 2 2 2 2 2 2" xfId="12263"/>
    <cellStyle name="Normal 50 2 2 2 2 2 3" xfId="18486"/>
    <cellStyle name="Normal 50 2 2 2 2 3" xfId="12262"/>
    <cellStyle name="Normal 50 2 2 2 2 4" xfId="18485"/>
    <cellStyle name="Normal 50 2 2 2 3" xfId="6126"/>
    <cellStyle name="Normal 50 2 2 2 3 2" xfId="6127"/>
    <cellStyle name="Normal 50 2 2 2 3 2 2" xfId="12265"/>
    <cellStyle name="Normal 50 2 2 2 3 2 3" xfId="18488"/>
    <cellStyle name="Normal 50 2 2 2 3 3" xfId="12264"/>
    <cellStyle name="Normal 50 2 2 2 3 4" xfId="18487"/>
    <cellStyle name="Normal 50 2 2 2 4" xfId="6128"/>
    <cellStyle name="Normal 50 2 2 2 4 2" xfId="12266"/>
    <cellStyle name="Normal 50 2 2 2 4 3" xfId="18489"/>
    <cellStyle name="Normal 50 2 2 2 5" xfId="12261"/>
    <cellStyle name="Normal 50 2 2 2 6" xfId="18484"/>
    <cellStyle name="Normal 50 2 2 3" xfId="6129"/>
    <cellStyle name="Normal 50 2 2 3 2" xfId="6130"/>
    <cellStyle name="Normal 50 2 2 3 2 2" xfId="12268"/>
    <cellStyle name="Normal 50 2 2 3 2 3" xfId="18491"/>
    <cellStyle name="Normal 50 2 2 3 3" xfId="12267"/>
    <cellStyle name="Normal 50 2 2 3 4" xfId="18490"/>
    <cellStyle name="Normal 50 2 2 4" xfId="6131"/>
    <cellStyle name="Normal 50 2 2 4 2" xfId="6132"/>
    <cellStyle name="Normal 50 2 2 4 2 2" xfId="12270"/>
    <cellStyle name="Normal 50 2 2 4 2 3" xfId="18493"/>
    <cellStyle name="Normal 50 2 2 4 3" xfId="12269"/>
    <cellStyle name="Normal 50 2 2 4 4" xfId="18492"/>
    <cellStyle name="Normal 50 2 2 5" xfId="6133"/>
    <cellStyle name="Normal 50 2 2 5 2" xfId="12271"/>
    <cellStyle name="Normal 50 2 2 5 3" xfId="18494"/>
    <cellStyle name="Normal 50 2 2 6" xfId="12260"/>
    <cellStyle name="Normal 50 2 2 7" xfId="18483"/>
    <cellStyle name="Normal 50 2 3" xfId="6134"/>
    <cellStyle name="Normal 50 2 3 2" xfId="6135"/>
    <cellStyle name="Normal 50 2 3 2 2" xfId="6136"/>
    <cellStyle name="Normal 50 2 3 2 2 2" xfId="12274"/>
    <cellStyle name="Normal 50 2 3 2 2 3" xfId="18497"/>
    <cellStyle name="Normal 50 2 3 2 3" xfId="12273"/>
    <cellStyle name="Normal 50 2 3 2 4" xfId="18496"/>
    <cellStyle name="Normal 50 2 3 3" xfId="6137"/>
    <cellStyle name="Normal 50 2 3 3 2" xfId="6138"/>
    <cellStyle name="Normal 50 2 3 3 2 2" xfId="12276"/>
    <cellStyle name="Normal 50 2 3 3 2 3" xfId="18499"/>
    <cellStyle name="Normal 50 2 3 3 3" xfId="12275"/>
    <cellStyle name="Normal 50 2 3 3 4" xfId="18498"/>
    <cellStyle name="Normal 50 2 3 4" xfId="6139"/>
    <cellStyle name="Normal 50 2 3 4 2" xfId="12277"/>
    <cellStyle name="Normal 50 2 3 4 3" xfId="18500"/>
    <cellStyle name="Normal 50 2 3 5" xfId="12272"/>
    <cellStyle name="Normal 50 2 3 6" xfId="18495"/>
    <cellStyle name="Normal 50 2 4" xfId="6140"/>
    <cellStyle name="Normal 50 2 4 2" xfId="6141"/>
    <cellStyle name="Normal 50 2 4 2 2" xfId="12279"/>
    <cellStyle name="Normal 50 2 4 2 3" xfId="18502"/>
    <cellStyle name="Normal 50 2 4 3" xfId="12278"/>
    <cellStyle name="Normal 50 2 4 4" xfId="18501"/>
    <cellStyle name="Normal 50 2 5" xfId="6142"/>
    <cellStyle name="Normal 50 2 5 2" xfId="6143"/>
    <cellStyle name="Normal 50 2 5 2 2" xfId="12281"/>
    <cellStyle name="Normal 50 2 5 2 3" xfId="18504"/>
    <cellStyle name="Normal 50 2 5 3" xfId="12280"/>
    <cellStyle name="Normal 50 2 5 4" xfId="18503"/>
    <cellStyle name="Normal 50 2 6" xfId="6144"/>
    <cellStyle name="Normal 50 2 6 2" xfId="12282"/>
    <cellStyle name="Normal 50 2 6 3" xfId="18505"/>
    <cellStyle name="Normal 50 2 7" xfId="12259"/>
    <cellStyle name="Normal 50 2 8" xfId="18482"/>
    <cellStyle name="Normal 50 3" xfId="6145"/>
    <cellStyle name="Normal 50 3 2" xfId="6146"/>
    <cellStyle name="Normal 50 3 2 2" xfId="6147"/>
    <cellStyle name="Normal 50 3 2 2 2" xfId="6148"/>
    <cellStyle name="Normal 50 3 2 2 2 2" xfId="12286"/>
    <cellStyle name="Normal 50 3 2 2 2 3" xfId="18509"/>
    <cellStyle name="Normal 50 3 2 2 3" xfId="12285"/>
    <cellStyle name="Normal 50 3 2 2 4" xfId="18508"/>
    <cellStyle name="Normal 50 3 2 3" xfId="6149"/>
    <cellStyle name="Normal 50 3 2 3 2" xfId="6150"/>
    <cellStyle name="Normal 50 3 2 3 2 2" xfId="12288"/>
    <cellStyle name="Normal 50 3 2 3 2 3" xfId="18511"/>
    <cellStyle name="Normal 50 3 2 3 3" xfId="12287"/>
    <cellStyle name="Normal 50 3 2 3 4" xfId="18510"/>
    <cellStyle name="Normal 50 3 2 4" xfId="6151"/>
    <cellStyle name="Normal 50 3 2 4 2" xfId="12289"/>
    <cellStyle name="Normal 50 3 2 4 3" xfId="18512"/>
    <cellStyle name="Normal 50 3 2 5" xfId="12284"/>
    <cellStyle name="Normal 50 3 2 6" xfId="18507"/>
    <cellStyle name="Normal 50 3 3" xfId="6152"/>
    <cellStyle name="Normal 50 3 3 2" xfId="6153"/>
    <cellStyle name="Normal 50 3 3 2 2" xfId="12291"/>
    <cellStyle name="Normal 50 3 3 2 3" xfId="18514"/>
    <cellStyle name="Normal 50 3 3 3" xfId="12290"/>
    <cellStyle name="Normal 50 3 3 4" xfId="18513"/>
    <cellStyle name="Normal 50 3 4" xfId="6154"/>
    <cellStyle name="Normal 50 3 4 2" xfId="6155"/>
    <cellStyle name="Normal 50 3 4 2 2" xfId="12293"/>
    <cellStyle name="Normal 50 3 4 2 3" xfId="18516"/>
    <cellStyle name="Normal 50 3 4 3" xfId="12292"/>
    <cellStyle name="Normal 50 3 4 4" xfId="18515"/>
    <cellStyle name="Normal 50 3 5" xfId="6156"/>
    <cellStyle name="Normal 50 3 5 2" xfId="12294"/>
    <cellStyle name="Normal 50 3 5 3" xfId="18517"/>
    <cellStyle name="Normal 50 3 6" xfId="12283"/>
    <cellStyle name="Normal 50 3 7" xfId="18506"/>
    <cellStyle name="Normal 50 4" xfId="6157"/>
    <cellStyle name="Normal 50 4 2" xfId="6158"/>
    <cellStyle name="Normal 50 4 2 2" xfId="6159"/>
    <cellStyle name="Normal 50 4 2 2 2" xfId="12297"/>
    <cellStyle name="Normal 50 4 2 2 3" xfId="18520"/>
    <cellStyle name="Normal 50 4 2 3" xfId="12296"/>
    <cellStyle name="Normal 50 4 2 4" xfId="18519"/>
    <cellStyle name="Normal 50 4 3" xfId="6160"/>
    <cellStyle name="Normal 50 4 3 2" xfId="6161"/>
    <cellStyle name="Normal 50 4 3 2 2" xfId="12299"/>
    <cellStyle name="Normal 50 4 3 2 3" xfId="18522"/>
    <cellStyle name="Normal 50 4 3 3" xfId="12298"/>
    <cellStyle name="Normal 50 4 3 4" xfId="18521"/>
    <cellStyle name="Normal 50 4 4" xfId="6162"/>
    <cellStyle name="Normal 50 4 4 2" xfId="12300"/>
    <cellStyle name="Normal 50 4 4 3" xfId="18523"/>
    <cellStyle name="Normal 50 4 5" xfId="12295"/>
    <cellStyle name="Normal 50 4 6" xfId="18518"/>
    <cellStyle name="Normal 50 5" xfId="6163"/>
    <cellStyle name="Normal 50 5 2" xfId="6164"/>
    <cellStyle name="Normal 50 5 2 2" xfId="12302"/>
    <cellStyle name="Normal 50 5 2 3" xfId="18525"/>
    <cellStyle name="Normal 50 5 3" xfId="12301"/>
    <cellStyle name="Normal 50 5 4" xfId="18524"/>
    <cellStyle name="Normal 50 6" xfId="6165"/>
    <cellStyle name="Normal 50 6 2" xfId="6166"/>
    <cellStyle name="Normal 50 6 2 2" xfId="12304"/>
    <cellStyle name="Normal 50 6 2 3" xfId="18527"/>
    <cellStyle name="Normal 50 6 3" xfId="12303"/>
    <cellStyle name="Normal 50 6 4" xfId="18526"/>
    <cellStyle name="Normal 50 7" xfId="6167"/>
    <cellStyle name="Normal 50 7 2" xfId="12305"/>
    <cellStyle name="Normal 50 7 3" xfId="18528"/>
    <cellStyle name="Normal 50 8" xfId="6168"/>
    <cellStyle name="Normal 50 8 2" xfId="18529"/>
    <cellStyle name="Normal 50 9" xfId="12258"/>
    <cellStyle name="Normal 51" xfId="6169"/>
    <cellStyle name="Normal 51 10" xfId="18530"/>
    <cellStyle name="Normal 51 2" xfId="6170"/>
    <cellStyle name="Normal 51 2 2" xfId="6171"/>
    <cellStyle name="Normal 51 2 2 2" xfId="6172"/>
    <cellStyle name="Normal 51 2 2 2 2" xfId="6173"/>
    <cellStyle name="Normal 51 2 2 2 2 2" xfId="6174"/>
    <cellStyle name="Normal 51 2 2 2 2 2 2" xfId="12311"/>
    <cellStyle name="Normal 51 2 2 2 2 2 3" xfId="18535"/>
    <cellStyle name="Normal 51 2 2 2 2 3" xfId="12310"/>
    <cellStyle name="Normal 51 2 2 2 2 4" xfId="18534"/>
    <cellStyle name="Normal 51 2 2 2 3" xfId="6175"/>
    <cellStyle name="Normal 51 2 2 2 3 2" xfId="6176"/>
    <cellStyle name="Normal 51 2 2 2 3 2 2" xfId="12313"/>
    <cellStyle name="Normal 51 2 2 2 3 2 3" xfId="18537"/>
    <cellStyle name="Normal 51 2 2 2 3 3" xfId="12312"/>
    <cellStyle name="Normal 51 2 2 2 3 4" xfId="18536"/>
    <cellStyle name="Normal 51 2 2 2 4" xfId="6177"/>
    <cellStyle name="Normal 51 2 2 2 4 2" xfId="12314"/>
    <cellStyle name="Normal 51 2 2 2 4 3" xfId="18538"/>
    <cellStyle name="Normal 51 2 2 2 5" xfId="12309"/>
    <cellStyle name="Normal 51 2 2 2 6" xfId="18533"/>
    <cellStyle name="Normal 51 2 2 3" xfId="6178"/>
    <cellStyle name="Normal 51 2 2 3 2" xfId="6179"/>
    <cellStyle name="Normal 51 2 2 3 2 2" xfId="12316"/>
    <cellStyle name="Normal 51 2 2 3 2 3" xfId="18540"/>
    <cellStyle name="Normal 51 2 2 3 3" xfId="12315"/>
    <cellStyle name="Normal 51 2 2 3 4" xfId="18539"/>
    <cellStyle name="Normal 51 2 2 4" xfId="6180"/>
    <cellStyle name="Normal 51 2 2 4 2" xfId="6181"/>
    <cellStyle name="Normal 51 2 2 4 2 2" xfId="12318"/>
    <cellStyle name="Normal 51 2 2 4 2 3" xfId="18542"/>
    <cellStyle name="Normal 51 2 2 4 3" xfId="12317"/>
    <cellStyle name="Normal 51 2 2 4 4" xfId="18541"/>
    <cellStyle name="Normal 51 2 2 5" xfId="6182"/>
    <cellStyle name="Normal 51 2 2 5 2" xfId="12319"/>
    <cellStyle name="Normal 51 2 2 5 3" xfId="18543"/>
    <cellStyle name="Normal 51 2 2 6" xfId="12308"/>
    <cellStyle name="Normal 51 2 2 7" xfId="18532"/>
    <cellStyle name="Normal 51 2 3" xfId="6183"/>
    <cellStyle name="Normal 51 2 3 2" xfId="6184"/>
    <cellStyle name="Normal 51 2 3 2 2" xfId="6185"/>
    <cellStyle name="Normal 51 2 3 2 2 2" xfId="12322"/>
    <cellStyle name="Normal 51 2 3 2 2 3" xfId="18546"/>
    <cellStyle name="Normal 51 2 3 2 3" xfId="12321"/>
    <cellStyle name="Normal 51 2 3 2 4" xfId="18545"/>
    <cellStyle name="Normal 51 2 3 3" xfId="6186"/>
    <cellStyle name="Normal 51 2 3 3 2" xfId="6187"/>
    <cellStyle name="Normal 51 2 3 3 2 2" xfId="12324"/>
    <cellStyle name="Normal 51 2 3 3 2 3" xfId="18548"/>
    <cellStyle name="Normal 51 2 3 3 3" xfId="12323"/>
    <cellStyle name="Normal 51 2 3 3 4" xfId="18547"/>
    <cellStyle name="Normal 51 2 3 4" xfId="6188"/>
    <cellStyle name="Normal 51 2 3 4 2" xfId="12325"/>
    <cellStyle name="Normal 51 2 3 4 3" xfId="18549"/>
    <cellStyle name="Normal 51 2 3 5" xfId="12320"/>
    <cellStyle name="Normal 51 2 3 6" xfId="18544"/>
    <cellStyle name="Normal 51 2 4" xfId="6189"/>
    <cellStyle name="Normal 51 2 4 2" xfId="6190"/>
    <cellStyle name="Normal 51 2 4 2 2" xfId="12327"/>
    <cellStyle name="Normal 51 2 4 2 3" xfId="18551"/>
    <cellStyle name="Normal 51 2 4 3" xfId="12326"/>
    <cellStyle name="Normal 51 2 4 4" xfId="18550"/>
    <cellStyle name="Normal 51 2 5" xfId="6191"/>
    <cellStyle name="Normal 51 2 5 2" xfId="6192"/>
    <cellStyle name="Normal 51 2 5 2 2" xfId="12329"/>
    <cellStyle name="Normal 51 2 5 2 3" xfId="18553"/>
    <cellStyle name="Normal 51 2 5 3" xfId="12328"/>
    <cellStyle name="Normal 51 2 5 4" xfId="18552"/>
    <cellStyle name="Normal 51 2 6" xfId="6193"/>
    <cellStyle name="Normal 51 2 6 2" xfId="12330"/>
    <cellStyle name="Normal 51 2 6 3" xfId="18554"/>
    <cellStyle name="Normal 51 2 7" xfId="12307"/>
    <cellStyle name="Normal 51 2 8" xfId="18531"/>
    <cellStyle name="Normal 51 3" xfId="6194"/>
    <cellStyle name="Normal 51 3 2" xfId="6195"/>
    <cellStyle name="Normal 51 3 2 2" xfId="6196"/>
    <cellStyle name="Normal 51 3 2 2 2" xfId="6197"/>
    <cellStyle name="Normal 51 3 2 2 2 2" xfId="12334"/>
    <cellStyle name="Normal 51 3 2 2 2 3" xfId="18558"/>
    <cellStyle name="Normal 51 3 2 2 3" xfId="12333"/>
    <cellStyle name="Normal 51 3 2 2 4" xfId="18557"/>
    <cellStyle name="Normal 51 3 2 3" xfId="6198"/>
    <cellStyle name="Normal 51 3 2 3 2" xfId="6199"/>
    <cellStyle name="Normal 51 3 2 3 2 2" xfId="12336"/>
    <cellStyle name="Normal 51 3 2 3 2 3" xfId="18560"/>
    <cellStyle name="Normal 51 3 2 3 3" xfId="12335"/>
    <cellStyle name="Normal 51 3 2 3 4" xfId="18559"/>
    <cellStyle name="Normal 51 3 2 4" xfId="6200"/>
    <cellStyle name="Normal 51 3 2 4 2" xfId="12337"/>
    <cellStyle name="Normal 51 3 2 4 3" xfId="18561"/>
    <cellStyle name="Normal 51 3 2 5" xfId="12332"/>
    <cellStyle name="Normal 51 3 2 6" xfId="18556"/>
    <cellStyle name="Normal 51 3 3" xfId="6201"/>
    <cellStyle name="Normal 51 3 3 2" xfId="6202"/>
    <cellStyle name="Normal 51 3 3 2 2" xfId="12339"/>
    <cellStyle name="Normal 51 3 3 2 3" xfId="18563"/>
    <cellStyle name="Normal 51 3 3 3" xfId="12338"/>
    <cellStyle name="Normal 51 3 3 4" xfId="18562"/>
    <cellStyle name="Normal 51 3 4" xfId="6203"/>
    <cellStyle name="Normal 51 3 4 2" xfId="6204"/>
    <cellStyle name="Normal 51 3 4 2 2" xfId="12341"/>
    <cellStyle name="Normal 51 3 4 2 3" xfId="18565"/>
    <cellStyle name="Normal 51 3 4 3" xfId="12340"/>
    <cellStyle name="Normal 51 3 4 4" xfId="18564"/>
    <cellStyle name="Normal 51 3 5" xfId="6205"/>
    <cellStyle name="Normal 51 3 5 2" xfId="12342"/>
    <cellStyle name="Normal 51 3 5 3" xfId="18566"/>
    <cellStyle name="Normal 51 3 6" xfId="12331"/>
    <cellStyle name="Normal 51 3 7" xfId="18555"/>
    <cellStyle name="Normal 51 4" xfId="6206"/>
    <cellStyle name="Normal 51 4 2" xfId="6207"/>
    <cellStyle name="Normal 51 4 2 2" xfId="6208"/>
    <cellStyle name="Normal 51 4 2 2 2" xfId="12345"/>
    <cellStyle name="Normal 51 4 2 2 3" xfId="18569"/>
    <cellStyle name="Normal 51 4 2 3" xfId="12344"/>
    <cellStyle name="Normal 51 4 2 4" xfId="18568"/>
    <cellStyle name="Normal 51 4 3" xfId="6209"/>
    <cellStyle name="Normal 51 4 3 2" xfId="6210"/>
    <cellStyle name="Normal 51 4 3 2 2" xfId="12347"/>
    <cellStyle name="Normal 51 4 3 2 3" xfId="18571"/>
    <cellStyle name="Normal 51 4 3 3" xfId="12346"/>
    <cellStyle name="Normal 51 4 3 4" xfId="18570"/>
    <cellStyle name="Normal 51 4 4" xfId="6211"/>
    <cellStyle name="Normal 51 4 4 2" xfId="12348"/>
    <cellStyle name="Normal 51 4 4 3" xfId="18572"/>
    <cellStyle name="Normal 51 4 5" xfId="12343"/>
    <cellStyle name="Normal 51 4 6" xfId="18567"/>
    <cellStyle name="Normal 51 5" xfId="6212"/>
    <cellStyle name="Normal 51 5 2" xfId="6213"/>
    <cellStyle name="Normal 51 5 2 2" xfId="12350"/>
    <cellStyle name="Normal 51 5 2 3" xfId="18574"/>
    <cellStyle name="Normal 51 5 3" xfId="12349"/>
    <cellStyle name="Normal 51 5 4" xfId="18573"/>
    <cellStyle name="Normal 51 6" xfId="6214"/>
    <cellStyle name="Normal 51 6 2" xfId="6215"/>
    <cellStyle name="Normal 51 6 2 2" xfId="12352"/>
    <cellStyle name="Normal 51 6 2 3" xfId="18576"/>
    <cellStyle name="Normal 51 6 3" xfId="12351"/>
    <cellStyle name="Normal 51 6 4" xfId="18575"/>
    <cellStyle name="Normal 51 7" xfId="6216"/>
    <cellStyle name="Normal 51 7 2" xfId="12353"/>
    <cellStyle name="Normal 51 7 3" xfId="18577"/>
    <cellStyle name="Normal 51 8" xfId="6217"/>
    <cellStyle name="Normal 51 8 2" xfId="18578"/>
    <cellStyle name="Normal 51 9" xfId="12306"/>
    <cellStyle name="Normal 52" xfId="6218"/>
    <cellStyle name="Normal 52 10" xfId="18579"/>
    <cellStyle name="Normal 52 2" xfId="6219"/>
    <cellStyle name="Normal 52 2 2" xfId="6220"/>
    <cellStyle name="Normal 52 2 2 2" xfId="6221"/>
    <cellStyle name="Normal 52 2 2 2 2" xfId="6222"/>
    <cellStyle name="Normal 52 2 2 2 2 2" xfId="6223"/>
    <cellStyle name="Normal 52 2 2 2 2 2 2" xfId="12359"/>
    <cellStyle name="Normal 52 2 2 2 2 2 3" xfId="18584"/>
    <cellStyle name="Normal 52 2 2 2 2 3" xfId="12358"/>
    <cellStyle name="Normal 52 2 2 2 2 4" xfId="18583"/>
    <cellStyle name="Normal 52 2 2 2 3" xfId="6224"/>
    <cellStyle name="Normal 52 2 2 2 3 2" xfId="6225"/>
    <cellStyle name="Normal 52 2 2 2 3 2 2" xfId="12361"/>
    <cellStyle name="Normal 52 2 2 2 3 2 3" xfId="18586"/>
    <cellStyle name="Normal 52 2 2 2 3 3" xfId="12360"/>
    <cellStyle name="Normal 52 2 2 2 3 4" xfId="18585"/>
    <cellStyle name="Normal 52 2 2 2 4" xfId="6226"/>
    <cellStyle name="Normal 52 2 2 2 4 2" xfId="12362"/>
    <cellStyle name="Normal 52 2 2 2 4 3" xfId="18587"/>
    <cellStyle name="Normal 52 2 2 2 5" xfId="12357"/>
    <cellStyle name="Normal 52 2 2 2 6" xfId="18582"/>
    <cellStyle name="Normal 52 2 2 3" xfId="6227"/>
    <cellStyle name="Normal 52 2 2 3 2" xfId="6228"/>
    <cellStyle name="Normal 52 2 2 3 2 2" xfId="12364"/>
    <cellStyle name="Normal 52 2 2 3 2 3" xfId="18589"/>
    <cellStyle name="Normal 52 2 2 3 3" xfId="12363"/>
    <cellStyle name="Normal 52 2 2 3 4" xfId="18588"/>
    <cellStyle name="Normal 52 2 2 4" xfId="6229"/>
    <cellStyle name="Normal 52 2 2 4 2" xfId="6230"/>
    <cellStyle name="Normal 52 2 2 4 2 2" xfId="12366"/>
    <cellStyle name="Normal 52 2 2 4 2 3" xfId="18591"/>
    <cellStyle name="Normal 52 2 2 4 3" xfId="12365"/>
    <cellStyle name="Normal 52 2 2 4 4" xfId="18590"/>
    <cellStyle name="Normal 52 2 2 5" xfId="6231"/>
    <cellStyle name="Normal 52 2 2 5 2" xfId="12367"/>
    <cellStyle name="Normal 52 2 2 5 3" xfId="18592"/>
    <cellStyle name="Normal 52 2 2 6" xfId="12356"/>
    <cellStyle name="Normal 52 2 2 7" xfId="18581"/>
    <cellStyle name="Normal 52 2 3" xfId="6232"/>
    <cellStyle name="Normal 52 2 3 2" xfId="6233"/>
    <cellStyle name="Normal 52 2 3 2 2" xfId="6234"/>
    <cellStyle name="Normal 52 2 3 2 2 2" xfId="12370"/>
    <cellStyle name="Normal 52 2 3 2 2 3" xfId="18595"/>
    <cellStyle name="Normal 52 2 3 2 3" xfId="12369"/>
    <cellStyle name="Normal 52 2 3 2 4" xfId="18594"/>
    <cellStyle name="Normal 52 2 3 3" xfId="6235"/>
    <cellStyle name="Normal 52 2 3 3 2" xfId="6236"/>
    <cellStyle name="Normal 52 2 3 3 2 2" xfId="12372"/>
    <cellStyle name="Normal 52 2 3 3 2 3" xfId="18597"/>
    <cellStyle name="Normal 52 2 3 3 3" xfId="12371"/>
    <cellStyle name="Normal 52 2 3 3 4" xfId="18596"/>
    <cellStyle name="Normal 52 2 3 4" xfId="6237"/>
    <cellStyle name="Normal 52 2 3 4 2" xfId="12373"/>
    <cellStyle name="Normal 52 2 3 4 3" xfId="18598"/>
    <cellStyle name="Normal 52 2 3 5" xfId="12368"/>
    <cellStyle name="Normal 52 2 3 6" xfId="18593"/>
    <cellStyle name="Normal 52 2 4" xfId="6238"/>
    <cellStyle name="Normal 52 2 4 2" xfId="6239"/>
    <cellStyle name="Normal 52 2 4 2 2" xfId="12375"/>
    <cellStyle name="Normal 52 2 4 2 3" xfId="18600"/>
    <cellStyle name="Normal 52 2 4 3" xfId="12374"/>
    <cellStyle name="Normal 52 2 4 4" xfId="18599"/>
    <cellStyle name="Normal 52 2 5" xfId="6240"/>
    <cellStyle name="Normal 52 2 5 2" xfId="6241"/>
    <cellStyle name="Normal 52 2 5 2 2" xfId="12377"/>
    <cellStyle name="Normal 52 2 5 2 3" xfId="18602"/>
    <cellStyle name="Normal 52 2 5 3" xfId="12376"/>
    <cellStyle name="Normal 52 2 5 4" xfId="18601"/>
    <cellStyle name="Normal 52 2 6" xfId="6242"/>
    <cellStyle name="Normal 52 2 6 2" xfId="12378"/>
    <cellStyle name="Normal 52 2 6 3" xfId="18603"/>
    <cellStyle name="Normal 52 2 7" xfId="12355"/>
    <cellStyle name="Normal 52 2 8" xfId="18580"/>
    <cellStyle name="Normal 52 3" xfId="6243"/>
    <cellStyle name="Normal 52 3 2" xfId="6244"/>
    <cellStyle name="Normal 52 3 2 2" xfId="6245"/>
    <cellStyle name="Normal 52 3 2 2 2" xfId="6246"/>
    <cellStyle name="Normal 52 3 2 2 2 2" xfId="12382"/>
    <cellStyle name="Normal 52 3 2 2 2 3" xfId="18607"/>
    <cellStyle name="Normal 52 3 2 2 3" xfId="12381"/>
    <cellStyle name="Normal 52 3 2 2 4" xfId="18606"/>
    <cellStyle name="Normal 52 3 2 3" xfId="6247"/>
    <cellStyle name="Normal 52 3 2 3 2" xfId="6248"/>
    <cellStyle name="Normal 52 3 2 3 2 2" xfId="12384"/>
    <cellStyle name="Normal 52 3 2 3 2 3" xfId="18609"/>
    <cellStyle name="Normal 52 3 2 3 3" xfId="12383"/>
    <cellStyle name="Normal 52 3 2 3 4" xfId="18608"/>
    <cellStyle name="Normal 52 3 2 4" xfId="6249"/>
    <cellStyle name="Normal 52 3 2 4 2" xfId="12385"/>
    <cellStyle name="Normal 52 3 2 4 3" xfId="18610"/>
    <cellStyle name="Normal 52 3 2 5" xfId="12380"/>
    <cellStyle name="Normal 52 3 2 6" xfId="18605"/>
    <cellStyle name="Normal 52 3 3" xfId="6250"/>
    <cellStyle name="Normal 52 3 3 2" xfId="6251"/>
    <cellStyle name="Normal 52 3 3 2 2" xfId="12387"/>
    <cellStyle name="Normal 52 3 3 2 3" xfId="18612"/>
    <cellStyle name="Normal 52 3 3 3" xfId="12386"/>
    <cellStyle name="Normal 52 3 3 4" xfId="18611"/>
    <cellStyle name="Normal 52 3 4" xfId="6252"/>
    <cellStyle name="Normal 52 3 4 2" xfId="6253"/>
    <cellStyle name="Normal 52 3 4 2 2" xfId="12389"/>
    <cellStyle name="Normal 52 3 4 2 3" xfId="18614"/>
    <cellStyle name="Normal 52 3 4 3" xfId="12388"/>
    <cellStyle name="Normal 52 3 4 4" xfId="18613"/>
    <cellStyle name="Normal 52 3 5" xfId="6254"/>
    <cellStyle name="Normal 52 3 5 2" xfId="12390"/>
    <cellStyle name="Normal 52 3 5 3" xfId="18615"/>
    <cellStyle name="Normal 52 3 6" xfId="12379"/>
    <cellStyle name="Normal 52 3 7" xfId="18604"/>
    <cellStyle name="Normal 52 4" xfId="6255"/>
    <cellStyle name="Normal 52 4 2" xfId="6256"/>
    <cellStyle name="Normal 52 4 2 2" xfId="6257"/>
    <cellStyle name="Normal 52 4 2 2 2" xfId="12393"/>
    <cellStyle name="Normal 52 4 2 2 3" xfId="18618"/>
    <cellStyle name="Normal 52 4 2 3" xfId="12392"/>
    <cellStyle name="Normal 52 4 2 4" xfId="18617"/>
    <cellStyle name="Normal 52 4 3" xfId="6258"/>
    <cellStyle name="Normal 52 4 3 2" xfId="6259"/>
    <cellStyle name="Normal 52 4 3 2 2" xfId="12395"/>
    <cellStyle name="Normal 52 4 3 2 3" xfId="18620"/>
    <cellStyle name="Normal 52 4 3 3" xfId="12394"/>
    <cellStyle name="Normal 52 4 3 4" xfId="18619"/>
    <cellStyle name="Normal 52 4 4" xfId="6260"/>
    <cellStyle name="Normal 52 4 4 2" xfId="12396"/>
    <cellStyle name="Normal 52 4 4 3" xfId="18621"/>
    <cellStyle name="Normal 52 4 5" xfId="12391"/>
    <cellStyle name="Normal 52 4 6" xfId="18616"/>
    <cellStyle name="Normal 52 5" xfId="6261"/>
    <cellStyle name="Normal 52 5 2" xfId="6262"/>
    <cellStyle name="Normal 52 5 2 2" xfId="12398"/>
    <cellStyle name="Normal 52 5 2 3" xfId="18623"/>
    <cellStyle name="Normal 52 5 3" xfId="12397"/>
    <cellStyle name="Normal 52 5 4" xfId="18622"/>
    <cellStyle name="Normal 52 6" xfId="6263"/>
    <cellStyle name="Normal 52 6 2" xfId="6264"/>
    <cellStyle name="Normal 52 6 2 2" xfId="12400"/>
    <cellStyle name="Normal 52 6 2 3" xfId="18625"/>
    <cellStyle name="Normal 52 6 3" xfId="12399"/>
    <cellStyle name="Normal 52 6 4" xfId="18624"/>
    <cellStyle name="Normal 52 7" xfId="6265"/>
    <cellStyle name="Normal 52 7 2" xfId="12401"/>
    <cellStyle name="Normal 52 7 3" xfId="18626"/>
    <cellStyle name="Normal 52 8" xfId="6266"/>
    <cellStyle name="Normal 52 8 2" xfId="18627"/>
    <cellStyle name="Normal 52 9" xfId="12354"/>
    <cellStyle name="Normal 53" xfId="6267"/>
    <cellStyle name="Normal 53 10" xfId="18628"/>
    <cellStyle name="Normal 53 2" xfId="6268"/>
    <cellStyle name="Normal 53 2 2" xfId="6269"/>
    <cellStyle name="Normal 53 2 2 2" xfId="6270"/>
    <cellStyle name="Normal 53 2 2 2 2" xfId="6271"/>
    <cellStyle name="Normal 53 2 2 2 2 2" xfId="6272"/>
    <cellStyle name="Normal 53 2 2 2 2 2 2" xfId="12407"/>
    <cellStyle name="Normal 53 2 2 2 2 2 3" xfId="18633"/>
    <cellStyle name="Normal 53 2 2 2 2 3" xfId="12406"/>
    <cellStyle name="Normal 53 2 2 2 2 4" xfId="18632"/>
    <cellStyle name="Normal 53 2 2 2 3" xfId="6273"/>
    <cellStyle name="Normal 53 2 2 2 3 2" xfId="6274"/>
    <cellStyle name="Normal 53 2 2 2 3 2 2" xfId="12409"/>
    <cellStyle name="Normal 53 2 2 2 3 2 3" xfId="18635"/>
    <cellStyle name="Normal 53 2 2 2 3 3" xfId="12408"/>
    <cellStyle name="Normal 53 2 2 2 3 4" xfId="18634"/>
    <cellStyle name="Normal 53 2 2 2 4" xfId="6275"/>
    <cellStyle name="Normal 53 2 2 2 4 2" xfId="12410"/>
    <cellStyle name="Normal 53 2 2 2 4 3" xfId="18636"/>
    <cellStyle name="Normal 53 2 2 2 5" xfId="12405"/>
    <cellStyle name="Normal 53 2 2 2 6" xfId="18631"/>
    <cellStyle name="Normal 53 2 2 3" xfId="6276"/>
    <cellStyle name="Normal 53 2 2 3 2" xfId="6277"/>
    <cellStyle name="Normal 53 2 2 3 2 2" xfId="12412"/>
    <cellStyle name="Normal 53 2 2 3 2 3" xfId="18638"/>
    <cellStyle name="Normal 53 2 2 3 3" xfId="12411"/>
    <cellStyle name="Normal 53 2 2 3 4" xfId="18637"/>
    <cellStyle name="Normal 53 2 2 4" xfId="6278"/>
    <cellStyle name="Normal 53 2 2 4 2" xfId="6279"/>
    <cellStyle name="Normal 53 2 2 4 2 2" xfId="12414"/>
    <cellStyle name="Normal 53 2 2 4 2 3" xfId="18640"/>
    <cellStyle name="Normal 53 2 2 4 3" xfId="12413"/>
    <cellStyle name="Normal 53 2 2 4 4" xfId="18639"/>
    <cellStyle name="Normal 53 2 2 5" xfId="6280"/>
    <cellStyle name="Normal 53 2 2 5 2" xfId="12415"/>
    <cellStyle name="Normal 53 2 2 5 3" xfId="18641"/>
    <cellStyle name="Normal 53 2 2 6" xfId="12404"/>
    <cellStyle name="Normal 53 2 2 7" xfId="18630"/>
    <cellStyle name="Normal 53 2 3" xfId="6281"/>
    <cellStyle name="Normal 53 2 3 2" xfId="6282"/>
    <cellStyle name="Normal 53 2 3 2 2" xfId="6283"/>
    <cellStyle name="Normal 53 2 3 2 2 2" xfId="12418"/>
    <cellStyle name="Normal 53 2 3 2 2 3" xfId="18644"/>
    <cellStyle name="Normal 53 2 3 2 3" xfId="12417"/>
    <cellStyle name="Normal 53 2 3 2 4" xfId="18643"/>
    <cellStyle name="Normal 53 2 3 3" xfId="6284"/>
    <cellStyle name="Normal 53 2 3 3 2" xfId="6285"/>
    <cellStyle name="Normal 53 2 3 3 2 2" xfId="12420"/>
    <cellStyle name="Normal 53 2 3 3 2 3" xfId="18646"/>
    <cellStyle name="Normal 53 2 3 3 3" xfId="12419"/>
    <cellStyle name="Normal 53 2 3 3 4" xfId="18645"/>
    <cellStyle name="Normal 53 2 3 4" xfId="6286"/>
    <cellStyle name="Normal 53 2 3 4 2" xfId="12421"/>
    <cellStyle name="Normal 53 2 3 4 3" xfId="18647"/>
    <cellStyle name="Normal 53 2 3 5" xfId="12416"/>
    <cellStyle name="Normal 53 2 3 6" xfId="18642"/>
    <cellStyle name="Normal 53 2 4" xfId="6287"/>
    <cellStyle name="Normal 53 2 4 2" xfId="6288"/>
    <cellStyle name="Normal 53 2 4 2 2" xfId="12423"/>
    <cellStyle name="Normal 53 2 4 2 3" xfId="18649"/>
    <cellStyle name="Normal 53 2 4 3" xfId="12422"/>
    <cellStyle name="Normal 53 2 4 4" xfId="18648"/>
    <cellStyle name="Normal 53 2 5" xfId="6289"/>
    <cellStyle name="Normal 53 2 5 2" xfId="6290"/>
    <cellStyle name="Normal 53 2 5 2 2" xfId="12425"/>
    <cellStyle name="Normal 53 2 5 2 3" xfId="18651"/>
    <cellStyle name="Normal 53 2 5 3" xfId="12424"/>
    <cellStyle name="Normal 53 2 5 4" xfId="18650"/>
    <cellStyle name="Normal 53 2 6" xfId="6291"/>
    <cellStyle name="Normal 53 2 6 2" xfId="12426"/>
    <cellStyle name="Normal 53 2 6 3" xfId="18652"/>
    <cellStyle name="Normal 53 2 7" xfId="12403"/>
    <cellStyle name="Normal 53 2 8" xfId="18629"/>
    <cellStyle name="Normal 53 3" xfId="6292"/>
    <cellStyle name="Normal 53 3 2" xfId="6293"/>
    <cellStyle name="Normal 53 3 2 2" xfId="6294"/>
    <cellStyle name="Normal 53 3 2 2 2" xfId="6295"/>
    <cellStyle name="Normal 53 3 2 2 2 2" xfId="12430"/>
    <cellStyle name="Normal 53 3 2 2 2 3" xfId="18656"/>
    <cellStyle name="Normal 53 3 2 2 3" xfId="12429"/>
    <cellStyle name="Normal 53 3 2 2 4" xfId="18655"/>
    <cellStyle name="Normal 53 3 2 3" xfId="6296"/>
    <cellStyle name="Normal 53 3 2 3 2" xfId="6297"/>
    <cellStyle name="Normal 53 3 2 3 2 2" xfId="12432"/>
    <cellStyle name="Normal 53 3 2 3 2 3" xfId="18658"/>
    <cellStyle name="Normal 53 3 2 3 3" xfId="12431"/>
    <cellStyle name="Normal 53 3 2 3 4" xfId="18657"/>
    <cellStyle name="Normal 53 3 2 4" xfId="6298"/>
    <cellStyle name="Normal 53 3 2 4 2" xfId="12433"/>
    <cellStyle name="Normal 53 3 2 4 3" xfId="18659"/>
    <cellStyle name="Normal 53 3 2 5" xfId="12428"/>
    <cellStyle name="Normal 53 3 2 6" xfId="18654"/>
    <cellStyle name="Normal 53 3 3" xfId="6299"/>
    <cellStyle name="Normal 53 3 3 2" xfId="6300"/>
    <cellStyle name="Normal 53 3 3 2 2" xfId="12435"/>
    <cellStyle name="Normal 53 3 3 2 3" xfId="18661"/>
    <cellStyle name="Normal 53 3 3 3" xfId="12434"/>
    <cellStyle name="Normal 53 3 3 4" xfId="18660"/>
    <cellStyle name="Normal 53 3 4" xfId="6301"/>
    <cellStyle name="Normal 53 3 4 2" xfId="6302"/>
    <cellStyle name="Normal 53 3 4 2 2" xfId="12437"/>
    <cellStyle name="Normal 53 3 4 2 3" xfId="18663"/>
    <cellStyle name="Normal 53 3 4 3" xfId="12436"/>
    <cellStyle name="Normal 53 3 4 4" xfId="18662"/>
    <cellStyle name="Normal 53 3 5" xfId="6303"/>
    <cellStyle name="Normal 53 3 5 2" xfId="12438"/>
    <cellStyle name="Normal 53 3 5 3" xfId="18664"/>
    <cellStyle name="Normal 53 3 6" xfId="12427"/>
    <cellStyle name="Normal 53 3 7" xfId="18653"/>
    <cellStyle name="Normal 53 4" xfId="6304"/>
    <cellStyle name="Normal 53 4 2" xfId="6305"/>
    <cellStyle name="Normal 53 4 2 2" xfId="6306"/>
    <cellStyle name="Normal 53 4 2 2 2" xfId="12441"/>
    <cellStyle name="Normal 53 4 2 2 3" xfId="18667"/>
    <cellStyle name="Normal 53 4 2 3" xfId="12440"/>
    <cellStyle name="Normal 53 4 2 4" xfId="18666"/>
    <cellStyle name="Normal 53 4 3" xfId="6307"/>
    <cellStyle name="Normal 53 4 3 2" xfId="6308"/>
    <cellStyle name="Normal 53 4 3 2 2" xfId="12443"/>
    <cellStyle name="Normal 53 4 3 2 3" xfId="18669"/>
    <cellStyle name="Normal 53 4 3 3" xfId="12442"/>
    <cellStyle name="Normal 53 4 3 4" xfId="18668"/>
    <cellStyle name="Normal 53 4 4" xfId="6309"/>
    <cellStyle name="Normal 53 4 4 2" xfId="12444"/>
    <cellStyle name="Normal 53 4 4 3" xfId="18670"/>
    <cellStyle name="Normal 53 4 5" xfId="12439"/>
    <cellStyle name="Normal 53 4 6" xfId="18665"/>
    <cellStyle name="Normal 53 5" xfId="6310"/>
    <cellStyle name="Normal 53 5 2" xfId="6311"/>
    <cellStyle name="Normal 53 5 2 2" xfId="12446"/>
    <cellStyle name="Normal 53 5 2 3" xfId="18672"/>
    <cellStyle name="Normal 53 5 3" xfId="12445"/>
    <cellStyle name="Normal 53 5 4" xfId="18671"/>
    <cellStyle name="Normal 53 6" xfId="6312"/>
    <cellStyle name="Normal 53 6 2" xfId="6313"/>
    <cellStyle name="Normal 53 6 2 2" xfId="12448"/>
    <cellStyle name="Normal 53 6 2 3" xfId="18674"/>
    <cellStyle name="Normal 53 6 3" xfId="12447"/>
    <cellStyle name="Normal 53 6 4" xfId="18673"/>
    <cellStyle name="Normal 53 7" xfId="6314"/>
    <cellStyle name="Normal 53 7 2" xfId="12449"/>
    <cellStyle name="Normal 53 7 3" xfId="18675"/>
    <cellStyle name="Normal 53 8" xfId="6315"/>
    <cellStyle name="Normal 53 8 2" xfId="18676"/>
    <cellStyle name="Normal 53 9" xfId="12402"/>
    <cellStyle name="Normal 54" xfId="6316"/>
    <cellStyle name="Normal 54 10" xfId="18677"/>
    <cellStyle name="Normal 54 2" xfId="6317"/>
    <cellStyle name="Normal 54 2 2" xfId="6318"/>
    <cellStyle name="Normal 54 2 2 2" xfId="6319"/>
    <cellStyle name="Normal 54 2 2 2 2" xfId="6320"/>
    <cellStyle name="Normal 54 2 2 2 2 2" xfId="6321"/>
    <cellStyle name="Normal 54 2 2 2 2 2 2" xfId="12455"/>
    <cellStyle name="Normal 54 2 2 2 2 2 3" xfId="18682"/>
    <cellStyle name="Normal 54 2 2 2 2 3" xfId="12454"/>
    <cellStyle name="Normal 54 2 2 2 2 4" xfId="18681"/>
    <cellStyle name="Normal 54 2 2 2 3" xfId="6322"/>
    <cellStyle name="Normal 54 2 2 2 3 2" xfId="6323"/>
    <cellStyle name="Normal 54 2 2 2 3 2 2" xfId="12457"/>
    <cellStyle name="Normal 54 2 2 2 3 2 3" xfId="18684"/>
    <cellStyle name="Normal 54 2 2 2 3 3" xfId="12456"/>
    <cellStyle name="Normal 54 2 2 2 3 4" xfId="18683"/>
    <cellStyle name="Normal 54 2 2 2 4" xfId="6324"/>
    <cellStyle name="Normal 54 2 2 2 4 2" xfId="12458"/>
    <cellStyle name="Normal 54 2 2 2 4 3" xfId="18685"/>
    <cellStyle name="Normal 54 2 2 2 5" xfId="12453"/>
    <cellStyle name="Normal 54 2 2 2 6" xfId="18680"/>
    <cellStyle name="Normal 54 2 2 3" xfId="6325"/>
    <cellStyle name="Normal 54 2 2 3 2" xfId="6326"/>
    <cellStyle name="Normal 54 2 2 3 2 2" xfId="12460"/>
    <cellStyle name="Normal 54 2 2 3 2 3" xfId="18687"/>
    <cellStyle name="Normal 54 2 2 3 3" xfId="12459"/>
    <cellStyle name="Normal 54 2 2 3 4" xfId="18686"/>
    <cellStyle name="Normal 54 2 2 4" xfId="6327"/>
    <cellStyle name="Normal 54 2 2 4 2" xfId="6328"/>
    <cellStyle name="Normal 54 2 2 4 2 2" xfId="12462"/>
    <cellStyle name="Normal 54 2 2 4 2 3" xfId="18689"/>
    <cellStyle name="Normal 54 2 2 4 3" xfId="12461"/>
    <cellStyle name="Normal 54 2 2 4 4" xfId="18688"/>
    <cellStyle name="Normal 54 2 2 5" xfId="6329"/>
    <cellStyle name="Normal 54 2 2 5 2" xfId="12463"/>
    <cellStyle name="Normal 54 2 2 5 3" xfId="18690"/>
    <cellStyle name="Normal 54 2 2 6" xfId="12452"/>
    <cellStyle name="Normal 54 2 2 7" xfId="18679"/>
    <cellStyle name="Normal 54 2 3" xfId="6330"/>
    <cellStyle name="Normal 54 2 3 2" xfId="6331"/>
    <cellStyle name="Normal 54 2 3 2 2" xfId="6332"/>
    <cellStyle name="Normal 54 2 3 2 2 2" xfId="12466"/>
    <cellStyle name="Normal 54 2 3 2 2 3" xfId="18693"/>
    <cellStyle name="Normal 54 2 3 2 3" xfId="12465"/>
    <cellStyle name="Normal 54 2 3 2 4" xfId="18692"/>
    <cellStyle name="Normal 54 2 3 3" xfId="6333"/>
    <cellStyle name="Normal 54 2 3 3 2" xfId="6334"/>
    <cellStyle name="Normal 54 2 3 3 2 2" xfId="12468"/>
    <cellStyle name="Normal 54 2 3 3 2 3" xfId="18695"/>
    <cellStyle name="Normal 54 2 3 3 3" xfId="12467"/>
    <cellStyle name="Normal 54 2 3 3 4" xfId="18694"/>
    <cellStyle name="Normal 54 2 3 4" xfId="6335"/>
    <cellStyle name="Normal 54 2 3 4 2" xfId="12469"/>
    <cellStyle name="Normal 54 2 3 4 3" xfId="18696"/>
    <cellStyle name="Normal 54 2 3 5" xfId="12464"/>
    <cellStyle name="Normal 54 2 3 6" xfId="18691"/>
    <cellStyle name="Normal 54 2 4" xfId="6336"/>
    <cellStyle name="Normal 54 2 4 2" xfId="6337"/>
    <cellStyle name="Normal 54 2 4 2 2" xfId="12471"/>
    <cellStyle name="Normal 54 2 4 2 3" xfId="18698"/>
    <cellStyle name="Normal 54 2 4 3" xfId="12470"/>
    <cellStyle name="Normal 54 2 4 4" xfId="18697"/>
    <cellStyle name="Normal 54 2 5" xfId="6338"/>
    <cellStyle name="Normal 54 2 5 2" xfId="6339"/>
    <cellStyle name="Normal 54 2 5 2 2" xfId="12473"/>
    <cellStyle name="Normal 54 2 5 2 3" xfId="18700"/>
    <cellStyle name="Normal 54 2 5 3" xfId="12472"/>
    <cellStyle name="Normal 54 2 5 4" xfId="18699"/>
    <cellStyle name="Normal 54 2 6" xfId="6340"/>
    <cellStyle name="Normal 54 2 6 2" xfId="12474"/>
    <cellStyle name="Normal 54 2 6 3" xfId="18701"/>
    <cellStyle name="Normal 54 2 7" xfId="12451"/>
    <cellStyle name="Normal 54 2 8" xfId="18678"/>
    <cellStyle name="Normal 54 3" xfId="6341"/>
    <cellStyle name="Normal 54 3 2" xfId="6342"/>
    <cellStyle name="Normal 54 3 2 2" xfId="6343"/>
    <cellStyle name="Normal 54 3 2 2 2" xfId="6344"/>
    <cellStyle name="Normal 54 3 2 2 2 2" xfId="12478"/>
    <cellStyle name="Normal 54 3 2 2 2 3" xfId="18705"/>
    <cellStyle name="Normal 54 3 2 2 3" xfId="12477"/>
    <cellStyle name="Normal 54 3 2 2 4" xfId="18704"/>
    <cellStyle name="Normal 54 3 2 3" xfId="6345"/>
    <cellStyle name="Normal 54 3 2 3 2" xfId="6346"/>
    <cellStyle name="Normal 54 3 2 3 2 2" xfId="12480"/>
    <cellStyle name="Normal 54 3 2 3 2 3" xfId="18707"/>
    <cellStyle name="Normal 54 3 2 3 3" xfId="12479"/>
    <cellStyle name="Normal 54 3 2 3 4" xfId="18706"/>
    <cellStyle name="Normal 54 3 2 4" xfId="6347"/>
    <cellStyle name="Normal 54 3 2 4 2" xfId="12481"/>
    <cellStyle name="Normal 54 3 2 4 3" xfId="18708"/>
    <cellStyle name="Normal 54 3 2 5" xfId="12476"/>
    <cellStyle name="Normal 54 3 2 6" xfId="18703"/>
    <cellStyle name="Normal 54 3 3" xfId="6348"/>
    <cellStyle name="Normal 54 3 3 2" xfId="6349"/>
    <cellStyle name="Normal 54 3 3 2 2" xfId="12483"/>
    <cellStyle name="Normal 54 3 3 2 3" xfId="18710"/>
    <cellStyle name="Normal 54 3 3 3" xfId="12482"/>
    <cellStyle name="Normal 54 3 3 4" xfId="18709"/>
    <cellStyle name="Normal 54 3 4" xfId="6350"/>
    <cellStyle name="Normal 54 3 4 2" xfId="6351"/>
    <cellStyle name="Normal 54 3 4 2 2" xfId="12485"/>
    <cellStyle name="Normal 54 3 4 2 3" xfId="18712"/>
    <cellStyle name="Normal 54 3 4 3" xfId="12484"/>
    <cellStyle name="Normal 54 3 4 4" xfId="18711"/>
    <cellStyle name="Normal 54 3 5" xfId="6352"/>
    <cellStyle name="Normal 54 3 5 2" xfId="12486"/>
    <cellStyle name="Normal 54 3 5 3" xfId="18713"/>
    <cellStyle name="Normal 54 3 6" xfId="12475"/>
    <cellStyle name="Normal 54 3 7" xfId="18702"/>
    <cellStyle name="Normal 54 4" xfId="6353"/>
    <cellStyle name="Normal 54 4 2" xfId="6354"/>
    <cellStyle name="Normal 54 4 2 2" xfId="6355"/>
    <cellStyle name="Normal 54 4 2 2 2" xfId="12489"/>
    <cellStyle name="Normal 54 4 2 2 3" xfId="18716"/>
    <cellStyle name="Normal 54 4 2 3" xfId="12488"/>
    <cellStyle name="Normal 54 4 2 4" xfId="18715"/>
    <cellStyle name="Normal 54 4 3" xfId="6356"/>
    <cellStyle name="Normal 54 4 3 2" xfId="6357"/>
    <cellStyle name="Normal 54 4 3 2 2" xfId="12491"/>
    <cellStyle name="Normal 54 4 3 2 3" xfId="18718"/>
    <cellStyle name="Normal 54 4 3 3" xfId="12490"/>
    <cellStyle name="Normal 54 4 3 4" xfId="18717"/>
    <cellStyle name="Normal 54 4 4" xfId="6358"/>
    <cellStyle name="Normal 54 4 4 2" xfId="12492"/>
    <cellStyle name="Normal 54 4 4 3" xfId="18719"/>
    <cellStyle name="Normal 54 4 5" xfId="12487"/>
    <cellStyle name="Normal 54 4 6" xfId="18714"/>
    <cellStyle name="Normal 54 5" xfId="6359"/>
    <cellStyle name="Normal 54 5 2" xfId="6360"/>
    <cellStyle name="Normal 54 5 2 2" xfId="12494"/>
    <cellStyle name="Normal 54 5 2 3" xfId="18721"/>
    <cellStyle name="Normal 54 5 3" xfId="12493"/>
    <cellStyle name="Normal 54 5 4" xfId="18720"/>
    <cellStyle name="Normal 54 6" xfId="6361"/>
    <cellStyle name="Normal 54 6 2" xfId="6362"/>
    <cellStyle name="Normal 54 6 2 2" xfId="12496"/>
    <cellStyle name="Normal 54 6 2 3" xfId="18723"/>
    <cellStyle name="Normal 54 6 3" xfId="12495"/>
    <cellStyle name="Normal 54 6 4" xfId="18722"/>
    <cellStyle name="Normal 54 7" xfId="6363"/>
    <cellStyle name="Normal 54 7 2" xfId="12497"/>
    <cellStyle name="Normal 54 7 3" xfId="18724"/>
    <cellStyle name="Normal 54 8" xfId="6364"/>
    <cellStyle name="Normal 54 8 2" xfId="18725"/>
    <cellStyle name="Normal 54 9" xfId="12450"/>
    <cellStyle name="Normal 55" xfId="6365"/>
    <cellStyle name="Normal 55 10" xfId="18726"/>
    <cellStyle name="Normal 55 2" xfId="6366"/>
    <cellStyle name="Normal 55 2 2" xfId="6367"/>
    <cellStyle name="Normal 55 2 2 2" xfId="6368"/>
    <cellStyle name="Normal 55 2 2 2 2" xfId="6369"/>
    <cellStyle name="Normal 55 2 2 2 2 2" xfId="6370"/>
    <cellStyle name="Normal 55 2 2 2 2 2 2" xfId="12503"/>
    <cellStyle name="Normal 55 2 2 2 2 2 3" xfId="18731"/>
    <cellStyle name="Normal 55 2 2 2 2 3" xfId="12502"/>
    <cellStyle name="Normal 55 2 2 2 2 4" xfId="18730"/>
    <cellStyle name="Normal 55 2 2 2 3" xfId="6371"/>
    <cellStyle name="Normal 55 2 2 2 3 2" xfId="6372"/>
    <cellStyle name="Normal 55 2 2 2 3 2 2" xfId="12505"/>
    <cellStyle name="Normal 55 2 2 2 3 2 3" xfId="18733"/>
    <cellStyle name="Normal 55 2 2 2 3 3" xfId="12504"/>
    <cellStyle name="Normal 55 2 2 2 3 4" xfId="18732"/>
    <cellStyle name="Normal 55 2 2 2 4" xfId="6373"/>
    <cellStyle name="Normal 55 2 2 2 4 2" xfId="12506"/>
    <cellStyle name="Normal 55 2 2 2 4 3" xfId="18734"/>
    <cellStyle name="Normal 55 2 2 2 5" xfId="12501"/>
    <cellStyle name="Normal 55 2 2 2 6" xfId="18729"/>
    <cellStyle name="Normal 55 2 2 3" xfId="6374"/>
    <cellStyle name="Normal 55 2 2 3 2" xfId="6375"/>
    <cellStyle name="Normal 55 2 2 3 2 2" xfId="12508"/>
    <cellStyle name="Normal 55 2 2 3 2 3" xfId="18736"/>
    <cellStyle name="Normal 55 2 2 3 3" xfId="12507"/>
    <cellStyle name="Normal 55 2 2 3 4" xfId="18735"/>
    <cellStyle name="Normal 55 2 2 4" xfId="6376"/>
    <cellStyle name="Normal 55 2 2 4 2" xfId="6377"/>
    <cellStyle name="Normal 55 2 2 4 2 2" xfId="12510"/>
    <cellStyle name="Normal 55 2 2 4 2 3" xfId="18738"/>
    <cellStyle name="Normal 55 2 2 4 3" xfId="12509"/>
    <cellStyle name="Normal 55 2 2 4 4" xfId="18737"/>
    <cellStyle name="Normal 55 2 2 5" xfId="6378"/>
    <cellStyle name="Normal 55 2 2 5 2" xfId="12511"/>
    <cellStyle name="Normal 55 2 2 5 3" xfId="18739"/>
    <cellStyle name="Normal 55 2 2 6" xfId="12500"/>
    <cellStyle name="Normal 55 2 2 7" xfId="18728"/>
    <cellStyle name="Normal 55 2 3" xfId="6379"/>
    <cellStyle name="Normal 55 2 3 2" xfId="6380"/>
    <cellStyle name="Normal 55 2 3 2 2" xfId="6381"/>
    <cellStyle name="Normal 55 2 3 2 2 2" xfId="12514"/>
    <cellStyle name="Normal 55 2 3 2 2 3" xfId="18742"/>
    <cellStyle name="Normal 55 2 3 2 3" xfId="12513"/>
    <cellStyle name="Normal 55 2 3 2 4" xfId="18741"/>
    <cellStyle name="Normal 55 2 3 3" xfId="6382"/>
    <cellStyle name="Normal 55 2 3 3 2" xfId="6383"/>
    <cellStyle name="Normal 55 2 3 3 2 2" xfId="12516"/>
    <cellStyle name="Normal 55 2 3 3 2 3" xfId="18744"/>
    <cellStyle name="Normal 55 2 3 3 3" xfId="12515"/>
    <cellStyle name="Normal 55 2 3 3 4" xfId="18743"/>
    <cellStyle name="Normal 55 2 3 4" xfId="6384"/>
    <cellStyle name="Normal 55 2 3 4 2" xfId="12517"/>
    <cellStyle name="Normal 55 2 3 4 3" xfId="18745"/>
    <cellStyle name="Normal 55 2 3 5" xfId="12512"/>
    <cellStyle name="Normal 55 2 3 6" xfId="18740"/>
    <cellStyle name="Normal 55 2 4" xfId="6385"/>
    <cellStyle name="Normal 55 2 4 2" xfId="6386"/>
    <cellStyle name="Normal 55 2 4 2 2" xfId="12519"/>
    <cellStyle name="Normal 55 2 4 2 3" xfId="18747"/>
    <cellStyle name="Normal 55 2 4 3" xfId="12518"/>
    <cellStyle name="Normal 55 2 4 4" xfId="18746"/>
    <cellStyle name="Normal 55 2 5" xfId="6387"/>
    <cellStyle name="Normal 55 2 5 2" xfId="6388"/>
    <cellStyle name="Normal 55 2 5 2 2" xfId="12521"/>
    <cellStyle name="Normal 55 2 5 2 3" xfId="18749"/>
    <cellStyle name="Normal 55 2 5 3" xfId="12520"/>
    <cellStyle name="Normal 55 2 5 4" xfId="18748"/>
    <cellStyle name="Normal 55 2 6" xfId="6389"/>
    <cellStyle name="Normal 55 2 6 2" xfId="12522"/>
    <cellStyle name="Normal 55 2 6 3" xfId="18750"/>
    <cellStyle name="Normal 55 2 7" xfId="12499"/>
    <cellStyle name="Normal 55 2 8" xfId="18727"/>
    <cellStyle name="Normal 55 3" xfId="6390"/>
    <cellStyle name="Normal 55 3 2" xfId="6391"/>
    <cellStyle name="Normal 55 3 2 2" xfId="6392"/>
    <cellStyle name="Normal 55 3 2 2 2" xfId="6393"/>
    <cellStyle name="Normal 55 3 2 2 2 2" xfId="12526"/>
    <cellStyle name="Normal 55 3 2 2 2 3" xfId="18754"/>
    <cellStyle name="Normal 55 3 2 2 3" xfId="12525"/>
    <cellStyle name="Normal 55 3 2 2 4" xfId="18753"/>
    <cellStyle name="Normal 55 3 2 3" xfId="6394"/>
    <cellStyle name="Normal 55 3 2 3 2" xfId="6395"/>
    <cellStyle name="Normal 55 3 2 3 2 2" xfId="12528"/>
    <cellStyle name="Normal 55 3 2 3 2 3" xfId="18756"/>
    <cellStyle name="Normal 55 3 2 3 3" xfId="12527"/>
    <cellStyle name="Normal 55 3 2 3 4" xfId="18755"/>
    <cellStyle name="Normal 55 3 2 4" xfId="6396"/>
    <cellStyle name="Normal 55 3 2 4 2" xfId="12529"/>
    <cellStyle name="Normal 55 3 2 4 3" xfId="18757"/>
    <cellStyle name="Normal 55 3 2 5" xfId="12524"/>
    <cellStyle name="Normal 55 3 2 6" xfId="18752"/>
    <cellStyle name="Normal 55 3 3" xfId="6397"/>
    <cellStyle name="Normal 55 3 3 2" xfId="6398"/>
    <cellStyle name="Normal 55 3 3 2 2" xfId="12531"/>
    <cellStyle name="Normal 55 3 3 2 3" xfId="18759"/>
    <cellStyle name="Normal 55 3 3 3" xfId="12530"/>
    <cellStyle name="Normal 55 3 3 4" xfId="18758"/>
    <cellStyle name="Normal 55 3 4" xfId="6399"/>
    <cellStyle name="Normal 55 3 4 2" xfId="6400"/>
    <cellStyle name="Normal 55 3 4 2 2" xfId="12533"/>
    <cellStyle name="Normal 55 3 4 2 3" xfId="18761"/>
    <cellStyle name="Normal 55 3 4 3" xfId="12532"/>
    <cellStyle name="Normal 55 3 4 4" xfId="18760"/>
    <cellStyle name="Normal 55 3 5" xfId="6401"/>
    <cellStyle name="Normal 55 3 5 2" xfId="12534"/>
    <cellStyle name="Normal 55 3 5 3" xfId="18762"/>
    <cellStyle name="Normal 55 3 6" xfId="12523"/>
    <cellStyle name="Normal 55 3 7" xfId="18751"/>
    <cellStyle name="Normal 55 4" xfId="6402"/>
    <cellStyle name="Normal 55 4 2" xfId="6403"/>
    <cellStyle name="Normal 55 4 2 2" xfId="6404"/>
    <cellStyle name="Normal 55 4 2 2 2" xfId="12537"/>
    <cellStyle name="Normal 55 4 2 2 3" xfId="18765"/>
    <cellStyle name="Normal 55 4 2 3" xfId="12536"/>
    <cellStyle name="Normal 55 4 2 4" xfId="18764"/>
    <cellStyle name="Normal 55 4 3" xfId="6405"/>
    <cellStyle name="Normal 55 4 3 2" xfId="6406"/>
    <cellStyle name="Normal 55 4 3 2 2" xfId="12539"/>
    <cellStyle name="Normal 55 4 3 2 3" xfId="18767"/>
    <cellStyle name="Normal 55 4 3 3" xfId="12538"/>
    <cellStyle name="Normal 55 4 3 4" xfId="18766"/>
    <cellStyle name="Normal 55 4 4" xfId="6407"/>
    <cellStyle name="Normal 55 4 4 2" xfId="12540"/>
    <cellStyle name="Normal 55 4 4 3" xfId="18768"/>
    <cellStyle name="Normal 55 4 5" xfId="12535"/>
    <cellStyle name="Normal 55 4 6" xfId="18763"/>
    <cellStyle name="Normal 55 5" xfId="6408"/>
    <cellStyle name="Normal 55 5 2" xfId="6409"/>
    <cellStyle name="Normal 55 5 2 2" xfId="12542"/>
    <cellStyle name="Normal 55 5 2 3" xfId="18770"/>
    <cellStyle name="Normal 55 5 3" xfId="12541"/>
    <cellStyle name="Normal 55 5 4" xfId="18769"/>
    <cellStyle name="Normal 55 6" xfId="6410"/>
    <cellStyle name="Normal 55 6 2" xfId="6411"/>
    <cellStyle name="Normal 55 6 2 2" xfId="12544"/>
    <cellStyle name="Normal 55 6 2 3" xfId="18772"/>
    <cellStyle name="Normal 55 6 3" xfId="12543"/>
    <cellStyle name="Normal 55 6 4" xfId="18771"/>
    <cellStyle name="Normal 55 7" xfId="6412"/>
    <cellStyle name="Normal 55 7 2" xfId="12545"/>
    <cellStyle name="Normal 55 7 3" xfId="18773"/>
    <cellStyle name="Normal 55 8" xfId="6413"/>
    <cellStyle name="Normal 55 8 2" xfId="18774"/>
    <cellStyle name="Normal 55 9" xfId="12498"/>
    <cellStyle name="Normal 56" xfId="6414"/>
    <cellStyle name="Normal 56 10" xfId="18775"/>
    <cellStyle name="Normal 56 2" xfId="6415"/>
    <cellStyle name="Normal 56 2 2" xfId="6416"/>
    <cellStyle name="Normal 56 2 2 2" xfId="6417"/>
    <cellStyle name="Normal 56 2 2 2 2" xfId="6418"/>
    <cellStyle name="Normal 56 2 2 2 2 2" xfId="6419"/>
    <cellStyle name="Normal 56 2 2 2 2 2 2" xfId="12551"/>
    <cellStyle name="Normal 56 2 2 2 2 2 3" xfId="18780"/>
    <cellStyle name="Normal 56 2 2 2 2 3" xfId="12550"/>
    <cellStyle name="Normal 56 2 2 2 2 4" xfId="18779"/>
    <cellStyle name="Normal 56 2 2 2 3" xfId="6420"/>
    <cellStyle name="Normal 56 2 2 2 3 2" xfId="6421"/>
    <cellStyle name="Normal 56 2 2 2 3 2 2" xfId="12553"/>
    <cellStyle name="Normal 56 2 2 2 3 2 3" xfId="18782"/>
    <cellStyle name="Normal 56 2 2 2 3 3" xfId="12552"/>
    <cellStyle name="Normal 56 2 2 2 3 4" xfId="18781"/>
    <cellStyle name="Normal 56 2 2 2 4" xfId="6422"/>
    <cellStyle name="Normal 56 2 2 2 4 2" xfId="12554"/>
    <cellStyle name="Normal 56 2 2 2 4 3" xfId="18783"/>
    <cellStyle name="Normal 56 2 2 2 5" xfId="12549"/>
    <cellStyle name="Normal 56 2 2 2 6" xfId="18778"/>
    <cellStyle name="Normal 56 2 2 3" xfId="6423"/>
    <cellStyle name="Normal 56 2 2 3 2" xfId="6424"/>
    <cellStyle name="Normal 56 2 2 3 2 2" xfId="12556"/>
    <cellStyle name="Normal 56 2 2 3 2 3" xfId="18785"/>
    <cellStyle name="Normal 56 2 2 3 3" xfId="12555"/>
    <cellStyle name="Normal 56 2 2 3 4" xfId="18784"/>
    <cellStyle name="Normal 56 2 2 4" xfId="6425"/>
    <cellStyle name="Normal 56 2 2 4 2" xfId="6426"/>
    <cellStyle name="Normal 56 2 2 4 2 2" xfId="12558"/>
    <cellStyle name="Normal 56 2 2 4 2 3" xfId="18787"/>
    <cellStyle name="Normal 56 2 2 4 3" xfId="12557"/>
    <cellStyle name="Normal 56 2 2 4 4" xfId="18786"/>
    <cellStyle name="Normal 56 2 2 5" xfId="6427"/>
    <cellStyle name="Normal 56 2 2 5 2" xfId="12559"/>
    <cellStyle name="Normal 56 2 2 5 3" xfId="18788"/>
    <cellStyle name="Normal 56 2 2 6" xfId="12548"/>
    <cellStyle name="Normal 56 2 2 7" xfId="18777"/>
    <cellStyle name="Normal 56 2 3" xfId="6428"/>
    <cellStyle name="Normal 56 2 3 2" xfId="6429"/>
    <cellStyle name="Normal 56 2 3 2 2" xfId="6430"/>
    <cellStyle name="Normal 56 2 3 2 2 2" xfId="12562"/>
    <cellStyle name="Normal 56 2 3 2 2 3" xfId="18791"/>
    <cellStyle name="Normal 56 2 3 2 3" xfId="12561"/>
    <cellStyle name="Normal 56 2 3 2 4" xfId="18790"/>
    <cellStyle name="Normal 56 2 3 3" xfId="6431"/>
    <cellStyle name="Normal 56 2 3 3 2" xfId="6432"/>
    <cellStyle name="Normal 56 2 3 3 2 2" xfId="12564"/>
    <cellStyle name="Normal 56 2 3 3 2 3" xfId="18793"/>
    <cellStyle name="Normal 56 2 3 3 3" xfId="12563"/>
    <cellStyle name="Normal 56 2 3 3 4" xfId="18792"/>
    <cellStyle name="Normal 56 2 3 4" xfId="6433"/>
    <cellStyle name="Normal 56 2 3 4 2" xfId="12565"/>
    <cellStyle name="Normal 56 2 3 4 3" xfId="18794"/>
    <cellStyle name="Normal 56 2 3 5" xfId="12560"/>
    <cellStyle name="Normal 56 2 3 6" xfId="18789"/>
    <cellStyle name="Normal 56 2 4" xfId="6434"/>
    <cellStyle name="Normal 56 2 4 2" xfId="6435"/>
    <cellStyle name="Normal 56 2 4 2 2" xfId="12567"/>
    <cellStyle name="Normal 56 2 4 2 3" xfId="18796"/>
    <cellStyle name="Normal 56 2 4 3" xfId="12566"/>
    <cellStyle name="Normal 56 2 4 4" xfId="18795"/>
    <cellStyle name="Normal 56 2 5" xfId="6436"/>
    <cellStyle name="Normal 56 2 5 2" xfId="6437"/>
    <cellStyle name="Normal 56 2 5 2 2" xfId="12569"/>
    <cellStyle name="Normal 56 2 5 2 3" xfId="18798"/>
    <cellStyle name="Normal 56 2 5 3" xfId="12568"/>
    <cellStyle name="Normal 56 2 5 4" xfId="18797"/>
    <cellStyle name="Normal 56 2 6" xfId="6438"/>
    <cellStyle name="Normal 56 2 6 2" xfId="12570"/>
    <cellStyle name="Normal 56 2 6 3" xfId="18799"/>
    <cellStyle name="Normal 56 2 7" xfId="12547"/>
    <cellStyle name="Normal 56 2 8" xfId="18776"/>
    <cellStyle name="Normal 56 3" xfId="6439"/>
    <cellStyle name="Normal 56 3 2" xfId="6440"/>
    <cellStyle name="Normal 56 3 2 2" xfId="6441"/>
    <cellStyle name="Normal 56 3 2 2 2" xfId="6442"/>
    <cellStyle name="Normal 56 3 2 2 2 2" xfId="12574"/>
    <cellStyle name="Normal 56 3 2 2 2 3" xfId="18803"/>
    <cellStyle name="Normal 56 3 2 2 3" xfId="12573"/>
    <cellStyle name="Normal 56 3 2 2 4" xfId="18802"/>
    <cellStyle name="Normal 56 3 2 3" xfId="6443"/>
    <cellStyle name="Normal 56 3 2 3 2" xfId="6444"/>
    <cellStyle name="Normal 56 3 2 3 2 2" xfId="12576"/>
    <cellStyle name="Normal 56 3 2 3 2 3" xfId="18805"/>
    <cellStyle name="Normal 56 3 2 3 3" xfId="12575"/>
    <cellStyle name="Normal 56 3 2 3 4" xfId="18804"/>
    <cellStyle name="Normal 56 3 2 4" xfId="6445"/>
    <cellStyle name="Normal 56 3 2 4 2" xfId="12577"/>
    <cellStyle name="Normal 56 3 2 4 3" xfId="18806"/>
    <cellStyle name="Normal 56 3 2 5" xfId="12572"/>
    <cellStyle name="Normal 56 3 2 6" xfId="18801"/>
    <cellStyle name="Normal 56 3 3" xfId="6446"/>
    <cellStyle name="Normal 56 3 3 2" xfId="6447"/>
    <cellStyle name="Normal 56 3 3 2 2" xfId="12579"/>
    <cellStyle name="Normal 56 3 3 2 3" xfId="18808"/>
    <cellStyle name="Normal 56 3 3 3" xfId="12578"/>
    <cellStyle name="Normal 56 3 3 4" xfId="18807"/>
    <cellStyle name="Normal 56 3 4" xfId="6448"/>
    <cellStyle name="Normal 56 3 4 2" xfId="6449"/>
    <cellStyle name="Normal 56 3 4 2 2" xfId="12581"/>
    <cellStyle name="Normal 56 3 4 2 3" xfId="18810"/>
    <cellStyle name="Normal 56 3 4 3" xfId="12580"/>
    <cellStyle name="Normal 56 3 4 4" xfId="18809"/>
    <cellStyle name="Normal 56 3 5" xfId="6450"/>
    <cellStyle name="Normal 56 3 5 2" xfId="12582"/>
    <cellStyle name="Normal 56 3 5 3" xfId="18811"/>
    <cellStyle name="Normal 56 3 6" xfId="12571"/>
    <cellStyle name="Normal 56 3 7" xfId="18800"/>
    <cellStyle name="Normal 56 4" xfId="6451"/>
    <cellStyle name="Normal 56 4 2" xfId="6452"/>
    <cellStyle name="Normal 56 4 2 2" xfId="6453"/>
    <cellStyle name="Normal 56 4 2 2 2" xfId="12585"/>
    <cellStyle name="Normal 56 4 2 2 3" xfId="18814"/>
    <cellStyle name="Normal 56 4 2 3" xfId="12584"/>
    <cellStyle name="Normal 56 4 2 4" xfId="18813"/>
    <cellStyle name="Normal 56 4 3" xfId="6454"/>
    <cellStyle name="Normal 56 4 3 2" xfId="6455"/>
    <cellStyle name="Normal 56 4 3 2 2" xfId="12587"/>
    <cellStyle name="Normal 56 4 3 2 3" xfId="18816"/>
    <cellStyle name="Normal 56 4 3 3" xfId="12586"/>
    <cellStyle name="Normal 56 4 3 4" xfId="18815"/>
    <cellStyle name="Normal 56 4 4" xfId="6456"/>
    <cellStyle name="Normal 56 4 4 2" xfId="12588"/>
    <cellStyle name="Normal 56 4 4 3" xfId="18817"/>
    <cellStyle name="Normal 56 4 5" xfId="12583"/>
    <cellStyle name="Normal 56 4 6" xfId="18812"/>
    <cellStyle name="Normal 56 5" xfId="6457"/>
    <cellStyle name="Normal 56 5 2" xfId="6458"/>
    <cellStyle name="Normal 56 5 2 2" xfId="12590"/>
    <cellStyle name="Normal 56 5 2 3" xfId="18819"/>
    <cellStyle name="Normal 56 5 3" xfId="12589"/>
    <cellStyle name="Normal 56 5 4" xfId="18818"/>
    <cellStyle name="Normal 56 6" xfId="6459"/>
    <cellStyle name="Normal 56 6 2" xfId="6460"/>
    <cellStyle name="Normal 56 6 2 2" xfId="12592"/>
    <cellStyle name="Normal 56 6 2 3" xfId="18821"/>
    <cellStyle name="Normal 56 6 3" xfId="12591"/>
    <cellStyle name="Normal 56 6 4" xfId="18820"/>
    <cellStyle name="Normal 56 7" xfId="6461"/>
    <cellStyle name="Normal 56 7 2" xfId="12593"/>
    <cellStyle name="Normal 56 7 3" xfId="18822"/>
    <cellStyle name="Normal 56 8" xfId="6462"/>
    <cellStyle name="Normal 56 8 2" xfId="18823"/>
    <cellStyle name="Normal 56 9" xfId="12546"/>
    <cellStyle name="Normal 57" xfId="6463"/>
    <cellStyle name="Normal 57 10" xfId="18824"/>
    <cellStyle name="Normal 57 2" xfId="6464"/>
    <cellStyle name="Normal 57 2 2" xfId="6465"/>
    <cellStyle name="Normal 57 2 2 2" xfId="6466"/>
    <cellStyle name="Normal 57 2 2 2 2" xfId="6467"/>
    <cellStyle name="Normal 57 2 2 2 2 2" xfId="6468"/>
    <cellStyle name="Normal 57 2 2 2 2 2 2" xfId="12599"/>
    <cellStyle name="Normal 57 2 2 2 2 2 3" xfId="18829"/>
    <cellStyle name="Normal 57 2 2 2 2 3" xfId="12598"/>
    <cellStyle name="Normal 57 2 2 2 2 4" xfId="18828"/>
    <cellStyle name="Normal 57 2 2 2 3" xfId="6469"/>
    <cellStyle name="Normal 57 2 2 2 3 2" xfId="6470"/>
    <cellStyle name="Normal 57 2 2 2 3 2 2" xfId="12601"/>
    <cellStyle name="Normal 57 2 2 2 3 2 3" xfId="18831"/>
    <cellStyle name="Normal 57 2 2 2 3 3" xfId="12600"/>
    <cellStyle name="Normal 57 2 2 2 3 4" xfId="18830"/>
    <cellStyle name="Normal 57 2 2 2 4" xfId="6471"/>
    <cellStyle name="Normal 57 2 2 2 4 2" xfId="12602"/>
    <cellStyle name="Normal 57 2 2 2 4 3" xfId="18832"/>
    <cellStyle name="Normal 57 2 2 2 5" xfId="12597"/>
    <cellStyle name="Normal 57 2 2 2 6" xfId="18827"/>
    <cellStyle name="Normal 57 2 2 3" xfId="6472"/>
    <cellStyle name="Normal 57 2 2 3 2" xfId="6473"/>
    <cellStyle name="Normal 57 2 2 3 2 2" xfId="12604"/>
    <cellStyle name="Normal 57 2 2 3 2 3" xfId="18834"/>
    <cellStyle name="Normal 57 2 2 3 3" xfId="12603"/>
    <cellStyle name="Normal 57 2 2 3 4" xfId="18833"/>
    <cellStyle name="Normal 57 2 2 4" xfId="6474"/>
    <cellStyle name="Normal 57 2 2 4 2" xfId="6475"/>
    <cellStyle name="Normal 57 2 2 4 2 2" xfId="12606"/>
    <cellStyle name="Normal 57 2 2 4 2 3" xfId="18836"/>
    <cellStyle name="Normal 57 2 2 4 3" xfId="12605"/>
    <cellStyle name="Normal 57 2 2 4 4" xfId="18835"/>
    <cellStyle name="Normal 57 2 2 5" xfId="6476"/>
    <cellStyle name="Normal 57 2 2 5 2" xfId="12607"/>
    <cellStyle name="Normal 57 2 2 5 3" xfId="18837"/>
    <cellStyle name="Normal 57 2 2 6" xfId="12596"/>
    <cellStyle name="Normal 57 2 2 7" xfId="18826"/>
    <cellStyle name="Normal 57 2 3" xfId="6477"/>
    <cellStyle name="Normal 57 2 3 2" xfId="6478"/>
    <cellStyle name="Normal 57 2 3 2 2" xfId="6479"/>
    <cellStyle name="Normal 57 2 3 2 2 2" xfId="12610"/>
    <cellStyle name="Normal 57 2 3 2 2 3" xfId="18840"/>
    <cellStyle name="Normal 57 2 3 2 3" xfId="12609"/>
    <cellStyle name="Normal 57 2 3 2 4" xfId="18839"/>
    <cellStyle name="Normal 57 2 3 3" xfId="6480"/>
    <cellStyle name="Normal 57 2 3 3 2" xfId="6481"/>
    <cellStyle name="Normal 57 2 3 3 2 2" xfId="12612"/>
    <cellStyle name="Normal 57 2 3 3 2 3" xfId="18842"/>
    <cellStyle name="Normal 57 2 3 3 3" xfId="12611"/>
    <cellStyle name="Normal 57 2 3 3 4" xfId="18841"/>
    <cellStyle name="Normal 57 2 3 4" xfId="6482"/>
    <cellStyle name="Normal 57 2 3 4 2" xfId="12613"/>
    <cellStyle name="Normal 57 2 3 4 3" xfId="18843"/>
    <cellStyle name="Normal 57 2 3 5" xfId="12608"/>
    <cellStyle name="Normal 57 2 3 6" xfId="18838"/>
    <cellStyle name="Normal 57 2 4" xfId="6483"/>
    <cellStyle name="Normal 57 2 4 2" xfId="6484"/>
    <cellStyle name="Normal 57 2 4 2 2" xfId="12615"/>
    <cellStyle name="Normal 57 2 4 2 3" xfId="18845"/>
    <cellStyle name="Normal 57 2 4 3" xfId="12614"/>
    <cellStyle name="Normal 57 2 4 4" xfId="18844"/>
    <cellStyle name="Normal 57 2 5" xfId="6485"/>
    <cellStyle name="Normal 57 2 5 2" xfId="6486"/>
    <cellStyle name="Normal 57 2 5 2 2" xfId="12617"/>
    <cellStyle name="Normal 57 2 5 2 3" xfId="18847"/>
    <cellStyle name="Normal 57 2 5 3" xfId="12616"/>
    <cellStyle name="Normal 57 2 5 4" xfId="18846"/>
    <cellStyle name="Normal 57 2 6" xfId="6487"/>
    <cellStyle name="Normal 57 2 6 2" xfId="12618"/>
    <cellStyle name="Normal 57 2 6 3" xfId="18848"/>
    <cellStyle name="Normal 57 2 7" xfId="12595"/>
    <cellStyle name="Normal 57 2 8" xfId="18825"/>
    <cellStyle name="Normal 57 3" xfId="6488"/>
    <cellStyle name="Normal 57 3 2" xfId="6489"/>
    <cellStyle name="Normal 57 3 2 2" xfId="6490"/>
    <cellStyle name="Normal 57 3 2 2 2" xfId="6491"/>
    <cellStyle name="Normal 57 3 2 2 2 2" xfId="12622"/>
    <cellStyle name="Normal 57 3 2 2 2 3" xfId="18852"/>
    <cellStyle name="Normal 57 3 2 2 3" xfId="12621"/>
    <cellStyle name="Normal 57 3 2 2 4" xfId="18851"/>
    <cellStyle name="Normal 57 3 2 3" xfId="6492"/>
    <cellStyle name="Normal 57 3 2 3 2" xfId="6493"/>
    <cellStyle name="Normal 57 3 2 3 2 2" xfId="12624"/>
    <cellStyle name="Normal 57 3 2 3 2 3" xfId="18854"/>
    <cellStyle name="Normal 57 3 2 3 3" xfId="12623"/>
    <cellStyle name="Normal 57 3 2 3 4" xfId="18853"/>
    <cellStyle name="Normal 57 3 2 4" xfId="6494"/>
    <cellStyle name="Normal 57 3 2 4 2" xfId="12625"/>
    <cellStyle name="Normal 57 3 2 4 3" xfId="18855"/>
    <cellStyle name="Normal 57 3 2 5" xfId="12620"/>
    <cellStyle name="Normal 57 3 2 6" xfId="18850"/>
    <cellStyle name="Normal 57 3 3" xfId="6495"/>
    <cellStyle name="Normal 57 3 3 2" xfId="6496"/>
    <cellStyle name="Normal 57 3 3 2 2" xfId="12627"/>
    <cellStyle name="Normal 57 3 3 2 3" xfId="18857"/>
    <cellStyle name="Normal 57 3 3 3" xfId="12626"/>
    <cellStyle name="Normal 57 3 3 4" xfId="18856"/>
    <cellStyle name="Normal 57 3 4" xfId="6497"/>
    <cellStyle name="Normal 57 3 4 2" xfId="6498"/>
    <cellStyle name="Normal 57 3 4 2 2" xfId="12629"/>
    <cellStyle name="Normal 57 3 4 2 3" xfId="18859"/>
    <cellStyle name="Normal 57 3 4 3" xfId="12628"/>
    <cellStyle name="Normal 57 3 4 4" xfId="18858"/>
    <cellStyle name="Normal 57 3 5" xfId="6499"/>
    <cellStyle name="Normal 57 3 5 2" xfId="12630"/>
    <cellStyle name="Normal 57 3 5 3" xfId="18860"/>
    <cellStyle name="Normal 57 3 6" xfId="12619"/>
    <cellStyle name="Normal 57 3 7" xfId="18849"/>
    <cellStyle name="Normal 57 4" xfId="6500"/>
    <cellStyle name="Normal 57 4 2" xfId="6501"/>
    <cellStyle name="Normal 57 4 2 2" xfId="6502"/>
    <cellStyle name="Normal 57 4 2 2 2" xfId="12633"/>
    <cellStyle name="Normal 57 4 2 2 3" xfId="18863"/>
    <cellStyle name="Normal 57 4 2 3" xfId="12632"/>
    <cellStyle name="Normal 57 4 2 4" xfId="18862"/>
    <cellStyle name="Normal 57 4 3" xfId="6503"/>
    <cellStyle name="Normal 57 4 3 2" xfId="6504"/>
    <cellStyle name="Normal 57 4 3 2 2" xfId="12635"/>
    <cellStyle name="Normal 57 4 3 2 3" xfId="18865"/>
    <cellStyle name="Normal 57 4 3 3" xfId="12634"/>
    <cellStyle name="Normal 57 4 3 4" xfId="18864"/>
    <cellStyle name="Normal 57 4 4" xfId="6505"/>
    <cellStyle name="Normal 57 4 4 2" xfId="12636"/>
    <cellStyle name="Normal 57 4 4 3" xfId="18866"/>
    <cellStyle name="Normal 57 4 5" xfId="12631"/>
    <cellStyle name="Normal 57 4 6" xfId="18861"/>
    <cellStyle name="Normal 57 5" xfId="6506"/>
    <cellStyle name="Normal 57 5 2" xfId="6507"/>
    <cellStyle name="Normal 57 5 2 2" xfId="12638"/>
    <cellStyle name="Normal 57 5 2 3" xfId="18868"/>
    <cellStyle name="Normal 57 5 3" xfId="12637"/>
    <cellStyle name="Normal 57 5 4" xfId="18867"/>
    <cellStyle name="Normal 57 6" xfId="6508"/>
    <cellStyle name="Normal 57 6 2" xfId="6509"/>
    <cellStyle name="Normal 57 6 2 2" xfId="12640"/>
    <cellStyle name="Normal 57 6 2 3" xfId="18870"/>
    <cellStyle name="Normal 57 6 3" xfId="12639"/>
    <cellStyle name="Normal 57 6 4" xfId="18869"/>
    <cellStyle name="Normal 57 7" xfId="6510"/>
    <cellStyle name="Normal 57 7 2" xfId="12641"/>
    <cellStyle name="Normal 57 7 3" xfId="18871"/>
    <cellStyle name="Normal 57 8" xfId="6511"/>
    <cellStyle name="Normal 57 8 2" xfId="18872"/>
    <cellStyle name="Normal 57 9" xfId="12594"/>
    <cellStyle name="Normal 58" xfId="6512"/>
    <cellStyle name="Normal 58 10" xfId="18873"/>
    <cellStyle name="Normal 58 2" xfId="6513"/>
    <cellStyle name="Normal 58 2 2" xfId="6514"/>
    <cellStyle name="Normal 58 2 2 2" xfId="6515"/>
    <cellStyle name="Normal 58 2 2 2 2" xfId="6516"/>
    <cellStyle name="Normal 58 2 2 2 2 2" xfId="6517"/>
    <cellStyle name="Normal 58 2 2 2 2 2 2" xfId="12647"/>
    <cellStyle name="Normal 58 2 2 2 2 2 3" xfId="18878"/>
    <cellStyle name="Normal 58 2 2 2 2 3" xfId="12646"/>
    <cellStyle name="Normal 58 2 2 2 2 4" xfId="18877"/>
    <cellStyle name="Normal 58 2 2 2 3" xfId="6518"/>
    <cellStyle name="Normal 58 2 2 2 3 2" xfId="6519"/>
    <cellStyle name="Normal 58 2 2 2 3 2 2" xfId="12649"/>
    <cellStyle name="Normal 58 2 2 2 3 2 3" xfId="18880"/>
    <cellStyle name="Normal 58 2 2 2 3 3" xfId="12648"/>
    <cellStyle name="Normal 58 2 2 2 3 4" xfId="18879"/>
    <cellStyle name="Normal 58 2 2 2 4" xfId="6520"/>
    <cellStyle name="Normal 58 2 2 2 4 2" xfId="12650"/>
    <cellStyle name="Normal 58 2 2 2 4 3" xfId="18881"/>
    <cellStyle name="Normal 58 2 2 2 5" xfId="12645"/>
    <cellStyle name="Normal 58 2 2 2 6" xfId="18876"/>
    <cellStyle name="Normal 58 2 2 3" xfId="6521"/>
    <cellStyle name="Normal 58 2 2 3 2" xfId="6522"/>
    <cellStyle name="Normal 58 2 2 3 2 2" xfId="12652"/>
    <cellStyle name="Normal 58 2 2 3 2 3" xfId="18883"/>
    <cellStyle name="Normal 58 2 2 3 3" xfId="12651"/>
    <cellStyle name="Normal 58 2 2 3 4" xfId="18882"/>
    <cellStyle name="Normal 58 2 2 4" xfId="6523"/>
    <cellStyle name="Normal 58 2 2 4 2" xfId="6524"/>
    <cellStyle name="Normal 58 2 2 4 2 2" xfId="12654"/>
    <cellStyle name="Normal 58 2 2 4 2 3" xfId="18885"/>
    <cellStyle name="Normal 58 2 2 4 3" xfId="12653"/>
    <cellStyle name="Normal 58 2 2 4 4" xfId="18884"/>
    <cellStyle name="Normal 58 2 2 5" xfId="6525"/>
    <cellStyle name="Normal 58 2 2 5 2" xfId="12655"/>
    <cellStyle name="Normal 58 2 2 5 3" xfId="18886"/>
    <cellStyle name="Normal 58 2 2 6" xfId="12644"/>
    <cellStyle name="Normal 58 2 2 7" xfId="18875"/>
    <cellStyle name="Normal 58 2 3" xfId="6526"/>
    <cellStyle name="Normal 58 2 3 2" xfId="6527"/>
    <cellStyle name="Normal 58 2 3 2 2" xfId="6528"/>
    <cellStyle name="Normal 58 2 3 2 2 2" xfId="12658"/>
    <cellStyle name="Normal 58 2 3 2 2 3" xfId="18889"/>
    <cellStyle name="Normal 58 2 3 2 3" xfId="12657"/>
    <cellStyle name="Normal 58 2 3 2 4" xfId="18888"/>
    <cellStyle name="Normal 58 2 3 3" xfId="6529"/>
    <cellStyle name="Normal 58 2 3 3 2" xfId="6530"/>
    <cellStyle name="Normal 58 2 3 3 2 2" xfId="12660"/>
    <cellStyle name="Normal 58 2 3 3 2 3" xfId="18891"/>
    <cellStyle name="Normal 58 2 3 3 3" xfId="12659"/>
    <cellStyle name="Normal 58 2 3 3 4" xfId="18890"/>
    <cellStyle name="Normal 58 2 3 4" xfId="6531"/>
    <cellStyle name="Normal 58 2 3 4 2" xfId="12661"/>
    <cellStyle name="Normal 58 2 3 4 3" xfId="18892"/>
    <cellStyle name="Normal 58 2 3 5" xfId="12656"/>
    <cellStyle name="Normal 58 2 3 6" xfId="18887"/>
    <cellStyle name="Normal 58 2 4" xfId="6532"/>
    <cellStyle name="Normal 58 2 4 2" xfId="6533"/>
    <cellStyle name="Normal 58 2 4 2 2" xfId="12663"/>
    <cellStyle name="Normal 58 2 4 2 3" xfId="18894"/>
    <cellStyle name="Normal 58 2 4 3" xfId="12662"/>
    <cellStyle name="Normal 58 2 4 4" xfId="18893"/>
    <cellStyle name="Normal 58 2 5" xfId="6534"/>
    <cellStyle name="Normal 58 2 5 2" xfId="6535"/>
    <cellStyle name="Normal 58 2 5 2 2" xfId="12665"/>
    <cellStyle name="Normal 58 2 5 2 3" xfId="18896"/>
    <cellStyle name="Normal 58 2 5 3" xfId="12664"/>
    <cellStyle name="Normal 58 2 5 4" xfId="18895"/>
    <cellStyle name="Normal 58 2 6" xfId="6536"/>
    <cellStyle name="Normal 58 2 6 2" xfId="12666"/>
    <cellStyle name="Normal 58 2 6 3" xfId="18897"/>
    <cellStyle name="Normal 58 2 7" xfId="12643"/>
    <cellStyle name="Normal 58 2 8" xfId="18874"/>
    <cellStyle name="Normal 58 3" xfId="6537"/>
    <cellStyle name="Normal 58 3 2" xfId="6538"/>
    <cellStyle name="Normal 58 3 2 2" xfId="6539"/>
    <cellStyle name="Normal 58 3 2 2 2" xfId="6540"/>
    <cellStyle name="Normal 58 3 2 2 2 2" xfId="12670"/>
    <cellStyle name="Normal 58 3 2 2 2 3" xfId="18901"/>
    <cellStyle name="Normal 58 3 2 2 3" xfId="12669"/>
    <cellStyle name="Normal 58 3 2 2 4" xfId="18900"/>
    <cellStyle name="Normal 58 3 2 3" xfId="6541"/>
    <cellStyle name="Normal 58 3 2 3 2" xfId="6542"/>
    <cellStyle name="Normal 58 3 2 3 2 2" xfId="12672"/>
    <cellStyle name="Normal 58 3 2 3 2 3" xfId="18903"/>
    <cellStyle name="Normal 58 3 2 3 3" xfId="12671"/>
    <cellStyle name="Normal 58 3 2 3 4" xfId="18902"/>
    <cellStyle name="Normal 58 3 2 4" xfId="6543"/>
    <cellStyle name="Normal 58 3 2 4 2" xfId="12673"/>
    <cellStyle name="Normal 58 3 2 4 3" xfId="18904"/>
    <cellStyle name="Normal 58 3 2 5" xfId="12668"/>
    <cellStyle name="Normal 58 3 2 6" xfId="18899"/>
    <cellStyle name="Normal 58 3 3" xfId="6544"/>
    <cellStyle name="Normal 58 3 3 2" xfId="6545"/>
    <cellStyle name="Normal 58 3 3 2 2" xfId="12675"/>
    <cellStyle name="Normal 58 3 3 2 3" xfId="18906"/>
    <cellStyle name="Normal 58 3 3 3" xfId="12674"/>
    <cellStyle name="Normal 58 3 3 4" xfId="18905"/>
    <cellStyle name="Normal 58 3 4" xfId="6546"/>
    <cellStyle name="Normal 58 3 4 2" xfId="6547"/>
    <cellStyle name="Normal 58 3 4 2 2" xfId="12677"/>
    <cellStyle name="Normal 58 3 4 2 3" xfId="18908"/>
    <cellStyle name="Normal 58 3 4 3" xfId="12676"/>
    <cellStyle name="Normal 58 3 4 4" xfId="18907"/>
    <cellStyle name="Normal 58 3 5" xfId="6548"/>
    <cellStyle name="Normal 58 3 5 2" xfId="12678"/>
    <cellStyle name="Normal 58 3 5 3" xfId="18909"/>
    <cellStyle name="Normal 58 3 6" xfId="12667"/>
    <cellStyle name="Normal 58 3 7" xfId="18898"/>
    <cellStyle name="Normal 58 4" xfId="6549"/>
    <cellStyle name="Normal 58 4 2" xfId="6550"/>
    <cellStyle name="Normal 58 4 2 2" xfId="6551"/>
    <cellStyle name="Normal 58 4 2 2 2" xfId="12681"/>
    <cellStyle name="Normal 58 4 2 2 3" xfId="18912"/>
    <cellStyle name="Normal 58 4 2 3" xfId="12680"/>
    <cellStyle name="Normal 58 4 2 4" xfId="18911"/>
    <cellStyle name="Normal 58 4 3" xfId="6552"/>
    <cellStyle name="Normal 58 4 3 2" xfId="6553"/>
    <cellStyle name="Normal 58 4 3 2 2" xfId="12683"/>
    <cellStyle name="Normal 58 4 3 2 3" xfId="18914"/>
    <cellStyle name="Normal 58 4 3 3" xfId="12682"/>
    <cellStyle name="Normal 58 4 3 4" xfId="18913"/>
    <cellStyle name="Normal 58 4 4" xfId="6554"/>
    <cellStyle name="Normal 58 4 4 2" xfId="12684"/>
    <cellStyle name="Normal 58 4 4 3" xfId="18915"/>
    <cellStyle name="Normal 58 4 5" xfId="12679"/>
    <cellStyle name="Normal 58 4 6" xfId="18910"/>
    <cellStyle name="Normal 58 5" xfId="6555"/>
    <cellStyle name="Normal 58 5 2" xfId="6556"/>
    <cellStyle name="Normal 58 5 2 2" xfId="12686"/>
    <cellStyle name="Normal 58 5 2 3" xfId="18917"/>
    <cellStyle name="Normal 58 5 3" xfId="12685"/>
    <cellStyle name="Normal 58 5 4" xfId="18916"/>
    <cellStyle name="Normal 58 6" xfId="6557"/>
    <cellStyle name="Normal 58 6 2" xfId="6558"/>
    <cellStyle name="Normal 58 6 2 2" xfId="12688"/>
    <cellStyle name="Normal 58 6 2 3" xfId="18919"/>
    <cellStyle name="Normal 58 6 3" xfId="12687"/>
    <cellStyle name="Normal 58 6 4" xfId="18918"/>
    <cellStyle name="Normal 58 7" xfId="6559"/>
    <cellStyle name="Normal 58 7 2" xfId="12689"/>
    <cellStyle name="Normal 58 7 3" xfId="18920"/>
    <cellStyle name="Normal 58 8" xfId="6560"/>
    <cellStyle name="Normal 58 8 2" xfId="18921"/>
    <cellStyle name="Normal 58 9" xfId="12642"/>
    <cellStyle name="Normal 59" xfId="6561"/>
    <cellStyle name="Normal 59 10" xfId="18922"/>
    <cellStyle name="Normal 59 2" xfId="6562"/>
    <cellStyle name="Normal 59 2 2" xfId="6563"/>
    <cellStyle name="Normal 59 2 2 2" xfId="6564"/>
    <cellStyle name="Normal 59 2 2 2 2" xfId="6565"/>
    <cellStyle name="Normal 59 2 2 2 2 2" xfId="6566"/>
    <cellStyle name="Normal 59 2 2 2 2 2 2" xfId="12695"/>
    <cellStyle name="Normal 59 2 2 2 2 2 3" xfId="18927"/>
    <cellStyle name="Normal 59 2 2 2 2 3" xfId="12694"/>
    <cellStyle name="Normal 59 2 2 2 2 4" xfId="18926"/>
    <cellStyle name="Normal 59 2 2 2 3" xfId="6567"/>
    <cellStyle name="Normal 59 2 2 2 3 2" xfId="6568"/>
    <cellStyle name="Normal 59 2 2 2 3 2 2" xfId="12697"/>
    <cellStyle name="Normal 59 2 2 2 3 2 3" xfId="18929"/>
    <cellStyle name="Normal 59 2 2 2 3 3" xfId="12696"/>
    <cellStyle name="Normal 59 2 2 2 3 4" xfId="18928"/>
    <cellStyle name="Normal 59 2 2 2 4" xfId="6569"/>
    <cellStyle name="Normal 59 2 2 2 4 2" xfId="12698"/>
    <cellStyle name="Normal 59 2 2 2 4 3" xfId="18930"/>
    <cellStyle name="Normal 59 2 2 2 5" xfId="12693"/>
    <cellStyle name="Normal 59 2 2 2 6" xfId="18925"/>
    <cellStyle name="Normal 59 2 2 3" xfId="6570"/>
    <cellStyle name="Normal 59 2 2 3 2" xfId="6571"/>
    <cellStyle name="Normal 59 2 2 3 2 2" xfId="12700"/>
    <cellStyle name="Normal 59 2 2 3 2 3" xfId="18932"/>
    <cellStyle name="Normal 59 2 2 3 3" xfId="12699"/>
    <cellStyle name="Normal 59 2 2 3 4" xfId="18931"/>
    <cellStyle name="Normal 59 2 2 4" xfId="6572"/>
    <cellStyle name="Normal 59 2 2 4 2" xfId="6573"/>
    <cellStyle name="Normal 59 2 2 4 2 2" xfId="12702"/>
    <cellStyle name="Normal 59 2 2 4 2 3" xfId="18934"/>
    <cellStyle name="Normal 59 2 2 4 3" xfId="12701"/>
    <cellStyle name="Normal 59 2 2 4 4" xfId="18933"/>
    <cellStyle name="Normal 59 2 2 5" xfId="6574"/>
    <cellStyle name="Normal 59 2 2 5 2" xfId="12703"/>
    <cellStyle name="Normal 59 2 2 5 3" xfId="18935"/>
    <cellStyle name="Normal 59 2 2 6" xfId="12692"/>
    <cellStyle name="Normal 59 2 2 7" xfId="18924"/>
    <cellStyle name="Normal 59 2 3" xfId="6575"/>
    <cellStyle name="Normal 59 2 3 2" xfId="6576"/>
    <cellStyle name="Normal 59 2 3 2 2" xfId="6577"/>
    <cellStyle name="Normal 59 2 3 2 2 2" xfId="12706"/>
    <cellStyle name="Normal 59 2 3 2 2 3" xfId="18938"/>
    <cellStyle name="Normal 59 2 3 2 3" xfId="12705"/>
    <cellStyle name="Normal 59 2 3 2 4" xfId="18937"/>
    <cellStyle name="Normal 59 2 3 3" xfId="6578"/>
    <cellStyle name="Normal 59 2 3 3 2" xfId="6579"/>
    <cellStyle name="Normal 59 2 3 3 2 2" xfId="12708"/>
    <cellStyle name="Normal 59 2 3 3 2 3" xfId="18940"/>
    <cellStyle name="Normal 59 2 3 3 3" xfId="12707"/>
    <cellStyle name="Normal 59 2 3 3 4" xfId="18939"/>
    <cellStyle name="Normal 59 2 3 4" xfId="6580"/>
    <cellStyle name="Normal 59 2 3 4 2" xfId="12709"/>
    <cellStyle name="Normal 59 2 3 4 3" xfId="18941"/>
    <cellStyle name="Normal 59 2 3 5" xfId="12704"/>
    <cellStyle name="Normal 59 2 3 6" xfId="18936"/>
    <cellStyle name="Normal 59 2 4" xfId="6581"/>
    <cellStyle name="Normal 59 2 4 2" xfId="6582"/>
    <cellStyle name="Normal 59 2 4 2 2" xfId="12711"/>
    <cellStyle name="Normal 59 2 4 2 3" xfId="18943"/>
    <cellStyle name="Normal 59 2 4 3" xfId="12710"/>
    <cellStyle name="Normal 59 2 4 4" xfId="18942"/>
    <cellStyle name="Normal 59 2 5" xfId="6583"/>
    <cellStyle name="Normal 59 2 5 2" xfId="6584"/>
    <cellStyle name="Normal 59 2 5 2 2" xfId="12713"/>
    <cellStyle name="Normal 59 2 5 2 3" xfId="18945"/>
    <cellStyle name="Normal 59 2 5 3" xfId="12712"/>
    <cellStyle name="Normal 59 2 5 4" xfId="18944"/>
    <cellStyle name="Normal 59 2 6" xfId="6585"/>
    <cellStyle name="Normal 59 2 6 2" xfId="12714"/>
    <cellStyle name="Normal 59 2 6 3" xfId="18946"/>
    <cellStyle name="Normal 59 2 7" xfId="12691"/>
    <cellStyle name="Normal 59 2 8" xfId="18923"/>
    <cellStyle name="Normal 59 3" xfId="6586"/>
    <cellStyle name="Normal 59 3 2" xfId="6587"/>
    <cellStyle name="Normal 59 3 2 2" xfId="6588"/>
    <cellStyle name="Normal 59 3 2 2 2" xfId="6589"/>
    <cellStyle name="Normal 59 3 2 2 2 2" xfId="12718"/>
    <cellStyle name="Normal 59 3 2 2 2 3" xfId="18950"/>
    <cellStyle name="Normal 59 3 2 2 3" xfId="12717"/>
    <cellStyle name="Normal 59 3 2 2 4" xfId="18949"/>
    <cellStyle name="Normal 59 3 2 3" xfId="6590"/>
    <cellStyle name="Normal 59 3 2 3 2" xfId="6591"/>
    <cellStyle name="Normal 59 3 2 3 2 2" xfId="12720"/>
    <cellStyle name="Normal 59 3 2 3 2 3" xfId="18952"/>
    <cellStyle name="Normal 59 3 2 3 3" xfId="12719"/>
    <cellStyle name="Normal 59 3 2 3 4" xfId="18951"/>
    <cellStyle name="Normal 59 3 2 4" xfId="6592"/>
    <cellStyle name="Normal 59 3 2 4 2" xfId="12721"/>
    <cellStyle name="Normal 59 3 2 4 3" xfId="18953"/>
    <cellStyle name="Normal 59 3 2 5" xfId="12716"/>
    <cellStyle name="Normal 59 3 2 6" xfId="18948"/>
    <cellStyle name="Normal 59 3 3" xfId="6593"/>
    <cellStyle name="Normal 59 3 3 2" xfId="6594"/>
    <cellStyle name="Normal 59 3 3 2 2" xfId="12723"/>
    <cellStyle name="Normal 59 3 3 2 3" xfId="18955"/>
    <cellStyle name="Normal 59 3 3 3" xfId="12722"/>
    <cellStyle name="Normal 59 3 3 4" xfId="18954"/>
    <cellStyle name="Normal 59 3 4" xfId="6595"/>
    <cellStyle name="Normal 59 3 4 2" xfId="6596"/>
    <cellStyle name="Normal 59 3 4 2 2" xfId="12725"/>
    <cellStyle name="Normal 59 3 4 2 3" xfId="18957"/>
    <cellStyle name="Normal 59 3 4 3" xfId="12724"/>
    <cellStyle name="Normal 59 3 4 4" xfId="18956"/>
    <cellStyle name="Normal 59 3 5" xfId="6597"/>
    <cellStyle name="Normal 59 3 5 2" xfId="12726"/>
    <cellStyle name="Normal 59 3 5 3" xfId="18958"/>
    <cellStyle name="Normal 59 3 6" xfId="12715"/>
    <cellStyle name="Normal 59 3 7" xfId="18947"/>
    <cellStyle name="Normal 59 4" xfId="6598"/>
    <cellStyle name="Normal 59 4 2" xfId="6599"/>
    <cellStyle name="Normal 59 4 2 2" xfId="6600"/>
    <cellStyle name="Normal 59 4 2 2 2" xfId="12729"/>
    <cellStyle name="Normal 59 4 2 2 3" xfId="18961"/>
    <cellStyle name="Normal 59 4 2 3" xfId="12728"/>
    <cellStyle name="Normal 59 4 2 4" xfId="18960"/>
    <cellStyle name="Normal 59 4 3" xfId="6601"/>
    <cellStyle name="Normal 59 4 3 2" xfId="6602"/>
    <cellStyle name="Normal 59 4 3 2 2" xfId="12731"/>
    <cellStyle name="Normal 59 4 3 2 3" xfId="18963"/>
    <cellStyle name="Normal 59 4 3 3" xfId="12730"/>
    <cellStyle name="Normal 59 4 3 4" xfId="18962"/>
    <cellStyle name="Normal 59 4 4" xfId="6603"/>
    <cellStyle name="Normal 59 4 4 2" xfId="12732"/>
    <cellStyle name="Normal 59 4 4 3" xfId="18964"/>
    <cellStyle name="Normal 59 4 5" xfId="12727"/>
    <cellStyle name="Normal 59 4 6" xfId="18959"/>
    <cellStyle name="Normal 59 5" xfId="6604"/>
    <cellStyle name="Normal 59 5 2" xfId="6605"/>
    <cellStyle name="Normal 59 5 2 2" xfId="12734"/>
    <cellStyle name="Normal 59 5 2 3" xfId="18966"/>
    <cellStyle name="Normal 59 5 3" xfId="12733"/>
    <cellStyle name="Normal 59 5 4" xfId="18965"/>
    <cellStyle name="Normal 59 6" xfId="6606"/>
    <cellStyle name="Normal 59 6 2" xfId="6607"/>
    <cellStyle name="Normal 59 6 2 2" xfId="12736"/>
    <cellStyle name="Normal 59 6 2 3" xfId="18968"/>
    <cellStyle name="Normal 59 6 3" xfId="12735"/>
    <cellStyle name="Normal 59 6 4" xfId="18967"/>
    <cellStyle name="Normal 59 7" xfId="6608"/>
    <cellStyle name="Normal 59 7 2" xfId="12737"/>
    <cellStyle name="Normal 59 7 3" xfId="18969"/>
    <cellStyle name="Normal 59 8" xfId="6609"/>
    <cellStyle name="Normal 59 8 2" xfId="18970"/>
    <cellStyle name="Normal 59 9" xfId="12690"/>
    <cellStyle name="Normal 6" xfId="12738"/>
    <cellStyle name="Normal 6 10" xfId="6610"/>
    <cellStyle name="Normal 6 10 2" xfId="12739"/>
    <cellStyle name="Normal 6 10 3" xfId="18971"/>
    <cellStyle name="Normal 6 11" xfId="6611"/>
    <cellStyle name="Normal 6 11 2" xfId="18972"/>
    <cellStyle name="Normal 6 2" xfId="6612"/>
    <cellStyle name="Normal 6 2 10" xfId="12740"/>
    <cellStyle name="Normal 6 2 11" xfId="18973"/>
    <cellStyle name="Normal 6 2 2" xfId="6613"/>
    <cellStyle name="Normal 6 2 2 10" xfId="18974"/>
    <cellStyle name="Normal 6 2 2 2" xfId="6614"/>
    <cellStyle name="Normal 6 2 2 2 2" xfId="6615"/>
    <cellStyle name="Normal 6 2 2 2 2 2" xfId="6616"/>
    <cellStyle name="Normal 6 2 2 2 2 2 2" xfId="6617"/>
    <cellStyle name="Normal 6 2 2 2 2 2 2 2" xfId="6618"/>
    <cellStyle name="Normal 6 2 2 2 2 2 2 2 2" xfId="12746"/>
    <cellStyle name="Normal 6 2 2 2 2 2 2 2 3" xfId="18979"/>
    <cellStyle name="Normal 6 2 2 2 2 2 2 3" xfId="12745"/>
    <cellStyle name="Normal 6 2 2 2 2 2 2 4" xfId="18978"/>
    <cellStyle name="Normal 6 2 2 2 2 2 3" xfId="6619"/>
    <cellStyle name="Normal 6 2 2 2 2 2 3 2" xfId="6620"/>
    <cellStyle name="Normal 6 2 2 2 2 2 3 2 2" xfId="12748"/>
    <cellStyle name="Normal 6 2 2 2 2 2 3 2 3" xfId="18981"/>
    <cellStyle name="Normal 6 2 2 2 2 2 3 3" xfId="12747"/>
    <cellStyle name="Normal 6 2 2 2 2 2 3 4" xfId="18980"/>
    <cellStyle name="Normal 6 2 2 2 2 2 4" xfId="6621"/>
    <cellStyle name="Normal 6 2 2 2 2 2 4 2" xfId="12749"/>
    <cellStyle name="Normal 6 2 2 2 2 2 4 3" xfId="18982"/>
    <cellStyle name="Normal 6 2 2 2 2 2 5" xfId="12744"/>
    <cellStyle name="Normal 6 2 2 2 2 2 6" xfId="18977"/>
    <cellStyle name="Normal 6 2 2 2 2 3" xfId="6622"/>
    <cellStyle name="Normal 6 2 2 2 2 3 2" xfId="6623"/>
    <cellStyle name="Normal 6 2 2 2 2 3 2 2" xfId="12751"/>
    <cellStyle name="Normal 6 2 2 2 2 3 2 3" xfId="18984"/>
    <cellStyle name="Normal 6 2 2 2 2 3 3" xfId="12750"/>
    <cellStyle name="Normal 6 2 2 2 2 3 4" xfId="18983"/>
    <cellStyle name="Normal 6 2 2 2 2 4" xfId="6624"/>
    <cellStyle name="Normal 6 2 2 2 2 4 2" xfId="6625"/>
    <cellStyle name="Normal 6 2 2 2 2 4 2 2" xfId="12753"/>
    <cellStyle name="Normal 6 2 2 2 2 4 2 3" xfId="18986"/>
    <cellStyle name="Normal 6 2 2 2 2 4 3" xfId="12752"/>
    <cellStyle name="Normal 6 2 2 2 2 4 4" xfId="18985"/>
    <cellStyle name="Normal 6 2 2 2 2 5" xfId="6626"/>
    <cellStyle name="Normal 6 2 2 2 2 5 2" xfId="12754"/>
    <cellStyle name="Normal 6 2 2 2 2 5 3" xfId="18987"/>
    <cellStyle name="Normal 6 2 2 2 2 6" xfId="12743"/>
    <cellStyle name="Normal 6 2 2 2 2 7" xfId="18976"/>
    <cellStyle name="Normal 6 2 2 2 3" xfId="6627"/>
    <cellStyle name="Normal 6 2 2 2 3 2" xfId="6628"/>
    <cellStyle name="Normal 6 2 2 2 3 2 2" xfId="6629"/>
    <cellStyle name="Normal 6 2 2 2 3 2 2 2" xfId="12757"/>
    <cellStyle name="Normal 6 2 2 2 3 2 2 3" xfId="18990"/>
    <cellStyle name="Normal 6 2 2 2 3 2 3" xfId="12756"/>
    <cellStyle name="Normal 6 2 2 2 3 2 4" xfId="18989"/>
    <cellStyle name="Normal 6 2 2 2 3 3" xfId="6630"/>
    <cellStyle name="Normal 6 2 2 2 3 3 2" xfId="6631"/>
    <cellStyle name="Normal 6 2 2 2 3 3 2 2" xfId="12759"/>
    <cellStyle name="Normal 6 2 2 2 3 3 2 3" xfId="18992"/>
    <cellStyle name="Normal 6 2 2 2 3 3 3" xfId="12758"/>
    <cellStyle name="Normal 6 2 2 2 3 3 4" xfId="18991"/>
    <cellStyle name="Normal 6 2 2 2 3 4" xfId="6632"/>
    <cellStyle name="Normal 6 2 2 2 3 4 2" xfId="12760"/>
    <cellStyle name="Normal 6 2 2 2 3 4 3" xfId="18993"/>
    <cellStyle name="Normal 6 2 2 2 3 5" xfId="12755"/>
    <cellStyle name="Normal 6 2 2 2 3 6" xfId="18988"/>
    <cellStyle name="Normal 6 2 2 2 4" xfId="6633"/>
    <cellStyle name="Normal 6 2 2 2 4 2" xfId="6634"/>
    <cellStyle name="Normal 6 2 2 2 4 2 2" xfId="12762"/>
    <cellStyle name="Normal 6 2 2 2 4 2 3" xfId="18995"/>
    <cellStyle name="Normal 6 2 2 2 4 3" xfId="12761"/>
    <cellStyle name="Normal 6 2 2 2 4 4" xfId="18994"/>
    <cellStyle name="Normal 6 2 2 2 5" xfId="6635"/>
    <cellStyle name="Normal 6 2 2 2 5 2" xfId="6636"/>
    <cellStyle name="Normal 6 2 2 2 5 2 2" xfId="12764"/>
    <cellStyle name="Normal 6 2 2 2 5 2 3" xfId="18997"/>
    <cellStyle name="Normal 6 2 2 2 5 3" xfId="12763"/>
    <cellStyle name="Normal 6 2 2 2 5 4" xfId="18996"/>
    <cellStyle name="Normal 6 2 2 2 6" xfId="6637"/>
    <cellStyle name="Normal 6 2 2 2 6 2" xfId="12765"/>
    <cellStyle name="Normal 6 2 2 2 6 3" xfId="18998"/>
    <cellStyle name="Normal 6 2 2 2 7" xfId="12742"/>
    <cellStyle name="Normal 6 2 2 2 8" xfId="18975"/>
    <cellStyle name="Normal 6 2 2 3" xfId="6638"/>
    <cellStyle name="Normal 6 2 2 3 2" xfId="6639"/>
    <cellStyle name="Normal 6 2 2 3 2 2" xfId="6640"/>
    <cellStyle name="Normal 6 2 2 3 2 2 2" xfId="6641"/>
    <cellStyle name="Normal 6 2 2 3 2 2 2 2" xfId="12769"/>
    <cellStyle name="Normal 6 2 2 3 2 2 2 3" xfId="19002"/>
    <cellStyle name="Normal 6 2 2 3 2 2 3" xfId="12768"/>
    <cellStyle name="Normal 6 2 2 3 2 2 4" xfId="19001"/>
    <cellStyle name="Normal 6 2 2 3 2 3" xfId="6642"/>
    <cellStyle name="Normal 6 2 2 3 2 3 2" xfId="6643"/>
    <cellStyle name="Normal 6 2 2 3 2 3 2 2" xfId="12771"/>
    <cellStyle name="Normal 6 2 2 3 2 3 2 3" xfId="19004"/>
    <cellStyle name="Normal 6 2 2 3 2 3 3" xfId="12770"/>
    <cellStyle name="Normal 6 2 2 3 2 3 4" xfId="19003"/>
    <cellStyle name="Normal 6 2 2 3 2 4" xfId="6644"/>
    <cellStyle name="Normal 6 2 2 3 2 4 2" xfId="12772"/>
    <cellStyle name="Normal 6 2 2 3 2 4 3" xfId="19005"/>
    <cellStyle name="Normal 6 2 2 3 2 5" xfId="12767"/>
    <cellStyle name="Normal 6 2 2 3 2 6" xfId="19000"/>
    <cellStyle name="Normal 6 2 2 3 3" xfId="6645"/>
    <cellStyle name="Normal 6 2 2 3 3 2" xfId="6646"/>
    <cellStyle name="Normal 6 2 2 3 3 2 2" xfId="12774"/>
    <cellStyle name="Normal 6 2 2 3 3 2 3" xfId="19007"/>
    <cellStyle name="Normal 6 2 2 3 3 3" xfId="12773"/>
    <cellStyle name="Normal 6 2 2 3 3 4" xfId="19006"/>
    <cellStyle name="Normal 6 2 2 3 4" xfId="6647"/>
    <cellStyle name="Normal 6 2 2 3 4 2" xfId="6648"/>
    <cellStyle name="Normal 6 2 2 3 4 2 2" xfId="12776"/>
    <cellStyle name="Normal 6 2 2 3 4 2 3" xfId="19009"/>
    <cellStyle name="Normal 6 2 2 3 4 3" xfId="12775"/>
    <cellStyle name="Normal 6 2 2 3 4 4" xfId="19008"/>
    <cellStyle name="Normal 6 2 2 3 5" xfId="6649"/>
    <cellStyle name="Normal 6 2 2 3 5 2" xfId="12777"/>
    <cellStyle name="Normal 6 2 2 3 5 3" xfId="19010"/>
    <cellStyle name="Normal 6 2 2 3 6" xfId="12766"/>
    <cellStyle name="Normal 6 2 2 3 7" xfId="18999"/>
    <cellStyle name="Normal 6 2 2 4" xfId="6650"/>
    <cellStyle name="Normal 6 2 2 4 2" xfId="6651"/>
    <cellStyle name="Normal 6 2 2 4 2 2" xfId="6652"/>
    <cellStyle name="Normal 6 2 2 4 2 2 2" xfId="12780"/>
    <cellStyle name="Normal 6 2 2 4 2 2 3" xfId="19013"/>
    <cellStyle name="Normal 6 2 2 4 2 3" xfId="12779"/>
    <cellStyle name="Normal 6 2 2 4 2 4" xfId="19012"/>
    <cellStyle name="Normal 6 2 2 4 3" xfId="6653"/>
    <cellStyle name="Normal 6 2 2 4 3 2" xfId="6654"/>
    <cellStyle name="Normal 6 2 2 4 3 2 2" xfId="12782"/>
    <cellStyle name="Normal 6 2 2 4 3 2 3" xfId="19015"/>
    <cellStyle name="Normal 6 2 2 4 3 3" xfId="12781"/>
    <cellStyle name="Normal 6 2 2 4 3 4" xfId="19014"/>
    <cellStyle name="Normal 6 2 2 4 4" xfId="6655"/>
    <cellStyle name="Normal 6 2 2 4 4 2" xfId="12783"/>
    <cellStyle name="Normal 6 2 2 4 4 3" xfId="19016"/>
    <cellStyle name="Normal 6 2 2 4 5" xfId="12778"/>
    <cellStyle name="Normal 6 2 2 4 6" xfId="19011"/>
    <cellStyle name="Normal 6 2 2 5" xfId="6656"/>
    <cellStyle name="Normal 6 2 2 5 2" xfId="6657"/>
    <cellStyle name="Normal 6 2 2 5 2 2" xfId="12785"/>
    <cellStyle name="Normal 6 2 2 5 2 3" xfId="19018"/>
    <cellStyle name="Normal 6 2 2 5 3" xfId="12784"/>
    <cellStyle name="Normal 6 2 2 5 4" xfId="19017"/>
    <cellStyle name="Normal 6 2 2 6" xfId="6658"/>
    <cellStyle name="Normal 6 2 2 6 2" xfId="6659"/>
    <cellStyle name="Normal 6 2 2 6 2 2" xfId="12787"/>
    <cellStyle name="Normal 6 2 2 6 2 3" xfId="19020"/>
    <cellStyle name="Normal 6 2 2 6 3" xfId="12786"/>
    <cellStyle name="Normal 6 2 2 6 4" xfId="19019"/>
    <cellStyle name="Normal 6 2 2 7" xfId="6660"/>
    <cellStyle name="Normal 6 2 2 7 2" xfId="12788"/>
    <cellStyle name="Normal 6 2 2 7 3" xfId="19021"/>
    <cellStyle name="Normal 6 2 2 8" xfId="6661"/>
    <cellStyle name="Normal 6 2 2 8 2" xfId="19022"/>
    <cellStyle name="Normal 6 2 2 9" xfId="12741"/>
    <cellStyle name="Normal 6 2 3" xfId="6662"/>
    <cellStyle name="Normal 6 2 3 2" xfId="6663"/>
    <cellStyle name="Normal 6 2 3 2 2" xfId="6664"/>
    <cellStyle name="Normal 6 2 3 2 2 2" xfId="6665"/>
    <cellStyle name="Normal 6 2 3 2 2 2 2" xfId="6666"/>
    <cellStyle name="Normal 6 2 3 2 2 2 2 2" xfId="12793"/>
    <cellStyle name="Normal 6 2 3 2 2 2 2 3" xfId="19027"/>
    <cellStyle name="Normal 6 2 3 2 2 2 3" xfId="12792"/>
    <cellStyle name="Normal 6 2 3 2 2 2 4" xfId="19026"/>
    <cellStyle name="Normal 6 2 3 2 2 3" xfId="6667"/>
    <cellStyle name="Normal 6 2 3 2 2 3 2" xfId="6668"/>
    <cellStyle name="Normal 6 2 3 2 2 3 2 2" xfId="12795"/>
    <cellStyle name="Normal 6 2 3 2 2 3 2 3" xfId="19029"/>
    <cellStyle name="Normal 6 2 3 2 2 3 3" xfId="12794"/>
    <cellStyle name="Normal 6 2 3 2 2 3 4" xfId="19028"/>
    <cellStyle name="Normal 6 2 3 2 2 4" xfId="6669"/>
    <cellStyle name="Normal 6 2 3 2 2 4 2" xfId="12796"/>
    <cellStyle name="Normal 6 2 3 2 2 4 3" xfId="19030"/>
    <cellStyle name="Normal 6 2 3 2 2 5" xfId="12791"/>
    <cellStyle name="Normal 6 2 3 2 2 6" xfId="19025"/>
    <cellStyle name="Normal 6 2 3 2 3" xfId="6670"/>
    <cellStyle name="Normal 6 2 3 2 3 2" xfId="6671"/>
    <cellStyle name="Normal 6 2 3 2 3 2 2" xfId="12798"/>
    <cellStyle name="Normal 6 2 3 2 3 2 3" xfId="19032"/>
    <cellStyle name="Normal 6 2 3 2 3 3" xfId="12797"/>
    <cellStyle name="Normal 6 2 3 2 3 4" xfId="19031"/>
    <cellStyle name="Normal 6 2 3 2 4" xfId="6672"/>
    <cellStyle name="Normal 6 2 3 2 4 2" xfId="6673"/>
    <cellStyle name="Normal 6 2 3 2 4 2 2" xfId="12800"/>
    <cellStyle name="Normal 6 2 3 2 4 2 3" xfId="19034"/>
    <cellStyle name="Normal 6 2 3 2 4 3" xfId="12799"/>
    <cellStyle name="Normal 6 2 3 2 4 4" xfId="19033"/>
    <cellStyle name="Normal 6 2 3 2 5" xfId="6674"/>
    <cellStyle name="Normal 6 2 3 2 5 2" xfId="12801"/>
    <cellStyle name="Normal 6 2 3 2 5 3" xfId="19035"/>
    <cellStyle name="Normal 6 2 3 2 6" xfId="12790"/>
    <cellStyle name="Normal 6 2 3 2 7" xfId="19024"/>
    <cellStyle name="Normal 6 2 3 3" xfId="6675"/>
    <cellStyle name="Normal 6 2 3 3 2" xfId="6676"/>
    <cellStyle name="Normal 6 2 3 3 2 2" xfId="6677"/>
    <cellStyle name="Normal 6 2 3 3 2 2 2" xfId="12804"/>
    <cellStyle name="Normal 6 2 3 3 2 2 3" xfId="19038"/>
    <cellStyle name="Normal 6 2 3 3 2 3" xfId="12803"/>
    <cellStyle name="Normal 6 2 3 3 2 4" xfId="19037"/>
    <cellStyle name="Normal 6 2 3 3 3" xfId="6678"/>
    <cellStyle name="Normal 6 2 3 3 3 2" xfId="6679"/>
    <cellStyle name="Normal 6 2 3 3 3 2 2" xfId="12806"/>
    <cellStyle name="Normal 6 2 3 3 3 2 3" xfId="19040"/>
    <cellStyle name="Normal 6 2 3 3 3 3" xfId="12805"/>
    <cellStyle name="Normal 6 2 3 3 3 4" xfId="19039"/>
    <cellStyle name="Normal 6 2 3 3 4" xfId="6680"/>
    <cellStyle name="Normal 6 2 3 3 4 2" xfId="12807"/>
    <cellStyle name="Normal 6 2 3 3 4 3" xfId="19041"/>
    <cellStyle name="Normal 6 2 3 3 5" xfId="12802"/>
    <cellStyle name="Normal 6 2 3 3 6" xfId="19036"/>
    <cellStyle name="Normal 6 2 3 4" xfId="6681"/>
    <cellStyle name="Normal 6 2 3 4 2" xfId="6682"/>
    <cellStyle name="Normal 6 2 3 4 2 2" xfId="12809"/>
    <cellStyle name="Normal 6 2 3 4 2 3" xfId="19043"/>
    <cellStyle name="Normal 6 2 3 4 3" xfId="12808"/>
    <cellStyle name="Normal 6 2 3 4 4" xfId="19042"/>
    <cellStyle name="Normal 6 2 3 5" xfId="6683"/>
    <cellStyle name="Normal 6 2 3 5 2" xfId="6684"/>
    <cellStyle name="Normal 6 2 3 5 2 2" xfId="12811"/>
    <cellStyle name="Normal 6 2 3 5 2 3" xfId="19045"/>
    <cellStyle name="Normal 6 2 3 5 3" xfId="12810"/>
    <cellStyle name="Normal 6 2 3 5 4" xfId="19044"/>
    <cellStyle name="Normal 6 2 3 6" xfId="6685"/>
    <cellStyle name="Normal 6 2 3 6 2" xfId="12812"/>
    <cellStyle name="Normal 6 2 3 6 3" xfId="19046"/>
    <cellStyle name="Normal 6 2 3 7" xfId="12789"/>
    <cellStyle name="Normal 6 2 3 8" xfId="19023"/>
    <cellStyle name="Normal 6 2 4" xfId="6686"/>
    <cellStyle name="Normal 6 2 4 2" xfId="6687"/>
    <cellStyle name="Normal 6 2 4 2 2" xfId="6688"/>
    <cellStyle name="Normal 6 2 4 2 2 2" xfId="6689"/>
    <cellStyle name="Normal 6 2 4 2 2 2 2" xfId="12816"/>
    <cellStyle name="Normal 6 2 4 2 2 2 3" xfId="19050"/>
    <cellStyle name="Normal 6 2 4 2 2 3" xfId="12815"/>
    <cellStyle name="Normal 6 2 4 2 2 4" xfId="19049"/>
    <cellStyle name="Normal 6 2 4 2 3" xfId="6690"/>
    <cellStyle name="Normal 6 2 4 2 3 2" xfId="6691"/>
    <cellStyle name="Normal 6 2 4 2 3 2 2" xfId="12818"/>
    <cellStyle name="Normal 6 2 4 2 3 2 3" xfId="19052"/>
    <cellStyle name="Normal 6 2 4 2 3 3" xfId="12817"/>
    <cellStyle name="Normal 6 2 4 2 3 4" xfId="19051"/>
    <cellStyle name="Normal 6 2 4 2 4" xfId="6692"/>
    <cellStyle name="Normal 6 2 4 2 4 2" xfId="12819"/>
    <cellStyle name="Normal 6 2 4 2 4 3" xfId="19053"/>
    <cellStyle name="Normal 6 2 4 2 5" xfId="12814"/>
    <cellStyle name="Normal 6 2 4 2 6" xfId="19048"/>
    <cellStyle name="Normal 6 2 4 3" xfId="6693"/>
    <cellStyle name="Normal 6 2 4 3 2" xfId="6694"/>
    <cellStyle name="Normal 6 2 4 3 2 2" xfId="12821"/>
    <cellStyle name="Normal 6 2 4 3 2 3" xfId="19055"/>
    <cellStyle name="Normal 6 2 4 3 3" xfId="12820"/>
    <cellStyle name="Normal 6 2 4 3 4" xfId="19054"/>
    <cellStyle name="Normal 6 2 4 4" xfId="6695"/>
    <cellStyle name="Normal 6 2 4 4 2" xfId="6696"/>
    <cellStyle name="Normal 6 2 4 4 2 2" xfId="12823"/>
    <cellStyle name="Normal 6 2 4 4 2 3" xfId="19057"/>
    <cellStyle name="Normal 6 2 4 4 3" xfId="12822"/>
    <cellStyle name="Normal 6 2 4 4 4" xfId="19056"/>
    <cellStyle name="Normal 6 2 4 5" xfId="6697"/>
    <cellStyle name="Normal 6 2 4 5 2" xfId="12824"/>
    <cellStyle name="Normal 6 2 4 5 3" xfId="19058"/>
    <cellStyle name="Normal 6 2 4 6" xfId="12813"/>
    <cellStyle name="Normal 6 2 4 7" xfId="19047"/>
    <cellStyle name="Normal 6 2 5" xfId="6698"/>
    <cellStyle name="Normal 6 2 5 2" xfId="6699"/>
    <cellStyle name="Normal 6 2 5 2 2" xfId="6700"/>
    <cellStyle name="Normal 6 2 5 2 2 2" xfId="12827"/>
    <cellStyle name="Normal 6 2 5 2 2 3" xfId="19061"/>
    <cellStyle name="Normal 6 2 5 2 3" xfId="12826"/>
    <cellStyle name="Normal 6 2 5 2 4" xfId="19060"/>
    <cellStyle name="Normal 6 2 5 3" xfId="6701"/>
    <cellStyle name="Normal 6 2 5 3 2" xfId="6702"/>
    <cellStyle name="Normal 6 2 5 3 2 2" xfId="12829"/>
    <cellStyle name="Normal 6 2 5 3 2 3" xfId="19063"/>
    <cellStyle name="Normal 6 2 5 3 3" xfId="12828"/>
    <cellStyle name="Normal 6 2 5 3 4" xfId="19062"/>
    <cellStyle name="Normal 6 2 5 4" xfId="6703"/>
    <cellStyle name="Normal 6 2 5 4 2" xfId="12830"/>
    <cellStyle name="Normal 6 2 5 4 3" xfId="19064"/>
    <cellStyle name="Normal 6 2 5 5" xfId="12825"/>
    <cellStyle name="Normal 6 2 5 6" xfId="19059"/>
    <cellStyle name="Normal 6 2 6" xfId="6704"/>
    <cellStyle name="Normal 6 2 6 2" xfId="6705"/>
    <cellStyle name="Normal 6 2 6 2 2" xfId="12832"/>
    <cellStyle name="Normal 6 2 6 2 3" xfId="19066"/>
    <cellStyle name="Normal 6 2 6 3" xfId="12831"/>
    <cellStyle name="Normal 6 2 6 4" xfId="19065"/>
    <cellStyle name="Normal 6 2 7" xfId="6706"/>
    <cellStyle name="Normal 6 2 7 2" xfId="6707"/>
    <cellStyle name="Normal 6 2 7 2 2" xfId="12834"/>
    <cellStyle name="Normal 6 2 7 2 3" xfId="19068"/>
    <cellStyle name="Normal 6 2 7 3" xfId="12833"/>
    <cellStyle name="Normal 6 2 7 4" xfId="19067"/>
    <cellStyle name="Normal 6 2 8" xfId="6708"/>
    <cellStyle name="Normal 6 2 8 2" xfId="12835"/>
    <cellStyle name="Normal 6 2 8 3" xfId="19069"/>
    <cellStyle name="Normal 6 2 9" xfId="6709"/>
    <cellStyle name="Normal 6 2 9 2" xfId="19070"/>
    <cellStyle name="Normal 6 3" xfId="6710"/>
    <cellStyle name="Normal 6 3 10" xfId="12836"/>
    <cellStyle name="Normal 6 3 11" xfId="19071"/>
    <cellStyle name="Normal 6 3 2" xfId="6711"/>
    <cellStyle name="Normal 6 3 2 2" xfId="6712"/>
    <cellStyle name="Normal 6 3 2 2 2" xfId="6713"/>
    <cellStyle name="Normal 6 3 2 2 2 2" xfId="6714"/>
    <cellStyle name="Normal 6 3 2 2 2 2 2" xfId="6715"/>
    <cellStyle name="Normal 6 3 2 2 2 2 2 2" xfId="12841"/>
    <cellStyle name="Normal 6 3 2 2 2 2 2 3" xfId="19076"/>
    <cellStyle name="Normal 6 3 2 2 2 2 3" xfId="12840"/>
    <cellStyle name="Normal 6 3 2 2 2 2 4" xfId="19075"/>
    <cellStyle name="Normal 6 3 2 2 2 3" xfId="6716"/>
    <cellStyle name="Normal 6 3 2 2 2 3 2" xfId="6717"/>
    <cellStyle name="Normal 6 3 2 2 2 3 2 2" xfId="12843"/>
    <cellStyle name="Normal 6 3 2 2 2 3 2 3" xfId="19078"/>
    <cellStyle name="Normal 6 3 2 2 2 3 3" xfId="12842"/>
    <cellStyle name="Normal 6 3 2 2 2 3 4" xfId="19077"/>
    <cellStyle name="Normal 6 3 2 2 2 4" xfId="6718"/>
    <cellStyle name="Normal 6 3 2 2 2 4 2" xfId="12844"/>
    <cellStyle name="Normal 6 3 2 2 2 4 3" xfId="19079"/>
    <cellStyle name="Normal 6 3 2 2 2 5" xfId="12839"/>
    <cellStyle name="Normal 6 3 2 2 2 6" xfId="19074"/>
    <cellStyle name="Normal 6 3 2 2 3" xfId="6719"/>
    <cellStyle name="Normal 6 3 2 2 3 2" xfId="6720"/>
    <cellStyle name="Normal 6 3 2 2 3 2 2" xfId="12846"/>
    <cellStyle name="Normal 6 3 2 2 3 2 3" xfId="19081"/>
    <cellStyle name="Normal 6 3 2 2 3 3" xfId="12845"/>
    <cellStyle name="Normal 6 3 2 2 3 4" xfId="19080"/>
    <cellStyle name="Normal 6 3 2 2 4" xfId="6721"/>
    <cellStyle name="Normal 6 3 2 2 4 2" xfId="6722"/>
    <cellStyle name="Normal 6 3 2 2 4 2 2" xfId="12848"/>
    <cellStyle name="Normal 6 3 2 2 4 2 3" xfId="19083"/>
    <cellStyle name="Normal 6 3 2 2 4 3" xfId="12847"/>
    <cellStyle name="Normal 6 3 2 2 4 4" xfId="19082"/>
    <cellStyle name="Normal 6 3 2 2 5" xfId="6723"/>
    <cellStyle name="Normal 6 3 2 2 5 2" xfId="12849"/>
    <cellStyle name="Normal 6 3 2 2 5 3" xfId="19084"/>
    <cellStyle name="Normal 6 3 2 2 6" xfId="12838"/>
    <cellStyle name="Normal 6 3 2 2 7" xfId="19073"/>
    <cellStyle name="Normal 6 3 2 3" xfId="6724"/>
    <cellStyle name="Normal 6 3 2 3 2" xfId="6725"/>
    <cellStyle name="Normal 6 3 2 3 2 2" xfId="6726"/>
    <cellStyle name="Normal 6 3 2 3 2 2 2" xfId="12852"/>
    <cellStyle name="Normal 6 3 2 3 2 2 3" xfId="19087"/>
    <cellStyle name="Normal 6 3 2 3 2 3" xfId="12851"/>
    <cellStyle name="Normal 6 3 2 3 2 4" xfId="19086"/>
    <cellStyle name="Normal 6 3 2 3 3" xfId="6727"/>
    <cellStyle name="Normal 6 3 2 3 3 2" xfId="6728"/>
    <cellStyle name="Normal 6 3 2 3 3 2 2" xfId="12854"/>
    <cellStyle name="Normal 6 3 2 3 3 2 3" xfId="19089"/>
    <cellStyle name="Normal 6 3 2 3 3 3" xfId="12853"/>
    <cellStyle name="Normal 6 3 2 3 3 4" xfId="19088"/>
    <cellStyle name="Normal 6 3 2 3 4" xfId="6729"/>
    <cellStyle name="Normal 6 3 2 3 4 2" xfId="12855"/>
    <cellStyle name="Normal 6 3 2 3 4 3" xfId="19090"/>
    <cellStyle name="Normal 6 3 2 3 5" xfId="12850"/>
    <cellStyle name="Normal 6 3 2 3 6" xfId="19085"/>
    <cellStyle name="Normal 6 3 2 4" xfId="6730"/>
    <cellStyle name="Normal 6 3 2 4 2" xfId="6731"/>
    <cellStyle name="Normal 6 3 2 4 2 2" xfId="12857"/>
    <cellStyle name="Normal 6 3 2 4 2 3" xfId="19092"/>
    <cellStyle name="Normal 6 3 2 4 3" xfId="12856"/>
    <cellStyle name="Normal 6 3 2 4 4" xfId="19091"/>
    <cellStyle name="Normal 6 3 2 5" xfId="6732"/>
    <cellStyle name="Normal 6 3 2 5 2" xfId="6733"/>
    <cellStyle name="Normal 6 3 2 5 2 2" xfId="12859"/>
    <cellStyle name="Normal 6 3 2 5 2 3" xfId="19094"/>
    <cellStyle name="Normal 6 3 2 5 3" xfId="12858"/>
    <cellStyle name="Normal 6 3 2 5 4" xfId="19093"/>
    <cellStyle name="Normal 6 3 2 6" xfId="6734"/>
    <cellStyle name="Normal 6 3 2 6 2" xfId="12860"/>
    <cellStyle name="Normal 6 3 2 6 3" xfId="19095"/>
    <cellStyle name="Normal 6 3 2 7" xfId="6735"/>
    <cellStyle name="Normal 6 3 2 7 2" xfId="19096"/>
    <cellStyle name="Normal 6 3 2 8" xfId="12837"/>
    <cellStyle name="Normal 6 3 2 9" xfId="19072"/>
    <cellStyle name="Normal 6 3 3" xfId="6736"/>
    <cellStyle name="Normal 6 3 3 2" xfId="6737"/>
    <cellStyle name="Normal 6 3 3 2 2" xfId="6738"/>
    <cellStyle name="Normal 6 3 3 2 2 2" xfId="6739"/>
    <cellStyle name="Normal 6 3 3 2 2 2 2" xfId="12864"/>
    <cellStyle name="Normal 6 3 3 2 2 2 3" xfId="19100"/>
    <cellStyle name="Normal 6 3 3 2 2 3" xfId="12863"/>
    <cellStyle name="Normal 6 3 3 2 2 4" xfId="19099"/>
    <cellStyle name="Normal 6 3 3 2 3" xfId="6740"/>
    <cellStyle name="Normal 6 3 3 2 3 2" xfId="6741"/>
    <cellStyle name="Normal 6 3 3 2 3 2 2" xfId="12866"/>
    <cellStyle name="Normal 6 3 3 2 3 2 3" xfId="19102"/>
    <cellStyle name="Normal 6 3 3 2 3 3" xfId="12865"/>
    <cellStyle name="Normal 6 3 3 2 3 4" xfId="19101"/>
    <cellStyle name="Normal 6 3 3 2 4" xfId="6742"/>
    <cellStyle name="Normal 6 3 3 2 4 2" xfId="12867"/>
    <cellStyle name="Normal 6 3 3 2 4 3" xfId="19103"/>
    <cellStyle name="Normal 6 3 3 2 5" xfId="12862"/>
    <cellStyle name="Normal 6 3 3 2 6" xfId="19098"/>
    <cellStyle name="Normal 6 3 3 3" xfId="6743"/>
    <cellStyle name="Normal 6 3 3 3 2" xfId="6744"/>
    <cellStyle name="Normal 6 3 3 3 2 2" xfId="12869"/>
    <cellStyle name="Normal 6 3 3 3 2 3" xfId="19105"/>
    <cellStyle name="Normal 6 3 3 3 3" xfId="12868"/>
    <cellStyle name="Normal 6 3 3 3 4" xfId="19104"/>
    <cellStyle name="Normal 6 3 3 4" xfId="6745"/>
    <cellStyle name="Normal 6 3 3 4 2" xfId="6746"/>
    <cellStyle name="Normal 6 3 3 4 2 2" xfId="12871"/>
    <cellStyle name="Normal 6 3 3 4 2 3" xfId="19107"/>
    <cellStyle name="Normal 6 3 3 4 3" xfId="12870"/>
    <cellStyle name="Normal 6 3 3 4 4" xfId="19106"/>
    <cellStyle name="Normal 6 3 3 5" xfId="6747"/>
    <cellStyle name="Normal 6 3 3 5 2" xfId="12872"/>
    <cellStyle name="Normal 6 3 3 5 3" xfId="19108"/>
    <cellStyle name="Normal 6 3 3 6" xfId="12861"/>
    <cellStyle name="Normal 6 3 3 7" xfId="19097"/>
    <cellStyle name="Normal 6 3 4" xfId="6748"/>
    <cellStyle name="Normal 6 3 4 2" xfId="6749"/>
    <cellStyle name="Normal 6 3 4 2 2" xfId="6750"/>
    <cellStyle name="Normal 6 3 4 2 2 2" xfId="12875"/>
    <cellStyle name="Normal 6 3 4 2 2 3" xfId="19111"/>
    <cellStyle name="Normal 6 3 4 2 3" xfId="12874"/>
    <cellStyle name="Normal 6 3 4 2 4" xfId="19110"/>
    <cellStyle name="Normal 6 3 4 3" xfId="6751"/>
    <cellStyle name="Normal 6 3 4 3 2" xfId="6752"/>
    <cellStyle name="Normal 6 3 4 3 2 2" xfId="12877"/>
    <cellStyle name="Normal 6 3 4 3 2 3" xfId="19113"/>
    <cellStyle name="Normal 6 3 4 3 3" xfId="12876"/>
    <cellStyle name="Normal 6 3 4 3 4" xfId="19112"/>
    <cellStyle name="Normal 6 3 4 4" xfId="6753"/>
    <cellStyle name="Normal 6 3 4 4 2" xfId="12878"/>
    <cellStyle name="Normal 6 3 4 4 3" xfId="19114"/>
    <cellStyle name="Normal 6 3 4 5" xfId="12873"/>
    <cellStyle name="Normal 6 3 4 6" xfId="19109"/>
    <cellStyle name="Normal 6 3 5" xfId="6754"/>
    <cellStyle name="Normal 6 3 5 2" xfId="6755"/>
    <cellStyle name="Normal 6 3 5 2 2" xfId="12880"/>
    <cellStyle name="Normal 6 3 5 2 3" xfId="19116"/>
    <cellStyle name="Normal 6 3 5 3" xfId="12879"/>
    <cellStyle name="Normal 6 3 5 4" xfId="19115"/>
    <cellStyle name="Normal 6 3 6" xfId="6756"/>
    <cellStyle name="Normal 6 3 6 2" xfId="6757"/>
    <cellStyle name="Normal 6 3 6 2 2" xfId="12882"/>
    <cellStyle name="Normal 6 3 6 2 3" xfId="19118"/>
    <cellStyle name="Normal 6 3 6 3" xfId="12881"/>
    <cellStyle name="Normal 6 3 6 4" xfId="19117"/>
    <cellStyle name="Normal 6 3 7" xfId="6758"/>
    <cellStyle name="Normal 6 3 7 2" xfId="12883"/>
    <cellStyle name="Normal 6 3 7 3" xfId="19119"/>
    <cellStyle name="Normal 6 3 8" xfId="6759"/>
    <cellStyle name="Normal 6 3 8 2" xfId="12884"/>
    <cellStyle name="Normal 6 3 8 3" xfId="19120"/>
    <cellStyle name="Normal 6 3 9" xfId="6760"/>
    <cellStyle name="Normal 6 3 9 2" xfId="19121"/>
    <cellStyle name="Normal 6 4" xfId="6761"/>
    <cellStyle name="Normal 6 4 10" xfId="19122"/>
    <cellStyle name="Normal 6 4 2" xfId="6762"/>
    <cellStyle name="Normal 6 4 2 2" xfId="6763"/>
    <cellStyle name="Normal 6 4 2 2 2" xfId="6764"/>
    <cellStyle name="Normal 6 4 2 2 2 2" xfId="6765"/>
    <cellStyle name="Normal 6 4 2 2 2 2 2" xfId="6766"/>
    <cellStyle name="Normal 6 4 2 2 2 2 2 2" xfId="12890"/>
    <cellStyle name="Normal 6 4 2 2 2 2 2 3" xfId="19127"/>
    <cellStyle name="Normal 6 4 2 2 2 2 3" xfId="12889"/>
    <cellStyle name="Normal 6 4 2 2 2 2 4" xfId="19126"/>
    <cellStyle name="Normal 6 4 2 2 2 3" xfId="6767"/>
    <cellStyle name="Normal 6 4 2 2 2 3 2" xfId="6768"/>
    <cellStyle name="Normal 6 4 2 2 2 3 2 2" xfId="12892"/>
    <cellStyle name="Normal 6 4 2 2 2 3 2 3" xfId="19129"/>
    <cellStyle name="Normal 6 4 2 2 2 3 3" xfId="12891"/>
    <cellStyle name="Normal 6 4 2 2 2 3 4" xfId="19128"/>
    <cellStyle name="Normal 6 4 2 2 2 4" xfId="6769"/>
    <cellStyle name="Normal 6 4 2 2 2 4 2" xfId="12893"/>
    <cellStyle name="Normal 6 4 2 2 2 4 3" xfId="19130"/>
    <cellStyle name="Normal 6 4 2 2 2 5" xfId="12888"/>
    <cellStyle name="Normal 6 4 2 2 2 6" xfId="19125"/>
    <cellStyle name="Normal 6 4 2 2 3" xfId="6770"/>
    <cellStyle name="Normal 6 4 2 2 3 2" xfId="6771"/>
    <cellStyle name="Normal 6 4 2 2 3 2 2" xfId="12895"/>
    <cellStyle name="Normal 6 4 2 2 3 2 3" xfId="19132"/>
    <cellStyle name="Normal 6 4 2 2 3 3" xfId="12894"/>
    <cellStyle name="Normal 6 4 2 2 3 4" xfId="19131"/>
    <cellStyle name="Normal 6 4 2 2 4" xfId="6772"/>
    <cellStyle name="Normal 6 4 2 2 4 2" xfId="6773"/>
    <cellStyle name="Normal 6 4 2 2 4 2 2" xfId="12897"/>
    <cellStyle name="Normal 6 4 2 2 4 2 3" xfId="19134"/>
    <cellStyle name="Normal 6 4 2 2 4 3" xfId="12896"/>
    <cellStyle name="Normal 6 4 2 2 4 4" xfId="19133"/>
    <cellStyle name="Normal 6 4 2 2 5" xfId="6774"/>
    <cellStyle name="Normal 6 4 2 2 5 2" xfId="12898"/>
    <cellStyle name="Normal 6 4 2 2 5 3" xfId="19135"/>
    <cellStyle name="Normal 6 4 2 2 6" xfId="12887"/>
    <cellStyle name="Normal 6 4 2 2 7" xfId="19124"/>
    <cellStyle name="Normal 6 4 2 3" xfId="6775"/>
    <cellStyle name="Normal 6 4 2 3 2" xfId="6776"/>
    <cellStyle name="Normal 6 4 2 3 2 2" xfId="6777"/>
    <cellStyle name="Normal 6 4 2 3 2 2 2" xfId="12901"/>
    <cellStyle name="Normal 6 4 2 3 2 2 3" xfId="19138"/>
    <cellStyle name="Normal 6 4 2 3 2 3" xfId="12900"/>
    <cellStyle name="Normal 6 4 2 3 2 4" xfId="19137"/>
    <cellStyle name="Normal 6 4 2 3 3" xfId="6778"/>
    <cellStyle name="Normal 6 4 2 3 3 2" xfId="6779"/>
    <cellStyle name="Normal 6 4 2 3 3 2 2" xfId="12903"/>
    <cellStyle name="Normal 6 4 2 3 3 2 3" xfId="19140"/>
    <cellStyle name="Normal 6 4 2 3 3 3" xfId="12902"/>
    <cellStyle name="Normal 6 4 2 3 3 4" xfId="19139"/>
    <cellStyle name="Normal 6 4 2 3 4" xfId="6780"/>
    <cellStyle name="Normal 6 4 2 3 4 2" xfId="12904"/>
    <cellStyle name="Normal 6 4 2 3 4 3" xfId="19141"/>
    <cellStyle name="Normal 6 4 2 3 5" xfId="12899"/>
    <cellStyle name="Normal 6 4 2 3 6" xfId="19136"/>
    <cellStyle name="Normal 6 4 2 4" xfId="6781"/>
    <cellStyle name="Normal 6 4 2 4 2" xfId="6782"/>
    <cellStyle name="Normal 6 4 2 4 2 2" xfId="12906"/>
    <cellStyle name="Normal 6 4 2 4 2 3" xfId="19143"/>
    <cellStyle name="Normal 6 4 2 4 3" xfId="12905"/>
    <cellStyle name="Normal 6 4 2 4 4" xfId="19142"/>
    <cellStyle name="Normal 6 4 2 5" xfId="6783"/>
    <cellStyle name="Normal 6 4 2 5 2" xfId="6784"/>
    <cellStyle name="Normal 6 4 2 5 2 2" xfId="12908"/>
    <cellStyle name="Normal 6 4 2 5 2 3" xfId="19145"/>
    <cellStyle name="Normal 6 4 2 5 3" xfId="12907"/>
    <cellStyle name="Normal 6 4 2 5 4" xfId="19144"/>
    <cellStyle name="Normal 6 4 2 6" xfId="6785"/>
    <cellStyle name="Normal 6 4 2 6 2" xfId="12909"/>
    <cellStyle name="Normal 6 4 2 6 3" xfId="19146"/>
    <cellStyle name="Normal 6 4 2 7" xfId="12886"/>
    <cellStyle name="Normal 6 4 2 8" xfId="19123"/>
    <cellStyle name="Normal 6 4 3" xfId="6786"/>
    <cellStyle name="Normal 6 4 3 2" xfId="6787"/>
    <cellStyle name="Normal 6 4 3 2 2" xfId="6788"/>
    <cellStyle name="Normal 6 4 3 2 2 2" xfId="6789"/>
    <cellStyle name="Normal 6 4 3 2 2 2 2" xfId="12913"/>
    <cellStyle name="Normal 6 4 3 2 2 2 3" xfId="19150"/>
    <cellStyle name="Normal 6 4 3 2 2 3" xfId="12912"/>
    <cellStyle name="Normal 6 4 3 2 2 4" xfId="19149"/>
    <cellStyle name="Normal 6 4 3 2 3" xfId="6790"/>
    <cellStyle name="Normal 6 4 3 2 3 2" xfId="6791"/>
    <cellStyle name="Normal 6 4 3 2 3 2 2" xfId="12915"/>
    <cellStyle name="Normal 6 4 3 2 3 2 3" xfId="19152"/>
    <cellStyle name="Normal 6 4 3 2 3 3" xfId="12914"/>
    <cellStyle name="Normal 6 4 3 2 3 4" xfId="19151"/>
    <cellStyle name="Normal 6 4 3 2 4" xfId="6792"/>
    <cellStyle name="Normal 6 4 3 2 4 2" xfId="12916"/>
    <cellStyle name="Normal 6 4 3 2 4 3" xfId="19153"/>
    <cellStyle name="Normal 6 4 3 2 5" xfId="12911"/>
    <cellStyle name="Normal 6 4 3 2 6" xfId="19148"/>
    <cellStyle name="Normal 6 4 3 3" xfId="6793"/>
    <cellStyle name="Normal 6 4 3 3 2" xfId="6794"/>
    <cellStyle name="Normal 6 4 3 3 2 2" xfId="12918"/>
    <cellStyle name="Normal 6 4 3 3 2 3" xfId="19155"/>
    <cellStyle name="Normal 6 4 3 3 3" xfId="12917"/>
    <cellStyle name="Normal 6 4 3 3 4" xfId="19154"/>
    <cellStyle name="Normal 6 4 3 4" xfId="6795"/>
    <cellStyle name="Normal 6 4 3 4 2" xfId="6796"/>
    <cellStyle name="Normal 6 4 3 4 2 2" xfId="12920"/>
    <cellStyle name="Normal 6 4 3 4 2 3" xfId="19157"/>
    <cellStyle name="Normal 6 4 3 4 3" xfId="12919"/>
    <cellStyle name="Normal 6 4 3 4 4" xfId="19156"/>
    <cellStyle name="Normal 6 4 3 5" xfId="6797"/>
    <cellStyle name="Normal 6 4 3 5 2" xfId="12921"/>
    <cellStyle name="Normal 6 4 3 5 3" xfId="19158"/>
    <cellStyle name="Normal 6 4 3 6" xfId="12910"/>
    <cellStyle name="Normal 6 4 3 7" xfId="19147"/>
    <cellStyle name="Normal 6 4 4" xfId="6798"/>
    <cellStyle name="Normal 6 4 4 2" xfId="6799"/>
    <cellStyle name="Normal 6 4 4 2 2" xfId="6800"/>
    <cellStyle name="Normal 6 4 4 2 2 2" xfId="12924"/>
    <cellStyle name="Normal 6 4 4 2 2 3" xfId="19161"/>
    <cellStyle name="Normal 6 4 4 2 3" xfId="12923"/>
    <cellStyle name="Normal 6 4 4 2 4" xfId="19160"/>
    <cellStyle name="Normal 6 4 4 3" xfId="6801"/>
    <cellStyle name="Normal 6 4 4 3 2" xfId="6802"/>
    <cellStyle name="Normal 6 4 4 3 2 2" xfId="12926"/>
    <cellStyle name="Normal 6 4 4 3 2 3" xfId="19163"/>
    <cellStyle name="Normal 6 4 4 3 3" xfId="12925"/>
    <cellStyle name="Normal 6 4 4 3 4" xfId="19162"/>
    <cellStyle name="Normal 6 4 4 4" xfId="6803"/>
    <cellStyle name="Normal 6 4 4 4 2" xfId="12927"/>
    <cellStyle name="Normal 6 4 4 4 3" xfId="19164"/>
    <cellStyle name="Normal 6 4 4 5" xfId="12922"/>
    <cellStyle name="Normal 6 4 4 6" xfId="19159"/>
    <cellStyle name="Normal 6 4 5" xfId="6804"/>
    <cellStyle name="Normal 6 4 5 2" xfId="6805"/>
    <cellStyle name="Normal 6 4 5 2 2" xfId="12929"/>
    <cellStyle name="Normal 6 4 5 2 3" xfId="19166"/>
    <cellStyle name="Normal 6 4 5 3" xfId="12928"/>
    <cellStyle name="Normal 6 4 5 4" xfId="19165"/>
    <cellStyle name="Normal 6 4 6" xfId="6806"/>
    <cellStyle name="Normal 6 4 6 2" xfId="6807"/>
    <cellStyle name="Normal 6 4 6 2 2" xfId="12931"/>
    <cellStyle name="Normal 6 4 6 2 3" xfId="19168"/>
    <cellStyle name="Normal 6 4 6 3" xfId="12930"/>
    <cellStyle name="Normal 6 4 6 4" xfId="19167"/>
    <cellStyle name="Normal 6 4 7" xfId="6808"/>
    <cellStyle name="Normal 6 4 7 2" xfId="12932"/>
    <cellStyle name="Normal 6 4 7 3" xfId="19169"/>
    <cellStyle name="Normal 6 4 8" xfId="6809"/>
    <cellStyle name="Normal 6 4 8 2" xfId="19170"/>
    <cellStyle name="Normal 6 4 9" xfId="12885"/>
    <cellStyle name="Normal 6 5" xfId="6810"/>
    <cellStyle name="Normal 6 5 2" xfId="6811"/>
    <cellStyle name="Normal 6 5 2 2" xfId="6812"/>
    <cellStyle name="Normal 6 5 2 2 2" xfId="6813"/>
    <cellStyle name="Normal 6 5 2 2 2 2" xfId="6814"/>
    <cellStyle name="Normal 6 5 2 2 2 2 2" xfId="12937"/>
    <cellStyle name="Normal 6 5 2 2 2 2 3" xfId="19175"/>
    <cellStyle name="Normal 6 5 2 2 2 3" xfId="12936"/>
    <cellStyle name="Normal 6 5 2 2 2 4" xfId="19174"/>
    <cellStyle name="Normal 6 5 2 2 3" xfId="6815"/>
    <cellStyle name="Normal 6 5 2 2 3 2" xfId="6816"/>
    <cellStyle name="Normal 6 5 2 2 3 2 2" xfId="12939"/>
    <cellStyle name="Normal 6 5 2 2 3 2 3" xfId="19177"/>
    <cellStyle name="Normal 6 5 2 2 3 3" xfId="12938"/>
    <cellStyle name="Normal 6 5 2 2 3 4" xfId="19176"/>
    <cellStyle name="Normal 6 5 2 2 4" xfId="6817"/>
    <cellStyle name="Normal 6 5 2 2 4 2" xfId="12940"/>
    <cellStyle name="Normal 6 5 2 2 4 3" xfId="19178"/>
    <cellStyle name="Normal 6 5 2 2 5" xfId="12935"/>
    <cellStyle name="Normal 6 5 2 2 6" xfId="19173"/>
    <cellStyle name="Normal 6 5 2 3" xfId="6818"/>
    <cellStyle name="Normal 6 5 2 3 2" xfId="6819"/>
    <cellStyle name="Normal 6 5 2 3 2 2" xfId="12942"/>
    <cellStyle name="Normal 6 5 2 3 2 3" xfId="19180"/>
    <cellStyle name="Normal 6 5 2 3 3" xfId="12941"/>
    <cellStyle name="Normal 6 5 2 3 4" xfId="19179"/>
    <cellStyle name="Normal 6 5 2 4" xfId="6820"/>
    <cellStyle name="Normal 6 5 2 4 2" xfId="6821"/>
    <cellStyle name="Normal 6 5 2 4 2 2" xfId="12944"/>
    <cellStyle name="Normal 6 5 2 4 2 3" xfId="19182"/>
    <cellStyle name="Normal 6 5 2 4 3" xfId="12943"/>
    <cellStyle name="Normal 6 5 2 4 4" xfId="19181"/>
    <cellStyle name="Normal 6 5 2 5" xfId="6822"/>
    <cellStyle name="Normal 6 5 2 5 2" xfId="12945"/>
    <cellStyle name="Normal 6 5 2 5 3" xfId="19183"/>
    <cellStyle name="Normal 6 5 2 6" xfId="12934"/>
    <cellStyle name="Normal 6 5 2 7" xfId="19172"/>
    <cellStyle name="Normal 6 5 3" xfId="6823"/>
    <cellStyle name="Normal 6 5 3 2" xfId="6824"/>
    <cellStyle name="Normal 6 5 3 2 2" xfId="6825"/>
    <cellStyle name="Normal 6 5 3 2 2 2" xfId="12948"/>
    <cellStyle name="Normal 6 5 3 2 2 3" xfId="19186"/>
    <cellStyle name="Normal 6 5 3 2 3" xfId="12947"/>
    <cellStyle name="Normal 6 5 3 2 4" xfId="19185"/>
    <cellStyle name="Normal 6 5 3 3" xfId="6826"/>
    <cellStyle name="Normal 6 5 3 3 2" xfId="6827"/>
    <cellStyle name="Normal 6 5 3 3 2 2" xfId="12950"/>
    <cellStyle name="Normal 6 5 3 3 2 3" xfId="19188"/>
    <cellStyle name="Normal 6 5 3 3 3" xfId="12949"/>
    <cellStyle name="Normal 6 5 3 3 4" xfId="19187"/>
    <cellStyle name="Normal 6 5 3 4" xfId="6828"/>
    <cellStyle name="Normal 6 5 3 4 2" xfId="12951"/>
    <cellStyle name="Normal 6 5 3 4 3" xfId="19189"/>
    <cellStyle name="Normal 6 5 3 5" xfId="12946"/>
    <cellStyle name="Normal 6 5 3 6" xfId="19184"/>
    <cellStyle name="Normal 6 5 4" xfId="6829"/>
    <cellStyle name="Normal 6 5 4 2" xfId="6830"/>
    <cellStyle name="Normal 6 5 4 2 2" xfId="12953"/>
    <cellStyle name="Normal 6 5 4 2 3" xfId="19191"/>
    <cellStyle name="Normal 6 5 4 3" xfId="12952"/>
    <cellStyle name="Normal 6 5 4 4" xfId="19190"/>
    <cellStyle name="Normal 6 5 5" xfId="6831"/>
    <cellStyle name="Normal 6 5 5 2" xfId="6832"/>
    <cellStyle name="Normal 6 5 5 2 2" xfId="12955"/>
    <cellStyle name="Normal 6 5 5 2 3" xfId="19193"/>
    <cellStyle name="Normal 6 5 5 3" xfId="12954"/>
    <cellStyle name="Normal 6 5 5 4" xfId="19192"/>
    <cellStyle name="Normal 6 5 6" xfId="6833"/>
    <cellStyle name="Normal 6 5 6 2" xfId="12956"/>
    <cellStyle name="Normal 6 5 6 3" xfId="19194"/>
    <cellStyle name="Normal 6 5 7" xfId="12933"/>
    <cellStyle name="Normal 6 5 8" xfId="19171"/>
    <cellStyle name="Normal 6 6" xfId="6834"/>
    <cellStyle name="Normal 6 6 2" xfId="6835"/>
    <cellStyle name="Normal 6 6 2 2" xfId="6836"/>
    <cellStyle name="Normal 6 6 2 2 2" xfId="6837"/>
    <cellStyle name="Normal 6 6 2 2 2 2" xfId="12960"/>
    <cellStyle name="Normal 6 6 2 2 2 3" xfId="19198"/>
    <cellStyle name="Normal 6 6 2 2 3" xfId="12959"/>
    <cellStyle name="Normal 6 6 2 2 4" xfId="19197"/>
    <cellStyle name="Normal 6 6 2 3" xfId="6838"/>
    <cellStyle name="Normal 6 6 2 3 2" xfId="6839"/>
    <cellStyle name="Normal 6 6 2 3 2 2" xfId="12962"/>
    <cellStyle name="Normal 6 6 2 3 2 3" xfId="19200"/>
    <cellStyle name="Normal 6 6 2 3 3" xfId="12961"/>
    <cellStyle name="Normal 6 6 2 3 4" xfId="19199"/>
    <cellStyle name="Normal 6 6 2 4" xfId="6840"/>
    <cellStyle name="Normal 6 6 2 4 2" xfId="12963"/>
    <cellStyle name="Normal 6 6 2 4 3" xfId="19201"/>
    <cellStyle name="Normal 6 6 2 5" xfId="12958"/>
    <cellStyle name="Normal 6 6 2 6" xfId="19196"/>
    <cellStyle name="Normal 6 6 3" xfId="6841"/>
    <cellStyle name="Normal 6 6 3 2" xfId="6842"/>
    <cellStyle name="Normal 6 6 3 2 2" xfId="12965"/>
    <cellStyle name="Normal 6 6 3 2 3" xfId="19203"/>
    <cellStyle name="Normal 6 6 3 3" xfId="12964"/>
    <cellStyle name="Normal 6 6 3 4" xfId="19202"/>
    <cellStyle name="Normal 6 6 4" xfId="6843"/>
    <cellStyle name="Normal 6 6 4 2" xfId="6844"/>
    <cellStyle name="Normal 6 6 4 2 2" xfId="12967"/>
    <cellStyle name="Normal 6 6 4 2 3" xfId="19205"/>
    <cellStyle name="Normal 6 6 4 3" xfId="12966"/>
    <cellStyle name="Normal 6 6 4 4" xfId="19204"/>
    <cellStyle name="Normal 6 6 5" xfId="6845"/>
    <cellStyle name="Normal 6 6 5 2" xfId="12968"/>
    <cellStyle name="Normal 6 6 5 3" xfId="19206"/>
    <cellStyle name="Normal 6 6 6" xfId="12957"/>
    <cellStyle name="Normal 6 6 7" xfId="19195"/>
    <cellStyle name="Normal 6 7" xfId="6846"/>
    <cellStyle name="Normal 6 7 2" xfId="6847"/>
    <cellStyle name="Normal 6 7 2 2" xfId="6848"/>
    <cellStyle name="Normal 6 7 2 2 2" xfId="12971"/>
    <cellStyle name="Normal 6 7 2 2 3" xfId="19209"/>
    <cellStyle name="Normal 6 7 2 3" xfId="12970"/>
    <cellStyle name="Normal 6 7 2 4" xfId="19208"/>
    <cellStyle name="Normal 6 7 3" xfId="6849"/>
    <cellStyle name="Normal 6 7 3 2" xfId="6850"/>
    <cellStyle name="Normal 6 7 3 2 2" xfId="12973"/>
    <cellStyle name="Normal 6 7 3 2 3" xfId="19211"/>
    <cellStyle name="Normal 6 7 3 3" xfId="12972"/>
    <cellStyle name="Normal 6 7 3 4" xfId="19210"/>
    <cellStyle name="Normal 6 7 4" xfId="6851"/>
    <cellStyle name="Normal 6 7 4 2" xfId="12974"/>
    <cellStyle name="Normal 6 7 4 3" xfId="19212"/>
    <cellStyle name="Normal 6 7 5" xfId="12969"/>
    <cellStyle name="Normal 6 7 6" xfId="19207"/>
    <cellStyle name="Normal 6 8" xfId="6852"/>
    <cellStyle name="Normal 6 8 2" xfId="6853"/>
    <cellStyle name="Normal 6 8 2 2" xfId="12976"/>
    <cellStyle name="Normal 6 8 2 3" xfId="19214"/>
    <cellStyle name="Normal 6 8 3" xfId="12975"/>
    <cellStyle name="Normal 6 8 4" xfId="19213"/>
    <cellStyle name="Normal 6 9" xfId="6854"/>
    <cellStyle name="Normal 6 9 2" xfId="6855"/>
    <cellStyle name="Normal 6 9 2 2" xfId="12978"/>
    <cellStyle name="Normal 6 9 2 3" xfId="19216"/>
    <cellStyle name="Normal 6 9 3" xfId="12977"/>
    <cellStyle name="Normal 6 9 4" xfId="19215"/>
    <cellStyle name="Normal 6_2180" xfId="12979"/>
    <cellStyle name="Normal 60" xfId="6856"/>
    <cellStyle name="Normal 60 10" xfId="19217"/>
    <cellStyle name="Normal 60 2" xfId="6857"/>
    <cellStyle name="Normal 60 2 2" xfId="6858"/>
    <cellStyle name="Normal 60 2 2 2" xfId="6859"/>
    <cellStyle name="Normal 60 2 2 2 2" xfId="6860"/>
    <cellStyle name="Normal 60 2 2 2 2 2" xfId="6861"/>
    <cellStyle name="Normal 60 2 2 2 2 2 2" xfId="12985"/>
    <cellStyle name="Normal 60 2 2 2 2 2 3" xfId="19222"/>
    <cellStyle name="Normal 60 2 2 2 2 3" xfId="12984"/>
    <cellStyle name="Normal 60 2 2 2 2 4" xfId="19221"/>
    <cellStyle name="Normal 60 2 2 2 3" xfId="6862"/>
    <cellStyle name="Normal 60 2 2 2 3 2" xfId="6863"/>
    <cellStyle name="Normal 60 2 2 2 3 2 2" xfId="12987"/>
    <cellStyle name="Normal 60 2 2 2 3 2 3" xfId="19224"/>
    <cellStyle name="Normal 60 2 2 2 3 3" xfId="12986"/>
    <cellStyle name="Normal 60 2 2 2 3 4" xfId="19223"/>
    <cellStyle name="Normal 60 2 2 2 4" xfId="6864"/>
    <cellStyle name="Normal 60 2 2 2 4 2" xfId="12988"/>
    <cellStyle name="Normal 60 2 2 2 4 3" xfId="19225"/>
    <cellStyle name="Normal 60 2 2 2 5" xfId="12983"/>
    <cellStyle name="Normal 60 2 2 2 6" xfId="19220"/>
    <cellStyle name="Normal 60 2 2 3" xfId="6865"/>
    <cellStyle name="Normal 60 2 2 3 2" xfId="6866"/>
    <cellStyle name="Normal 60 2 2 3 2 2" xfId="12990"/>
    <cellStyle name="Normal 60 2 2 3 2 3" xfId="19227"/>
    <cellStyle name="Normal 60 2 2 3 3" xfId="12989"/>
    <cellStyle name="Normal 60 2 2 3 4" xfId="19226"/>
    <cellStyle name="Normal 60 2 2 4" xfId="6867"/>
    <cellStyle name="Normal 60 2 2 4 2" xfId="6868"/>
    <cellStyle name="Normal 60 2 2 4 2 2" xfId="12992"/>
    <cellStyle name="Normal 60 2 2 4 2 3" xfId="19229"/>
    <cellStyle name="Normal 60 2 2 4 3" xfId="12991"/>
    <cellStyle name="Normal 60 2 2 4 4" xfId="19228"/>
    <cellStyle name="Normal 60 2 2 5" xfId="6869"/>
    <cellStyle name="Normal 60 2 2 5 2" xfId="12993"/>
    <cellStyle name="Normal 60 2 2 5 3" xfId="19230"/>
    <cellStyle name="Normal 60 2 2 6" xfId="12982"/>
    <cellStyle name="Normal 60 2 2 7" xfId="19219"/>
    <cellStyle name="Normal 60 2 3" xfId="6870"/>
    <cellStyle name="Normal 60 2 3 2" xfId="6871"/>
    <cellStyle name="Normal 60 2 3 2 2" xfId="6872"/>
    <cellStyle name="Normal 60 2 3 2 2 2" xfId="12996"/>
    <cellStyle name="Normal 60 2 3 2 2 3" xfId="19233"/>
    <cellStyle name="Normal 60 2 3 2 3" xfId="12995"/>
    <cellStyle name="Normal 60 2 3 2 4" xfId="19232"/>
    <cellStyle name="Normal 60 2 3 3" xfId="6873"/>
    <cellStyle name="Normal 60 2 3 3 2" xfId="6874"/>
    <cellStyle name="Normal 60 2 3 3 2 2" xfId="12998"/>
    <cellStyle name="Normal 60 2 3 3 2 3" xfId="19235"/>
    <cellStyle name="Normal 60 2 3 3 3" xfId="12997"/>
    <cellStyle name="Normal 60 2 3 3 4" xfId="19234"/>
    <cellStyle name="Normal 60 2 3 4" xfId="6875"/>
    <cellStyle name="Normal 60 2 3 4 2" xfId="12999"/>
    <cellStyle name="Normal 60 2 3 4 3" xfId="19236"/>
    <cellStyle name="Normal 60 2 3 5" xfId="12994"/>
    <cellStyle name="Normal 60 2 3 6" xfId="19231"/>
    <cellStyle name="Normal 60 2 4" xfId="6876"/>
    <cellStyle name="Normal 60 2 4 2" xfId="6877"/>
    <cellStyle name="Normal 60 2 4 2 2" xfId="13001"/>
    <cellStyle name="Normal 60 2 4 2 3" xfId="19238"/>
    <cellStyle name="Normal 60 2 4 3" xfId="13000"/>
    <cellStyle name="Normal 60 2 4 4" xfId="19237"/>
    <cellStyle name="Normal 60 2 5" xfId="6878"/>
    <cellStyle name="Normal 60 2 5 2" xfId="6879"/>
    <cellStyle name="Normal 60 2 5 2 2" xfId="13003"/>
    <cellStyle name="Normal 60 2 5 2 3" xfId="19240"/>
    <cellStyle name="Normal 60 2 5 3" xfId="13002"/>
    <cellStyle name="Normal 60 2 5 4" xfId="19239"/>
    <cellStyle name="Normal 60 2 6" xfId="6880"/>
    <cellStyle name="Normal 60 2 6 2" xfId="13004"/>
    <cellStyle name="Normal 60 2 6 3" xfId="19241"/>
    <cellStyle name="Normal 60 2 7" xfId="12981"/>
    <cellStyle name="Normal 60 2 8" xfId="19218"/>
    <cellStyle name="Normal 60 3" xfId="6881"/>
    <cellStyle name="Normal 60 3 2" xfId="6882"/>
    <cellStyle name="Normal 60 3 2 2" xfId="6883"/>
    <cellStyle name="Normal 60 3 2 2 2" xfId="6884"/>
    <cellStyle name="Normal 60 3 2 2 2 2" xfId="13008"/>
    <cellStyle name="Normal 60 3 2 2 2 3" xfId="19245"/>
    <cellStyle name="Normal 60 3 2 2 3" xfId="13007"/>
    <cellStyle name="Normal 60 3 2 2 4" xfId="19244"/>
    <cellStyle name="Normal 60 3 2 3" xfId="6885"/>
    <cellStyle name="Normal 60 3 2 3 2" xfId="6886"/>
    <cellStyle name="Normal 60 3 2 3 2 2" xfId="13010"/>
    <cellStyle name="Normal 60 3 2 3 2 3" xfId="19247"/>
    <cellStyle name="Normal 60 3 2 3 3" xfId="13009"/>
    <cellStyle name="Normal 60 3 2 3 4" xfId="19246"/>
    <cellStyle name="Normal 60 3 2 4" xfId="6887"/>
    <cellStyle name="Normal 60 3 2 4 2" xfId="13011"/>
    <cellStyle name="Normal 60 3 2 4 3" xfId="19248"/>
    <cellStyle name="Normal 60 3 2 5" xfId="13006"/>
    <cellStyle name="Normal 60 3 2 6" xfId="19243"/>
    <cellStyle name="Normal 60 3 3" xfId="6888"/>
    <cellStyle name="Normal 60 3 3 2" xfId="6889"/>
    <cellStyle name="Normal 60 3 3 2 2" xfId="13013"/>
    <cellStyle name="Normal 60 3 3 2 3" xfId="19250"/>
    <cellStyle name="Normal 60 3 3 3" xfId="13012"/>
    <cellStyle name="Normal 60 3 3 4" xfId="19249"/>
    <cellStyle name="Normal 60 3 4" xfId="6890"/>
    <cellStyle name="Normal 60 3 4 2" xfId="6891"/>
    <cellStyle name="Normal 60 3 4 2 2" xfId="13015"/>
    <cellStyle name="Normal 60 3 4 2 3" xfId="19252"/>
    <cellStyle name="Normal 60 3 4 3" xfId="13014"/>
    <cellStyle name="Normal 60 3 4 4" xfId="19251"/>
    <cellStyle name="Normal 60 3 5" xfId="6892"/>
    <cellStyle name="Normal 60 3 5 2" xfId="13016"/>
    <cellStyle name="Normal 60 3 5 3" xfId="19253"/>
    <cellStyle name="Normal 60 3 6" xfId="13005"/>
    <cellStyle name="Normal 60 3 7" xfId="19242"/>
    <cellStyle name="Normal 60 4" xfId="6893"/>
    <cellStyle name="Normal 60 4 2" xfId="6894"/>
    <cellStyle name="Normal 60 4 2 2" xfId="6895"/>
    <cellStyle name="Normal 60 4 2 2 2" xfId="13019"/>
    <cellStyle name="Normal 60 4 2 2 3" xfId="19256"/>
    <cellStyle name="Normal 60 4 2 3" xfId="13018"/>
    <cellStyle name="Normal 60 4 2 4" xfId="19255"/>
    <cellStyle name="Normal 60 4 3" xfId="6896"/>
    <cellStyle name="Normal 60 4 3 2" xfId="6897"/>
    <cellStyle name="Normal 60 4 3 2 2" xfId="13021"/>
    <cellStyle name="Normal 60 4 3 2 3" xfId="19258"/>
    <cellStyle name="Normal 60 4 3 3" xfId="13020"/>
    <cellStyle name="Normal 60 4 3 4" xfId="19257"/>
    <cellStyle name="Normal 60 4 4" xfId="6898"/>
    <cellStyle name="Normal 60 4 4 2" xfId="13022"/>
    <cellStyle name="Normal 60 4 4 3" xfId="19259"/>
    <cellStyle name="Normal 60 4 5" xfId="13017"/>
    <cellStyle name="Normal 60 4 6" xfId="19254"/>
    <cellStyle name="Normal 60 5" xfId="6899"/>
    <cellStyle name="Normal 60 5 2" xfId="6900"/>
    <cellStyle name="Normal 60 5 2 2" xfId="13024"/>
    <cellStyle name="Normal 60 5 2 3" xfId="19261"/>
    <cellStyle name="Normal 60 5 3" xfId="13023"/>
    <cellStyle name="Normal 60 5 4" xfId="19260"/>
    <cellStyle name="Normal 60 6" xfId="6901"/>
    <cellStyle name="Normal 60 6 2" xfId="6902"/>
    <cellStyle name="Normal 60 6 2 2" xfId="13026"/>
    <cellStyle name="Normal 60 6 2 3" xfId="19263"/>
    <cellStyle name="Normal 60 6 3" xfId="13025"/>
    <cellStyle name="Normal 60 6 4" xfId="19262"/>
    <cellStyle name="Normal 60 7" xfId="6903"/>
    <cellStyle name="Normal 60 7 2" xfId="13027"/>
    <cellStyle name="Normal 60 7 3" xfId="19264"/>
    <cellStyle name="Normal 60 8" xfId="6904"/>
    <cellStyle name="Normal 60 8 2" xfId="19265"/>
    <cellStyle name="Normal 60 9" xfId="12980"/>
    <cellStyle name="Normal 61" xfId="6905"/>
    <cellStyle name="Normal 61 10" xfId="19266"/>
    <cellStyle name="Normal 61 2" xfId="6906"/>
    <cellStyle name="Normal 61 2 2" xfId="6907"/>
    <cellStyle name="Normal 61 2 2 2" xfId="6908"/>
    <cellStyle name="Normal 61 2 2 2 2" xfId="6909"/>
    <cellStyle name="Normal 61 2 2 2 2 2" xfId="6910"/>
    <cellStyle name="Normal 61 2 2 2 2 2 2" xfId="13033"/>
    <cellStyle name="Normal 61 2 2 2 2 2 3" xfId="19271"/>
    <cellStyle name="Normal 61 2 2 2 2 3" xfId="13032"/>
    <cellStyle name="Normal 61 2 2 2 2 4" xfId="19270"/>
    <cellStyle name="Normal 61 2 2 2 3" xfId="6911"/>
    <cellStyle name="Normal 61 2 2 2 3 2" xfId="6912"/>
    <cellStyle name="Normal 61 2 2 2 3 2 2" xfId="13035"/>
    <cellStyle name="Normal 61 2 2 2 3 2 3" xfId="19273"/>
    <cellStyle name="Normal 61 2 2 2 3 3" xfId="13034"/>
    <cellStyle name="Normal 61 2 2 2 3 4" xfId="19272"/>
    <cellStyle name="Normal 61 2 2 2 4" xfId="6913"/>
    <cellStyle name="Normal 61 2 2 2 4 2" xfId="13036"/>
    <cellStyle name="Normal 61 2 2 2 4 3" xfId="19274"/>
    <cellStyle name="Normal 61 2 2 2 5" xfId="13031"/>
    <cellStyle name="Normal 61 2 2 2 6" xfId="19269"/>
    <cellStyle name="Normal 61 2 2 3" xfId="6914"/>
    <cellStyle name="Normal 61 2 2 3 2" xfId="6915"/>
    <cellStyle name="Normal 61 2 2 3 2 2" xfId="13038"/>
    <cellStyle name="Normal 61 2 2 3 2 3" xfId="19276"/>
    <cellStyle name="Normal 61 2 2 3 3" xfId="13037"/>
    <cellStyle name="Normal 61 2 2 3 4" xfId="19275"/>
    <cellStyle name="Normal 61 2 2 4" xfId="6916"/>
    <cellStyle name="Normal 61 2 2 4 2" xfId="6917"/>
    <cellStyle name="Normal 61 2 2 4 2 2" xfId="13040"/>
    <cellStyle name="Normal 61 2 2 4 2 3" xfId="19278"/>
    <cellStyle name="Normal 61 2 2 4 3" xfId="13039"/>
    <cellStyle name="Normal 61 2 2 4 4" xfId="19277"/>
    <cellStyle name="Normal 61 2 2 5" xfId="6918"/>
    <cellStyle name="Normal 61 2 2 5 2" xfId="13041"/>
    <cellStyle name="Normal 61 2 2 5 3" xfId="19279"/>
    <cellStyle name="Normal 61 2 2 6" xfId="13030"/>
    <cellStyle name="Normal 61 2 2 7" xfId="19268"/>
    <cellStyle name="Normal 61 2 3" xfId="6919"/>
    <cellStyle name="Normal 61 2 3 2" xfId="6920"/>
    <cellStyle name="Normal 61 2 3 2 2" xfId="6921"/>
    <cellStyle name="Normal 61 2 3 2 2 2" xfId="13044"/>
    <cellStyle name="Normal 61 2 3 2 2 3" xfId="19282"/>
    <cellStyle name="Normal 61 2 3 2 3" xfId="13043"/>
    <cellStyle name="Normal 61 2 3 2 4" xfId="19281"/>
    <cellStyle name="Normal 61 2 3 3" xfId="6922"/>
    <cellStyle name="Normal 61 2 3 3 2" xfId="6923"/>
    <cellStyle name="Normal 61 2 3 3 2 2" xfId="13046"/>
    <cellStyle name="Normal 61 2 3 3 2 3" xfId="19284"/>
    <cellStyle name="Normal 61 2 3 3 3" xfId="13045"/>
    <cellStyle name="Normal 61 2 3 3 4" xfId="19283"/>
    <cellStyle name="Normal 61 2 3 4" xfId="6924"/>
    <cellStyle name="Normal 61 2 3 4 2" xfId="13047"/>
    <cellStyle name="Normal 61 2 3 4 3" xfId="19285"/>
    <cellStyle name="Normal 61 2 3 5" xfId="13042"/>
    <cellStyle name="Normal 61 2 3 6" xfId="19280"/>
    <cellStyle name="Normal 61 2 4" xfId="6925"/>
    <cellStyle name="Normal 61 2 4 2" xfId="6926"/>
    <cellStyle name="Normal 61 2 4 2 2" xfId="13049"/>
    <cellStyle name="Normal 61 2 4 2 3" xfId="19287"/>
    <cellStyle name="Normal 61 2 4 3" xfId="13048"/>
    <cellStyle name="Normal 61 2 4 4" xfId="19286"/>
    <cellStyle name="Normal 61 2 5" xfId="6927"/>
    <cellStyle name="Normal 61 2 5 2" xfId="6928"/>
    <cellStyle name="Normal 61 2 5 2 2" xfId="13051"/>
    <cellStyle name="Normal 61 2 5 2 3" xfId="19289"/>
    <cellStyle name="Normal 61 2 5 3" xfId="13050"/>
    <cellStyle name="Normal 61 2 5 4" xfId="19288"/>
    <cellStyle name="Normal 61 2 6" xfId="6929"/>
    <cellStyle name="Normal 61 2 6 2" xfId="13052"/>
    <cellStyle name="Normal 61 2 6 3" xfId="19290"/>
    <cellStyle name="Normal 61 2 7" xfId="13029"/>
    <cellStyle name="Normal 61 2 8" xfId="19267"/>
    <cellStyle name="Normal 61 3" xfId="6930"/>
    <cellStyle name="Normal 61 3 2" xfId="6931"/>
    <cellStyle name="Normal 61 3 2 2" xfId="6932"/>
    <cellStyle name="Normal 61 3 2 2 2" xfId="6933"/>
    <cellStyle name="Normal 61 3 2 2 2 2" xfId="13056"/>
    <cellStyle name="Normal 61 3 2 2 2 3" xfId="19294"/>
    <cellStyle name="Normal 61 3 2 2 3" xfId="13055"/>
    <cellStyle name="Normal 61 3 2 2 4" xfId="19293"/>
    <cellStyle name="Normal 61 3 2 3" xfId="6934"/>
    <cellStyle name="Normal 61 3 2 3 2" xfId="6935"/>
    <cellStyle name="Normal 61 3 2 3 2 2" xfId="13058"/>
    <cellStyle name="Normal 61 3 2 3 2 3" xfId="19296"/>
    <cellStyle name="Normal 61 3 2 3 3" xfId="13057"/>
    <cellStyle name="Normal 61 3 2 3 4" xfId="19295"/>
    <cellStyle name="Normal 61 3 2 4" xfId="6936"/>
    <cellStyle name="Normal 61 3 2 4 2" xfId="13059"/>
    <cellStyle name="Normal 61 3 2 4 3" xfId="19297"/>
    <cellStyle name="Normal 61 3 2 5" xfId="13054"/>
    <cellStyle name="Normal 61 3 2 6" xfId="19292"/>
    <cellStyle name="Normal 61 3 3" xfId="6937"/>
    <cellStyle name="Normal 61 3 3 2" xfId="6938"/>
    <cellStyle name="Normal 61 3 3 2 2" xfId="13061"/>
    <cellStyle name="Normal 61 3 3 2 3" xfId="19299"/>
    <cellStyle name="Normal 61 3 3 3" xfId="13060"/>
    <cellStyle name="Normal 61 3 3 4" xfId="19298"/>
    <cellStyle name="Normal 61 3 4" xfId="6939"/>
    <cellStyle name="Normal 61 3 4 2" xfId="6940"/>
    <cellStyle name="Normal 61 3 4 2 2" xfId="13063"/>
    <cellStyle name="Normal 61 3 4 2 3" xfId="19301"/>
    <cellStyle name="Normal 61 3 4 3" xfId="13062"/>
    <cellStyle name="Normal 61 3 4 4" xfId="19300"/>
    <cellStyle name="Normal 61 3 5" xfId="6941"/>
    <cellStyle name="Normal 61 3 5 2" xfId="13064"/>
    <cellStyle name="Normal 61 3 5 3" xfId="19302"/>
    <cellStyle name="Normal 61 3 6" xfId="13053"/>
    <cellStyle name="Normal 61 3 7" xfId="19291"/>
    <cellStyle name="Normal 61 4" xfId="6942"/>
    <cellStyle name="Normal 61 4 2" xfId="6943"/>
    <cellStyle name="Normal 61 4 2 2" xfId="6944"/>
    <cellStyle name="Normal 61 4 2 2 2" xfId="13067"/>
    <cellStyle name="Normal 61 4 2 2 3" xfId="19305"/>
    <cellStyle name="Normal 61 4 2 3" xfId="13066"/>
    <cellStyle name="Normal 61 4 2 4" xfId="19304"/>
    <cellStyle name="Normal 61 4 3" xfId="6945"/>
    <cellStyle name="Normal 61 4 3 2" xfId="6946"/>
    <cellStyle name="Normal 61 4 3 2 2" xfId="13069"/>
    <cellStyle name="Normal 61 4 3 2 3" xfId="19307"/>
    <cellStyle name="Normal 61 4 3 3" xfId="13068"/>
    <cellStyle name="Normal 61 4 3 4" xfId="19306"/>
    <cellStyle name="Normal 61 4 4" xfId="6947"/>
    <cellStyle name="Normal 61 4 4 2" xfId="13070"/>
    <cellStyle name="Normal 61 4 4 3" xfId="19308"/>
    <cellStyle name="Normal 61 4 5" xfId="13065"/>
    <cellStyle name="Normal 61 4 6" xfId="19303"/>
    <cellStyle name="Normal 61 5" xfId="6948"/>
    <cellStyle name="Normal 61 5 2" xfId="6949"/>
    <cellStyle name="Normal 61 5 2 2" xfId="13072"/>
    <cellStyle name="Normal 61 5 2 3" xfId="19310"/>
    <cellStyle name="Normal 61 5 3" xfId="13071"/>
    <cellStyle name="Normal 61 5 4" xfId="19309"/>
    <cellStyle name="Normal 61 6" xfId="6950"/>
    <cellStyle name="Normal 61 6 2" xfId="6951"/>
    <cellStyle name="Normal 61 6 2 2" xfId="13074"/>
    <cellStyle name="Normal 61 6 2 3" xfId="19312"/>
    <cellStyle name="Normal 61 6 3" xfId="13073"/>
    <cellStyle name="Normal 61 6 4" xfId="19311"/>
    <cellStyle name="Normal 61 7" xfId="6952"/>
    <cellStyle name="Normal 61 7 2" xfId="13075"/>
    <cellStyle name="Normal 61 7 3" xfId="19313"/>
    <cellStyle name="Normal 61 8" xfId="6953"/>
    <cellStyle name="Normal 61 8 2" xfId="19314"/>
    <cellStyle name="Normal 61 9" xfId="13028"/>
    <cellStyle name="Normal 62" xfId="6954"/>
    <cellStyle name="Normal 62 10" xfId="19315"/>
    <cellStyle name="Normal 62 2" xfId="6955"/>
    <cellStyle name="Normal 62 2 2" xfId="6956"/>
    <cellStyle name="Normal 62 2 2 2" xfId="6957"/>
    <cellStyle name="Normal 62 2 2 2 2" xfId="6958"/>
    <cellStyle name="Normal 62 2 2 2 2 2" xfId="6959"/>
    <cellStyle name="Normal 62 2 2 2 2 2 2" xfId="13081"/>
    <cellStyle name="Normal 62 2 2 2 2 2 3" xfId="19320"/>
    <cellStyle name="Normal 62 2 2 2 2 3" xfId="13080"/>
    <cellStyle name="Normal 62 2 2 2 2 4" xfId="19319"/>
    <cellStyle name="Normal 62 2 2 2 3" xfId="6960"/>
    <cellStyle name="Normal 62 2 2 2 3 2" xfId="6961"/>
    <cellStyle name="Normal 62 2 2 2 3 2 2" xfId="13083"/>
    <cellStyle name="Normal 62 2 2 2 3 2 3" xfId="19322"/>
    <cellStyle name="Normal 62 2 2 2 3 3" xfId="13082"/>
    <cellStyle name="Normal 62 2 2 2 3 4" xfId="19321"/>
    <cellStyle name="Normal 62 2 2 2 4" xfId="6962"/>
    <cellStyle name="Normal 62 2 2 2 4 2" xfId="13084"/>
    <cellStyle name="Normal 62 2 2 2 4 3" xfId="19323"/>
    <cellStyle name="Normal 62 2 2 2 5" xfId="13079"/>
    <cellStyle name="Normal 62 2 2 2 6" xfId="19318"/>
    <cellStyle name="Normal 62 2 2 3" xfId="6963"/>
    <cellStyle name="Normal 62 2 2 3 2" xfId="6964"/>
    <cellStyle name="Normal 62 2 2 3 2 2" xfId="13086"/>
    <cellStyle name="Normal 62 2 2 3 2 3" xfId="19325"/>
    <cellStyle name="Normal 62 2 2 3 3" xfId="13085"/>
    <cellStyle name="Normal 62 2 2 3 4" xfId="19324"/>
    <cellStyle name="Normal 62 2 2 4" xfId="6965"/>
    <cellStyle name="Normal 62 2 2 4 2" xfId="6966"/>
    <cellStyle name="Normal 62 2 2 4 2 2" xfId="13088"/>
    <cellStyle name="Normal 62 2 2 4 2 3" xfId="19327"/>
    <cellStyle name="Normal 62 2 2 4 3" xfId="13087"/>
    <cellStyle name="Normal 62 2 2 4 4" xfId="19326"/>
    <cellStyle name="Normal 62 2 2 5" xfId="6967"/>
    <cellStyle name="Normal 62 2 2 5 2" xfId="13089"/>
    <cellStyle name="Normal 62 2 2 5 3" xfId="19328"/>
    <cellStyle name="Normal 62 2 2 6" xfId="13078"/>
    <cellStyle name="Normal 62 2 2 7" xfId="19317"/>
    <cellStyle name="Normal 62 2 3" xfId="6968"/>
    <cellStyle name="Normal 62 2 3 2" xfId="6969"/>
    <cellStyle name="Normal 62 2 3 2 2" xfId="6970"/>
    <cellStyle name="Normal 62 2 3 2 2 2" xfId="13092"/>
    <cellStyle name="Normal 62 2 3 2 2 3" xfId="19331"/>
    <cellStyle name="Normal 62 2 3 2 3" xfId="13091"/>
    <cellStyle name="Normal 62 2 3 2 4" xfId="19330"/>
    <cellStyle name="Normal 62 2 3 3" xfId="6971"/>
    <cellStyle name="Normal 62 2 3 3 2" xfId="6972"/>
    <cellStyle name="Normal 62 2 3 3 2 2" xfId="13094"/>
    <cellStyle name="Normal 62 2 3 3 2 3" xfId="19333"/>
    <cellStyle name="Normal 62 2 3 3 3" xfId="13093"/>
    <cellStyle name="Normal 62 2 3 3 4" xfId="19332"/>
    <cellStyle name="Normal 62 2 3 4" xfId="6973"/>
    <cellStyle name="Normal 62 2 3 4 2" xfId="13095"/>
    <cellStyle name="Normal 62 2 3 4 3" xfId="19334"/>
    <cellStyle name="Normal 62 2 3 5" xfId="13090"/>
    <cellStyle name="Normal 62 2 3 6" xfId="19329"/>
    <cellStyle name="Normal 62 2 4" xfId="6974"/>
    <cellStyle name="Normal 62 2 4 2" xfId="6975"/>
    <cellStyle name="Normal 62 2 4 2 2" xfId="13097"/>
    <cellStyle name="Normal 62 2 4 2 3" xfId="19336"/>
    <cellStyle name="Normal 62 2 4 3" xfId="13096"/>
    <cellStyle name="Normal 62 2 4 4" xfId="19335"/>
    <cellStyle name="Normal 62 2 5" xfId="6976"/>
    <cellStyle name="Normal 62 2 5 2" xfId="6977"/>
    <cellStyle name="Normal 62 2 5 2 2" xfId="13099"/>
    <cellStyle name="Normal 62 2 5 2 3" xfId="19338"/>
    <cellStyle name="Normal 62 2 5 3" xfId="13098"/>
    <cellStyle name="Normal 62 2 5 4" xfId="19337"/>
    <cellStyle name="Normal 62 2 6" xfId="6978"/>
    <cellStyle name="Normal 62 2 6 2" xfId="13100"/>
    <cellStyle name="Normal 62 2 6 3" xfId="19339"/>
    <cellStyle name="Normal 62 2 7" xfId="13077"/>
    <cellStyle name="Normal 62 2 8" xfId="19316"/>
    <cellStyle name="Normal 62 3" xfId="6979"/>
    <cellStyle name="Normal 62 3 2" xfId="6980"/>
    <cellStyle name="Normal 62 3 2 2" xfId="6981"/>
    <cellStyle name="Normal 62 3 2 2 2" xfId="6982"/>
    <cellStyle name="Normal 62 3 2 2 2 2" xfId="13104"/>
    <cellStyle name="Normal 62 3 2 2 2 3" xfId="19343"/>
    <cellStyle name="Normal 62 3 2 2 3" xfId="13103"/>
    <cellStyle name="Normal 62 3 2 2 4" xfId="19342"/>
    <cellStyle name="Normal 62 3 2 3" xfId="6983"/>
    <cellStyle name="Normal 62 3 2 3 2" xfId="6984"/>
    <cellStyle name="Normal 62 3 2 3 2 2" xfId="13106"/>
    <cellStyle name="Normal 62 3 2 3 2 3" xfId="19345"/>
    <cellStyle name="Normal 62 3 2 3 3" xfId="13105"/>
    <cellStyle name="Normal 62 3 2 3 4" xfId="19344"/>
    <cellStyle name="Normal 62 3 2 4" xfId="6985"/>
    <cellStyle name="Normal 62 3 2 4 2" xfId="13107"/>
    <cellStyle name="Normal 62 3 2 4 3" xfId="19346"/>
    <cellStyle name="Normal 62 3 2 5" xfId="13102"/>
    <cellStyle name="Normal 62 3 2 6" xfId="19341"/>
    <cellStyle name="Normal 62 3 3" xfId="6986"/>
    <cellStyle name="Normal 62 3 3 2" xfId="6987"/>
    <cellStyle name="Normal 62 3 3 2 2" xfId="13109"/>
    <cellStyle name="Normal 62 3 3 2 3" xfId="19348"/>
    <cellStyle name="Normal 62 3 3 3" xfId="13108"/>
    <cellStyle name="Normal 62 3 3 4" xfId="19347"/>
    <cellStyle name="Normal 62 3 4" xfId="6988"/>
    <cellStyle name="Normal 62 3 4 2" xfId="6989"/>
    <cellStyle name="Normal 62 3 4 2 2" xfId="13111"/>
    <cellStyle name="Normal 62 3 4 2 3" xfId="19350"/>
    <cellStyle name="Normal 62 3 4 3" xfId="13110"/>
    <cellStyle name="Normal 62 3 4 4" xfId="19349"/>
    <cellStyle name="Normal 62 3 5" xfId="6990"/>
    <cellStyle name="Normal 62 3 5 2" xfId="13112"/>
    <cellStyle name="Normal 62 3 5 3" xfId="19351"/>
    <cellStyle name="Normal 62 3 6" xfId="13101"/>
    <cellStyle name="Normal 62 3 7" xfId="19340"/>
    <cellStyle name="Normal 62 4" xfId="6991"/>
    <cellStyle name="Normal 62 4 2" xfId="6992"/>
    <cellStyle name="Normal 62 4 2 2" xfId="6993"/>
    <cellStyle name="Normal 62 4 2 2 2" xfId="13115"/>
    <cellStyle name="Normal 62 4 2 2 3" xfId="19354"/>
    <cellStyle name="Normal 62 4 2 3" xfId="13114"/>
    <cellStyle name="Normal 62 4 2 4" xfId="19353"/>
    <cellStyle name="Normal 62 4 3" xfId="6994"/>
    <cellStyle name="Normal 62 4 3 2" xfId="6995"/>
    <cellStyle name="Normal 62 4 3 2 2" xfId="13117"/>
    <cellStyle name="Normal 62 4 3 2 3" xfId="19356"/>
    <cellStyle name="Normal 62 4 3 3" xfId="13116"/>
    <cellStyle name="Normal 62 4 3 4" xfId="19355"/>
    <cellStyle name="Normal 62 4 4" xfId="6996"/>
    <cellStyle name="Normal 62 4 4 2" xfId="13118"/>
    <cellStyle name="Normal 62 4 4 3" xfId="19357"/>
    <cellStyle name="Normal 62 4 5" xfId="13113"/>
    <cellStyle name="Normal 62 4 6" xfId="19352"/>
    <cellStyle name="Normal 62 5" xfId="6997"/>
    <cellStyle name="Normal 62 5 2" xfId="6998"/>
    <cellStyle name="Normal 62 5 2 2" xfId="13120"/>
    <cellStyle name="Normal 62 5 2 3" xfId="19359"/>
    <cellStyle name="Normal 62 5 3" xfId="13119"/>
    <cellStyle name="Normal 62 5 4" xfId="19358"/>
    <cellStyle name="Normal 62 6" xfId="6999"/>
    <cellStyle name="Normal 62 6 2" xfId="7000"/>
    <cellStyle name="Normal 62 6 2 2" xfId="13122"/>
    <cellStyle name="Normal 62 6 2 3" xfId="19361"/>
    <cellStyle name="Normal 62 6 3" xfId="13121"/>
    <cellStyle name="Normal 62 6 4" xfId="19360"/>
    <cellStyle name="Normal 62 7" xfId="7001"/>
    <cellStyle name="Normal 62 7 2" xfId="13123"/>
    <cellStyle name="Normal 62 7 3" xfId="19362"/>
    <cellStyle name="Normal 62 8" xfId="7002"/>
    <cellStyle name="Normal 62 8 2" xfId="19363"/>
    <cellStyle name="Normal 62 9" xfId="13076"/>
    <cellStyle name="Normal 63" xfId="7003"/>
    <cellStyle name="Normal 63 10" xfId="19364"/>
    <cellStyle name="Normal 63 2" xfId="7004"/>
    <cellStyle name="Normal 63 2 2" xfId="7005"/>
    <cellStyle name="Normal 63 2 2 2" xfId="7006"/>
    <cellStyle name="Normal 63 2 2 2 2" xfId="7007"/>
    <cellStyle name="Normal 63 2 2 2 2 2" xfId="7008"/>
    <cellStyle name="Normal 63 2 2 2 2 2 2" xfId="13129"/>
    <cellStyle name="Normal 63 2 2 2 2 2 3" xfId="19369"/>
    <cellStyle name="Normal 63 2 2 2 2 3" xfId="13128"/>
    <cellStyle name="Normal 63 2 2 2 2 4" xfId="19368"/>
    <cellStyle name="Normal 63 2 2 2 3" xfId="7009"/>
    <cellStyle name="Normal 63 2 2 2 3 2" xfId="7010"/>
    <cellStyle name="Normal 63 2 2 2 3 2 2" xfId="13131"/>
    <cellStyle name="Normal 63 2 2 2 3 2 3" xfId="19371"/>
    <cellStyle name="Normal 63 2 2 2 3 3" xfId="13130"/>
    <cellStyle name="Normal 63 2 2 2 3 4" xfId="19370"/>
    <cellStyle name="Normal 63 2 2 2 4" xfId="7011"/>
    <cellStyle name="Normal 63 2 2 2 4 2" xfId="13132"/>
    <cellStyle name="Normal 63 2 2 2 4 3" xfId="19372"/>
    <cellStyle name="Normal 63 2 2 2 5" xfId="13127"/>
    <cellStyle name="Normal 63 2 2 2 6" xfId="19367"/>
    <cellStyle name="Normal 63 2 2 3" xfId="7012"/>
    <cellStyle name="Normal 63 2 2 3 2" xfId="7013"/>
    <cellStyle name="Normal 63 2 2 3 2 2" xfId="13134"/>
    <cellStyle name="Normal 63 2 2 3 2 3" xfId="19374"/>
    <cellStyle name="Normal 63 2 2 3 3" xfId="13133"/>
    <cellStyle name="Normal 63 2 2 3 4" xfId="19373"/>
    <cellStyle name="Normal 63 2 2 4" xfId="7014"/>
    <cellStyle name="Normal 63 2 2 4 2" xfId="7015"/>
    <cellStyle name="Normal 63 2 2 4 2 2" xfId="13136"/>
    <cellStyle name="Normal 63 2 2 4 2 3" xfId="19376"/>
    <cellStyle name="Normal 63 2 2 4 3" xfId="13135"/>
    <cellStyle name="Normal 63 2 2 4 4" xfId="19375"/>
    <cellStyle name="Normal 63 2 2 5" xfId="7016"/>
    <cellStyle name="Normal 63 2 2 5 2" xfId="13137"/>
    <cellStyle name="Normal 63 2 2 5 3" xfId="19377"/>
    <cellStyle name="Normal 63 2 2 6" xfId="13126"/>
    <cellStyle name="Normal 63 2 2 7" xfId="19366"/>
    <cellStyle name="Normal 63 2 3" xfId="7017"/>
    <cellStyle name="Normal 63 2 3 2" xfId="7018"/>
    <cellStyle name="Normal 63 2 3 2 2" xfId="7019"/>
    <cellStyle name="Normal 63 2 3 2 2 2" xfId="13140"/>
    <cellStyle name="Normal 63 2 3 2 2 3" xfId="19380"/>
    <cellStyle name="Normal 63 2 3 2 3" xfId="13139"/>
    <cellStyle name="Normal 63 2 3 2 4" xfId="19379"/>
    <cellStyle name="Normal 63 2 3 3" xfId="7020"/>
    <cellStyle name="Normal 63 2 3 3 2" xfId="7021"/>
    <cellStyle name="Normal 63 2 3 3 2 2" xfId="13142"/>
    <cellStyle name="Normal 63 2 3 3 2 3" xfId="19382"/>
    <cellStyle name="Normal 63 2 3 3 3" xfId="13141"/>
    <cellStyle name="Normal 63 2 3 3 4" xfId="19381"/>
    <cellStyle name="Normal 63 2 3 4" xfId="7022"/>
    <cellStyle name="Normal 63 2 3 4 2" xfId="13143"/>
    <cellStyle name="Normal 63 2 3 4 3" xfId="19383"/>
    <cellStyle name="Normal 63 2 3 5" xfId="13138"/>
    <cellStyle name="Normal 63 2 3 6" xfId="19378"/>
    <cellStyle name="Normal 63 2 4" xfId="7023"/>
    <cellStyle name="Normal 63 2 4 2" xfId="7024"/>
    <cellStyle name="Normal 63 2 4 2 2" xfId="13145"/>
    <cellStyle name="Normal 63 2 4 2 3" xfId="19385"/>
    <cellStyle name="Normal 63 2 4 3" xfId="13144"/>
    <cellStyle name="Normal 63 2 4 4" xfId="19384"/>
    <cellStyle name="Normal 63 2 5" xfId="7025"/>
    <cellStyle name="Normal 63 2 5 2" xfId="7026"/>
    <cellStyle name="Normal 63 2 5 2 2" xfId="13147"/>
    <cellStyle name="Normal 63 2 5 2 3" xfId="19387"/>
    <cellStyle name="Normal 63 2 5 3" xfId="13146"/>
    <cellStyle name="Normal 63 2 5 4" xfId="19386"/>
    <cellStyle name="Normal 63 2 6" xfId="7027"/>
    <cellStyle name="Normal 63 2 6 2" xfId="13148"/>
    <cellStyle name="Normal 63 2 6 3" xfId="19388"/>
    <cellStyle name="Normal 63 2 7" xfId="13125"/>
    <cellStyle name="Normal 63 2 8" xfId="19365"/>
    <cellStyle name="Normal 63 3" xfId="7028"/>
    <cellStyle name="Normal 63 3 2" xfId="7029"/>
    <cellStyle name="Normal 63 3 2 2" xfId="7030"/>
    <cellStyle name="Normal 63 3 2 2 2" xfId="7031"/>
    <cellStyle name="Normal 63 3 2 2 2 2" xfId="13152"/>
    <cellStyle name="Normal 63 3 2 2 2 3" xfId="19392"/>
    <cellStyle name="Normal 63 3 2 2 3" xfId="13151"/>
    <cellStyle name="Normal 63 3 2 2 4" xfId="19391"/>
    <cellStyle name="Normal 63 3 2 3" xfId="7032"/>
    <cellStyle name="Normal 63 3 2 3 2" xfId="7033"/>
    <cellStyle name="Normal 63 3 2 3 2 2" xfId="13154"/>
    <cellStyle name="Normal 63 3 2 3 2 3" xfId="19394"/>
    <cellStyle name="Normal 63 3 2 3 3" xfId="13153"/>
    <cellStyle name="Normal 63 3 2 3 4" xfId="19393"/>
    <cellStyle name="Normal 63 3 2 4" xfId="7034"/>
    <cellStyle name="Normal 63 3 2 4 2" xfId="13155"/>
    <cellStyle name="Normal 63 3 2 4 3" xfId="19395"/>
    <cellStyle name="Normal 63 3 2 5" xfId="13150"/>
    <cellStyle name="Normal 63 3 2 6" xfId="19390"/>
    <cellStyle name="Normal 63 3 3" xfId="7035"/>
    <cellStyle name="Normal 63 3 3 2" xfId="7036"/>
    <cellStyle name="Normal 63 3 3 2 2" xfId="13157"/>
    <cellStyle name="Normal 63 3 3 2 3" xfId="19397"/>
    <cellStyle name="Normal 63 3 3 3" xfId="13156"/>
    <cellStyle name="Normal 63 3 3 4" xfId="19396"/>
    <cellStyle name="Normal 63 3 4" xfId="7037"/>
    <cellStyle name="Normal 63 3 4 2" xfId="7038"/>
    <cellStyle name="Normal 63 3 4 2 2" xfId="13159"/>
    <cellStyle name="Normal 63 3 4 2 3" xfId="19399"/>
    <cellStyle name="Normal 63 3 4 3" xfId="13158"/>
    <cellStyle name="Normal 63 3 4 4" xfId="19398"/>
    <cellStyle name="Normal 63 3 5" xfId="7039"/>
    <cellStyle name="Normal 63 3 5 2" xfId="13160"/>
    <cellStyle name="Normal 63 3 5 3" xfId="19400"/>
    <cellStyle name="Normal 63 3 6" xfId="13149"/>
    <cellStyle name="Normal 63 3 7" xfId="19389"/>
    <cellStyle name="Normal 63 4" xfId="7040"/>
    <cellStyle name="Normal 63 4 2" xfId="7041"/>
    <cellStyle name="Normal 63 4 2 2" xfId="7042"/>
    <cellStyle name="Normal 63 4 2 2 2" xfId="13163"/>
    <cellStyle name="Normal 63 4 2 2 3" xfId="19403"/>
    <cellStyle name="Normal 63 4 2 3" xfId="13162"/>
    <cellStyle name="Normal 63 4 2 4" xfId="19402"/>
    <cellStyle name="Normal 63 4 3" xfId="7043"/>
    <cellStyle name="Normal 63 4 3 2" xfId="7044"/>
    <cellStyle name="Normal 63 4 3 2 2" xfId="13165"/>
    <cellStyle name="Normal 63 4 3 2 3" xfId="19405"/>
    <cellStyle name="Normal 63 4 3 3" xfId="13164"/>
    <cellStyle name="Normal 63 4 3 4" xfId="19404"/>
    <cellStyle name="Normal 63 4 4" xfId="7045"/>
    <cellStyle name="Normal 63 4 4 2" xfId="13166"/>
    <cellStyle name="Normal 63 4 4 3" xfId="19406"/>
    <cellStyle name="Normal 63 4 5" xfId="13161"/>
    <cellStyle name="Normal 63 4 6" xfId="19401"/>
    <cellStyle name="Normal 63 5" xfId="7046"/>
    <cellStyle name="Normal 63 5 2" xfId="7047"/>
    <cellStyle name="Normal 63 5 2 2" xfId="13168"/>
    <cellStyle name="Normal 63 5 2 3" xfId="19408"/>
    <cellStyle name="Normal 63 5 3" xfId="13167"/>
    <cellStyle name="Normal 63 5 4" xfId="19407"/>
    <cellStyle name="Normal 63 6" xfId="7048"/>
    <cellStyle name="Normal 63 6 2" xfId="7049"/>
    <cellStyle name="Normal 63 6 2 2" xfId="13170"/>
    <cellStyle name="Normal 63 6 2 3" xfId="19410"/>
    <cellStyle name="Normal 63 6 3" xfId="13169"/>
    <cellStyle name="Normal 63 6 4" xfId="19409"/>
    <cellStyle name="Normal 63 7" xfId="7050"/>
    <cellStyle name="Normal 63 7 2" xfId="13171"/>
    <cellStyle name="Normal 63 7 3" xfId="19411"/>
    <cellStyle name="Normal 63 8" xfId="7051"/>
    <cellStyle name="Normal 63 8 2" xfId="19412"/>
    <cellStyle name="Normal 63 9" xfId="13124"/>
    <cellStyle name="Normal 64" xfId="7052"/>
    <cellStyle name="Normal 64 2" xfId="7053"/>
    <cellStyle name="Normal 64 2 2" xfId="13173"/>
    <cellStyle name="Normal 64 2 3" xfId="19414"/>
    <cellStyle name="Normal 64 3" xfId="7054"/>
    <cellStyle name="Normal 64 3 2" xfId="13174"/>
    <cellStyle name="Normal 64 3 3" xfId="19415"/>
    <cellStyle name="Normal 64 4" xfId="7055"/>
    <cellStyle name="Normal 64 4 2" xfId="19416"/>
    <cellStyle name="Normal 64 5" xfId="13172"/>
    <cellStyle name="Normal 64 6" xfId="19413"/>
    <cellStyle name="Normal 65" xfId="7056"/>
    <cellStyle name="Normal 65 10" xfId="19417"/>
    <cellStyle name="Normal 65 2" xfId="7057"/>
    <cellStyle name="Normal 65 2 2" xfId="7058"/>
    <cellStyle name="Normal 65 2 2 2" xfId="7059"/>
    <cellStyle name="Normal 65 2 2 2 2" xfId="7060"/>
    <cellStyle name="Normal 65 2 2 2 2 2" xfId="7061"/>
    <cellStyle name="Normal 65 2 2 2 2 2 2" xfId="13180"/>
    <cellStyle name="Normal 65 2 2 2 2 2 3" xfId="19422"/>
    <cellStyle name="Normal 65 2 2 2 2 3" xfId="13179"/>
    <cellStyle name="Normal 65 2 2 2 2 4" xfId="19421"/>
    <cellStyle name="Normal 65 2 2 2 3" xfId="7062"/>
    <cellStyle name="Normal 65 2 2 2 3 2" xfId="7063"/>
    <cellStyle name="Normal 65 2 2 2 3 2 2" xfId="13182"/>
    <cellStyle name="Normal 65 2 2 2 3 2 3" xfId="19424"/>
    <cellStyle name="Normal 65 2 2 2 3 3" xfId="13181"/>
    <cellStyle name="Normal 65 2 2 2 3 4" xfId="19423"/>
    <cellStyle name="Normal 65 2 2 2 4" xfId="7064"/>
    <cellStyle name="Normal 65 2 2 2 4 2" xfId="13183"/>
    <cellStyle name="Normal 65 2 2 2 4 3" xfId="19425"/>
    <cellStyle name="Normal 65 2 2 2 5" xfId="13178"/>
    <cellStyle name="Normal 65 2 2 2 6" xfId="19420"/>
    <cellStyle name="Normal 65 2 2 3" xfId="7065"/>
    <cellStyle name="Normal 65 2 2 3 2" xfId="7066"/>
    <cellStyle name="Normal 65 2 2 3 2 2" xfId="13185"/>
    <cellStyle name="Normal 65 2 2 3 2 3" xfId="19427"/>
    <cellStyle name="Normal 65 2 2 3 3" xfId="13184"/>
    <cellStyle name="Normal 65 2 2 3 4" xfId="19426"/>
    <cellStyle name="Normal 65 2 2 4" xfId="7067"/>
    <cellStyle name="Normal 65 2 2 4 2" xfId="7068"/>
    <cellStyle name="Normal 65 2 2 4 2 2" xfId="13187"/>
    <cellStyle name="Normal 65 2 2 4 2 3" xfId="19429"/>
    <cellStyle name="Normal 65 2 2 4 3" xfId="13186"/>
    <cellStyle name="Normal 65 2 2 4 4" xfId="19428"/>
    <cellStyle name="Normal 65 2 2 5" xfId="7069"/>
    <cellStyle name="Normal 65 2 2 5 2" xfId="13188"/>
    <cellStyle name="Normal 65 2 2 5 3" xfId="19430"/>
    <cellStyle name="Normal 65 2 2 6" xfId="13177"/>
    <cellStyle name="Normal 65 2 2 7" xfId="19419"/>
    <cellStyle name="Normal 65 2 3" xfId="7070"/>
    <cellStyle name="Normal 65 2 3 2" xfId="7071"/>
    <cellStyle name="Normal 65 2 3 2 2" xfId="7072"/>
    <cellStyle name="Normal 65 2 3 2 2 2" xfId="13191"/>
    <cellStyle name="Normal 65 2 3 2 2 3" xfId="19433"/>
    <cellStyle name="Normal 65 2 3 2 3" xfId="13190"/>
    <cellStyle name="Normal 65 2 3 2 4" xfId="19432"/>
    <cellStyle name="Normal 65 2 3 3" xfId="7073"/>
    <cellStyle name="Normal 65 2 3 3 2" xfId="7074"/>
    <cellStyle name="Normal 65 2 3 3 2 2" xfId="13193"/>
    <cellStyle name="Normal 65 2 3 3 2 3" xfId="19435"/>
    <cellStyle name="Normal 65 2 3 3 3" xfId="13192"/>
    <cellStyle name="Normal 65 2 3 3 4" xfId="19434"/>
    <cellStyle name="Normal 65 2 3 4" xfId="7075"/>
    <cellStyle name="Normal 65 2 3 4 2" xfId="13194"/>
    <cellStyle name="Normal 65 2 3 4 3" xfId="19436"/>
    <cellStyle name="Normal 65 2 3 5" xfId="13189"/>
    <cellStyle name="Normal 65 2 3 6" xfId="19431"/>
    <cellStyle name="Normal 65 2 4" xfId="7076"/>
    <cellStyle name="Normal 65 2 4 2" xfId="7077"/>
    <cellStyle name="Normal 65 2 4 2 2" xfId="13196"/>
    <cellStyle name="Normal 65 2 4 2 3" xfId="19438"/>
    <cellStyle name="Normal 65 2 4 3" xfId="13195"/>
    <cellStyle name="Normal 65 2 4 4" xfId="19437"/>
    <cellStyle name="Normal 65 2 5" xfId="7078"/>
    <cellStyle name="Normal 65 2 5 2" xfId="7079"/>
    <cellStyle name="Normal 65 2 5 2 2" xfId="13198"/>
    <cellStyle name="Normal 65 2 5 2 3" xfId="19440"/>
    <cellStyle name="Normal 65 2 5 3" xfId="13197"/>
    <cellStyle name="Normal 65 2 5 4" xfId="19439"/>
    <cellStyle name="Normal 65 2 6" xfId="7080"/>
    <cellStyle name="Normal 65 2 6 2" xfId="13199"/>
    <cellStyle name="Normal 65 2 6 3" xfId="19441"/>
    <cellStyle name="Normal 65 2 7" xfId="13176"/>
    <cellStyle name="Normal 65 2 8" xfId="19418"/>
    <cellStyle name="Normal 65 3" xfId="7081"/>
    <cellStyle name="Normal 65 3 2" xfId="7082"/>
    <cellStyle name="Normal 65 3 2 2" xfId="7083"/>
    <cellStyle name="Normal 65 3 2 2 2" xfId="7084"/>
    <cellStyle name="Normal 65 3 2 2 2 2" xfId="13203"/>
    <cellStyle name="Normal 65 3 2 2 2 3" xfId="19445"/>
    <cellStyle name="Normal 65 3 2 2 3" xfId="13202"/>
    <cellStyle name="Normal 65 3 2 2 4" xfId="19444"/>
    <cellStyle name="Normal 65 3 2 3" xfId="7085"/>
    <cellStyle name="Normal 65 3 2 3 2" xfId="7086"/>
    <cellStyle name="Normal 65 3 2 3 2 2" xfId="13205"/>
    <cellStyle name="Normal 65 3 2 3 2 3" xfId="19447"/>
    <cellStyle name="Normal 65 3 2 3 3" xfId="13204"/>
    <cellStyle name="Normal 65 3 2 3 4" xfId="19446"/>
    <cellStyle name="Normal 65 3 2 4" xfId="7087"/>
    <cellStyle name="Normal 65 3 2 4 2" xfId="13206"/>
    <cellStyle name="Normal 65 3 2 4 3" xfId="19448"/>
    <cellStyle name="Normal 65 3 2 5" xfId="13201"/>
    <cellStyle name="Normal 65 3 2 6" xfId="19443"/>
    <cellStyle name="Normal 65 3 3" xfId="7088"/>
    <cellStyle name="Normal 65 3 3 2" xfId="7089"/>
    <cellStyle name="Normal 65 3 3 2 2" xfId="13208"/>
    <cellStyle name="Normal 65 3 3 2 3" xfId="19450"/>
    <cellStyle name="Normal 65 3 3 3" xfId="13207"/>
    <cellStyle name="Normal 65 3 3 4" xfId="19449"/>
    <cellStyle name="Normal 65 3 4" xfId="7090"/>
    <cellStyle name="Normal 65 3 4 2" xfId="7091"/>
    <cellStyle name="Normal 65 3 4 2 2" xfId="13210"/>
    <cellStyle name="Normal 65 3 4 2 3" xfId="19452"/>
    <cellStyle name="Normal 65 3 4 3" xfId="13209"/>
    <cellStyle name="Normal 65 3 4 4" xfId="19451"/>
    <cellStyle name="Normal 65 3 5" xfId="7092"/>
    <cellStyle name="Normal 65 3 5 2" xfId="13211"/>
    <cellStyle name="Normal 65 3 5 3" xfId="19453"/>
    <cellStyle name="Normal 65 3 6" xfId="13200"/>
    <cellStyle name="Normal 65 3 7" xfId="19442"/>
    <cellStyle name="Normal 65 4" xfId="7093"/>
    <cellStyle name="Normal 65 4 2" xfId="7094"/>
    <cellStyle name="Normal 65 4 2 2" xfId="7095"/>
    <cellStyle name="Normal 65 4 2 2 2" xfId="13214"/>
    <cellStyle name="Normal 65 4 2 2 3" xfId="19456"/>
    <cellStyle name="Normal 65 4 2 3" xfId="13213"/>
    <cellStyle name="Normal 65 4 2 4" xfId="19455"/>
    <cellStyle name="Normal 65 4 3" xfId="7096"/>
    <cellStyle name="Normal 65 4 3 2" xfId="7097"/>
    <cellStyle name="Normal 65 4 3 2 2" xfId="13216"/>
    <cellStyle name="Normal 65 4 3 2 3" xfId="19458"/>
    <cellStyle name="Normal 65 4 3 3" xfId="13215"/>
    <cellStyle name="Normal 65 4 3 4" xfId="19457"/>
    <cellStyle name="Normal 65 4 4" xfId="7098"/>
    <cellStyle name="Normal 65 4 4 2" xfId="13217"/>
    <cellStyle name="Normal 65 4 4 3" xfId="19459"/>
    <cellStyle name="Normal 65 4 5" xfId="13212"/>
    <cellStyle name="Normal 65 4 6" xfId="19454"/>
    <cellStyle name="Normal 65 5" xfId="7099"/>
    <cellStyle name="Normal 65 5 2" xfId="7100"/>
    <cellStyle name="Normal 65 5 2 2" xfId="13219"/>
    <cellStyle name="Normal 65 5 2 3" xfId="19461"/>
    <cellStyle name="Normal 65 5 3" xfId="13218"/>
    <cellStyle name="Normal 65 5 4" xfId="19460"/>
    <cellStyle name="Normal 65 6" xfId="7101"/>
    <cellStyle name="Normal 65 6 2" xfId="7102"/>
    <cellStyle name="Normal 65 6 2 2" xfId="13221"/>
    <cellStyle name="Normal 65 6 2 3" xfId="19463"/>
    <cellStyle name="Normal 65 6 3" xfId="13220"/>
    <cellStyle name="Normal 65 6 4" xfId="19462"/>
    <cellStyle name="Normal 65 7" xfId="7103"/>
    <cellStyle name="Normal 65 7 2" xfId="13222"/>
    <cellStyle name="Normal 65 7 3" xfId="19464"/>
    <cellStyle name="Normal 65 8" xfId="7104"/>
    <cellStyle name="Normal 65 8 2" xfId="19465"/>
    <cellStyle name="Normal 65 9" xfId="13175"/>
    <cellStyle name="Normal 66" xfId="7105"/>
    <cellStyle name="Normal 66 2" xfId="7106"/>
    <cellStyle name="Normal 66 2 2" xfId="13224"/>
    <cellStyle name="Normal 66 2 3" xfId="19467"/>
    <cellStyle name="Normal 66 3" xfId="7107"/>
    <cellStyle name="Normal 66 3 2" xfId="13225"/>
    <cellStyle name="Normal 66 3 3" xfId="19468"/>
    <cellStyle name="Normal 66 4" xfId="7108"/>
    <cellStyle name="Normal 66 4 2" xfId="19469"/>
    <cellStyle name="Normal 66 5" xfId="13223"/>
    <cellStyle name="Normal 66 6" xfId="19466"/>
    <cellStyle name="Normal 67" xfId="7109"/>
    <cellStyle name="Normal 67 2" xfId="7110"/>
    <cellStyle name="Normal 67 2 2" xfId="13227"/>
    <cellStyle name="Normal 67 2 3" xfId="19471"/>
    <cellStyle name="Normal 67 3" xfId="7111"/>
    <cellStyle name="Normal 67 3 2" xfId="13228"/>
    <cellStyle name="Normal 67 3 3" xfId="19472"/>
    <cellStyle name="Normal 67 4" xfId="7112"/>
    <cellStyle name="Normal 67 4 2" xfId="19473"/>
    <cellStyle name="Normal 67 5" xfId="13226"/>
    <cellStyle name="Normal 67 6" xfId="19470"/>
    <cellStyle name="Normal 68" xfId="7113"/>
    <cellStyle name="Normal 68 2" xfId="7114"/>
    <cellStyle name="Normal 68 2 2" xfId="13230"/>
    <cellStyle name="Normal 68 2 3" xfId="19475"/>
    <cellStyle name="Normal 68 3" xfId="7115"/>
    <cellStyle name="Normal 68 3 2" xfId="13231"/>
    <cellStyle name="Normal 68 3 3" xfId="19476"/>
    <cellStyle name="Normal 68 4" xfId="7116"/>
    <cellStyle name="Normal 68 4 2" xfId="19477"/>
    <cellStyle name="Normal 68 5" xfId="13229"/>
    <cellStyle name="Normal 68 6" xfId="19474"/>
    <cellStyle name="Normal 69" xfId="7117"/>
    <cellStyle name="Normal 69 2" xfId="7118"/>
    <cellStyle name="Normal 69 2 2" xfId="13233"/>
    <cellStyle name="Normal 69 2 3" xfId="19479"/>
    <cellStyle name="Normal 69 3" xfId="7119"/>
    <cellStyle name="Normal 69 3 2" xfId="13234"/>
    <cellStyle name="Normal 69 3 3" xfId="19480"/>
    <cellStyle name="Normal 69 4" xfId="7120"/>
    <cellStyle name="Normal 69 4 2" xfId="19481"/>
    <cellStyle name="Normal 69 5" xfId="13232"/>
    <cellStyle name="Normal 69 6" xfId="19478"/>
    <cellStyle name="Normal 7" xfId="13235"/>
    <cellStyle name="Normal 7 10" xfId="7121"/>
    <cellStyle name="Normal 7 10 2" xfId="7122"/>
    <cellStyle name="Normal 7 10 2 2" xfId="13237"/>
    <cellStyle name="Normal 7 10 2 3" xfId="19483"/>
    <cellStyle name="Normal 7 10 3" xfId="13236"/>
    <cellStyle name="Normal 7 10 4" xfId="19482"/>
    <cellStyle name="Normal 7 11" xfId="7123"/>
    <cellStyle name="Normal 7 11 2" xfId="13238"/>
    <cellStyle name="Normal 7 11 3" xfId="19484"/>
    <cellStyle name="Normal 7 12" xfId="7124"/>
    <cellStyle name="Normal 7 12 2" xfId="19485"/>
    <cellStyle name="Normal 7 2" xfId="7125"/>
    <cellStyle name="Normal 7 2 10" xfId="7126"/>
    <cellStyle name="Normal 7 2 10 2" xfId="13240"/>
    <cellStyle name="Normal 7 2 10 3" xfId="19487"/>
    <cellStyle name="Normal 7 2 11" xfId="7127"/>
    <cellStyle name="Normal 7 2 11 2" xfId="19488"/>
    <cellStyle name="Normal 7 2 12" xfId="13239"/>
    <cellStyle name="Normal 7 2 13" xfId="19486"/>
    <cellStyle name="Normal 7 2 2" xfId="7128"/>
    <cellStyle name="Normal 7 2 2 10" xfId="13241"/>
    <cellStyle name="Normal 7 2 2 11" xfId="19489"/>
    <cellStyle name="Normal 7 2 2 2" xfId="7129"/>
    <cellStyle name="Normal 7 2 2 2 2" xfId="7130"/>
    <cellStyle name="Normal 7 2 2 2 2 2" xfId="7131"/>
    <cellStyle name="Normal 7 2 2 2 2 2 2" xfId="7132"/>
    <cellStyle name="Normal 7 2 2 2 2 2 2 2" xfId="7133"/>
    <cellStyle name="Normal 7 2 2 2 2 2 2 2 2" xfId="7134"/>
    <cellStyle name="Normal 7 2 2 2 2 2 2 2 2 2" xfId="13247"/>
    <cellStyle name="Normal 7 2 2 2 2 2 2 2 2 3" xfId="19495"/>
    <cellStyle name="Normal 7 2 2 2 2 2 2 2 3" xfId="13246"/>
    <cellStyle name="Normal 7 2 2 2 2 2 2 2 4" xfId="19494"/>
    <cellStyle name="Normal 7 2 2 2 2 2 2 3" xfId="7135"/>
    <cellStyle name="Normal 7 2 2 2 2 2 2 3 2" xfId="7136"/>
    <cellStyle name="Normal 7 2 2 2 2 2 2 3 2 2" xfId="13249"/>
    <cellStyle name="Normal 7 2 2 2 2 2 2 3 2 3" xfId="19497"/>
    <cellStyle name="Normal 7 2 2 2 2 2 2 3 3" xfId="13248"/>
    <cellStyle name="Normal 7 2 2 2 2 2 2 3 4" xfId="19496"/>
    <cellStyle name="Normal 7 2 2 2 2 2 2 4" xfId="7137"/>
    <cellStyle name="Normal 7 2 2 2 2 2 2 4 2" xfId="13250"/>
    <cellStyle name="Normal 7 2 2 2 2 2 2 4 3" xfId="19498"/>
    <cellStyle name="Normal 7 2 2 2 2 2 2 5" xfId="13245"/>
    <cellStyle name="Normal 7 2 2 2 2 2 2 6" xfId="19493"/>
    <cellStyle name="Normal 7 2 2 2 2 2 3" xfId="7138"/>
    <cellStyle name="Normal 7 2 2 2 2 2 3 2" xfId="7139"/>
    <cellStyle name="Normal 7 2 2 2 2 2 3 2 2" xfId="13252"/>
    <cellStyle name="Normal 7 2 2 2 2 2 3 2 3" xfId="19500"/>
    <cellStyle name="Normal 7 2 2 2 2 2 3 3" xfId="13251"/>
    <cellStyle name="Normal 7 2 2 2 2 2 3 4" xfId="19499"/>
    <cellStyle name="Normal 7 2 2 2 2 2 4" xfId="7140"/>
    <cellStyle name="Normal 7 2 2 2 2 2 4 2" xfId="7141"/>
    <cellStyle name="Normal 7 2 2 2 2 2 4 2 2" xfId="13254"/>
    <cellStyle name="Normal 7 2 2 2 2 2 4 2 3" xfId="19502"/>
    <cellStyle name="Normal 7 2 2 2 2 2 4 3" xfId="13253"/>
    <cellStyle name="Normal 7 2 2 2 2 2 4 4" xfId="19501"/>
    <cellStyle name="Normal 7 2 2 2 2 2 5" xfId="7142"/>
    <cellStyle name="Normal 7 2 2 2 2 2 5 2" xfId="13255"/>
    <cellStyle name="Normal 7 2 2 2 2 2 5 3" xfId="19503"/>
    <cellStyle name="Normal 7 2 2 2 2 2 6" xfId="13244"/>
    <cellStyle name="Normal 7 2 2 2 2 2 7" xfId="19492"/>
    <cellStyle name="Normal 7 2 2 2 2 3" xfId="7143"/>
    <cellStyle name="Normal 7 2 2 2 2 3 2" xfId="7144"/>
    <cellStyle name="Normal 7 2 2 2 2 3 2 2" xfId="7145"/>
    <cellStyle name="Normal 7 2 2 2 2 3 2 2 2" xfId="13258"/>
    <cellStyle name="Normal 7 2 2 2 2 3 2 2 3" xfId="19506"/>
    <cellStyle name="Normal 7 2 2 2 2 3 2 3" xfId="13257"/>
    <cellStyle name="Normal 7 2 2 2 2 3 2 4" xfId="19505"/>
    <cellStyle name="Normal 7 2 2 2 2 3 3" xfId="7146"/>
    <cellStyle name="Normal 7 2 2 2 2 3 3 2" xfId="7147"/>
    <cellStyle name="Normal 7 2 2 2 2 3 3 2 2" xfId="13260"/>
    <cellStyle name="Normal 7 2 2 2 2 3 3 2 3" xfId="19508"/>
    <cellStyle name="Normal 7 2 2 2 2 3 3 3" xfId="13259"/>
    <cellStyle name="Normal 7 2 2 2 2 3 3 4" xfId="19507"/>
    <cellStyle name="Normal 7 2 2 2 2 3 4" xfId="7148"/>
    <cellStyle name="Normal 7 2 2 2 2 3 4 2" xfId="13261"/>
    <cellStyle name="Normal 7 2 2 2 2 3 4 3" xfId="19509"/>
    <cellStyle name="Normal 7 2 2 2 2 3 5" xfId="13256"/>
    <cellStyle name="Normal 7 2 2 2 2 3 6" xfId="19504"/>
    <cellStyle name="Normal 7 2 2 2 2 4" xfId="7149"/>
    <cellStyle name="Normal 7 2 2 2 2 4 2" xfId="7150"/>
    <cellStyle name="Normal 7 2 2 2 2 4 2 2" xfId="13263"/>
    <cellStyle name="Normal 7 2 2 2 2 4 2 3" xfId="19511"/>
    <cellStyle name="Normal 7 2 2 2 2 4 3" xfId="13262"/>
    <cellStyle name="Normal 7 2 2 2 2 4 4" xfId="19510"/>
    <cellStyle name="Normal 7 2 2 2 2 5" xfId="7151"/>
    <cellStyle name="Normal 7 2 2 2 2 5 2" xfId="7152"/>
    <cellStyle name="Normal 7 2 2 2 2 5 2 2" xfId="13265"/>
    <cellStyle name="Normal 7 2 2 2 2 5 2 3" xfId="19513"/>
    <cellStyle name="Normal 7 2 2 2 2 5 3" xfId="13264"/>
    <cellStyle name="Normal 7 2 2 2 2 5 4" xfId="19512"/>
    <cellStyle name="Normal 7 2 2 2 2 6" xfId="7153"/>
    <cellStyle name="Normal 7 2 2 2 2 6 2" xfId="13266"/>
    <cellStyle name="Normal 7 2 2 2 2 6 3" xfId="19514"/>
    <cellStyle name="Normal 7 2 2 2 2 7" xfId="13243"/>
    <cellStyle name="Normal 7 2 2 2 2 8" xfId="19491"/>
    <cellStyle name="Normal 7 2 2 2 3" xfId="7154"/>
    <cellStyle name="Normal 7 2 2 2 3 2" xfId="7155"/>
    <cellStyle name="Normal 7 2 2 2 3 2 2" xfId="7156"/>
    <cellStyle name="Normal 7 2 2 2 3 2 2 2" xfId="7157"/>
    <cellStyle name="Normal 7 2 2 2 3 2 2 2 2" xfId="13270"/>
    <cellStyle name="Normal 7 2 2 2 3 2 2 2 3" xfId="19518"/>
    <cellStyle name="Normal 7 2 2 2 3 2 2 3" xfId="13269"/>
    <cellStyle name="Normal 7 2 2 2 3 2 2 4" xfId="19517"/>
    <cellStyle name="Normal 7 2 2 2 3 2 3" xfId="7158"/>
    <cellStyle name="Normal 7 2 2 2 3 2 3 2" xfId="7159"/>
    <cellStyle name="Normal 7 2 2 2 3 2 3 2 2" xfId="13272"/>
    <cellStyle name="Normal 7 2 2 2 3 2 3 2 3" xfId="19520"/>
    <cellStyle name="Normal 7 2 2 2 3 2 3 3" xfId="13271"/>
    <cellStyle name="Normal 7 2 2 2 3 2 3 4" xfId="19519"/>
    <cellStyle name="Normal 7 2 2 2 3 2 4" xfId="7160"/>
    <cellStyle name="Normal 7 2 2 2 3 2 4 2" xfId="13273"/>
    <cellStyle name="Normal 7 2 2 2 3 2 4 3" xfId="19521"/>
    <cellStyle name="Normal 7 2 2 2 3 2 5" xfId="13268"/>
    <cellStyle name="Normal 7 2 2 2 3 2 6" xfId="19516"/>
    <cellStyle name="Normal 7 2 2 2 3 3" xfId="7161"/>
    <cellStyle name="Normal 7 2 2 2 3 3 2" xfId="7162"/>
    <cellStyle name="Normal 7 2 2 2 3 3 2 2" xfId="13275"/>
    <cellStyle name="Normal 7 2 2 2 3 3 2 3" xfId="19523"/>
    <cellStyle name="Normal 7 2 2 2 3 3 3" xfId="13274"/>
    <cellStyle name="Normal 7 2 2 2 3 3 4" xfId="19522"/>
    <cellStyle name="Normal 7 2 2 2 3 4" xfId="7163"/>
    <cellStyle name="Normal 7 2 2 2 3 4 2" xfId="7164"/>
    <cellStyle name="Normal 7 2 2 2 3 4 2 2" xfId="13277"/>
    <cellStyle name="Normal 7 2 2 2 3 4 2 3" xfId="19525"/>
    <cellStyle name="Normal 7 2 2 2 3 4 3" xfId="13276"/>
    <cellStyle name="Normal 7 2 2 2 3 4 4" xfId="19524"/>
    <cellStyle name="Normal 7 2 2 2 3 5" xfId="7165"/>
    <cellStyle name="Normal 7 2 2 2 3 5 2" xfId="13278"/>
    <cellStyle name="Normal 7 2 2 2 3 5 3" xfId="19526"/>
    <cellStyle name="Normal 7 2 2 2 3 6" xfId="13267"/>
    <cellStyle name="Normal 7 2 2 2 3 7" xfId="19515"/>
    <cellStyle name="Normal 7 2 2 2 4" xfId="7166"/>
    <cellStyle name="Normal 7 2 2 2 4 2" xfId="7167"/>
    <cellStyle name="Normal 7 2 2 2 4 2 2" xfId="7168"/>
    <cellStyle name="Normal 7 2 2 2 4 2 2 2" xfId="13281"/>
    <cellStyle name="Normal 7 2 2 2 4 2 2 3" xfId="19529"/>
    <cellStyle name="Normal 7 2 2 2 4 2 3" xfId="13280"/>
    <cellStyle name="Normal 7 2 2 2 4 2 4" xfId="19528"/>
    <cellStyle name="Normal 7 2 2 2 4 3" xfId="7169"/>
    <cellStyle name="Normal 7 2 2 2 4 3 2" xfId="7170"/>
    <cellStyle name="Normal 7 2 2 2 4 3 2 2" xfId="13283"/>
    <cellStyle name="Normal 7 2 2 2 4 3 2 3" xfId="19531"/>
    <cellStyle name="Normal 7 2 2 2 4 3 3" xfId="13282"/>
    <cellStyle name="Normal 7 2 2 2 4 3 4" xfId="19530"/>
    <cellStyle name="Normal 7 2 2 2 4 4" xfId="7171"/>
    <cellStyle name="Normal 7 2 2 2 4 4 2" xfId="13284"/>
    <cellStyle name="Normal 7 2 2 2 4 4 3" xfId="19532"/>
    <cellStyle name="Normal 7 2 2 2 4 5" xfId="13279"/>
    <cellStyle name="Normal 7 2 2 2 4 6" xfId="19527"/>
    <cellStyle name="Normal 7 2 2 2 5" xfId="7172"/>
    <cellStyle name="Normal 7 2 2 2 5 2" xfId="7173"/>
    <cellStyle name="Normal 7 2 2 2 5 2 2" xfId="13286"/>
    <cellStyle name="Normal 7 2 2 2 5 2 3" xfId="19534"/>
    <cellStyle name="Normal 7 2 2 2 5 3" xfId="13285"/>
    <cellStyle name="Normal 7 2 2 2 5 4" xfId="19533"/>
    <cellStyle name="Normal 7 2 2 2 6" xfId="7174"/>
    <cellStyle name="Normal 7 2 2 2 6 2" xfId="7175"/>
    <cellStyle name="Normal 7 2 2 2 6 2 2" xfId="13288"/>
    <cellStyle name="Normal 7 2 2 2 6 2 3" xfId="19536"/>
    <cellStyle name="Normal 7 2 2 2 6 3" xfId="13287"/>
    <cellStyle name="Normal 7 2 2 2 6 4" xfId="19535"/>
    <cellStyle name="Normal 7 2 2 2 7" xfId="7176"/>
    <cellStyle name="Normal 7 2 2 2 7 2" xfId="13289"/>
    <cellStyle name="Normal 7 2 2 2 7 3" xfId="19537"/>
    <cellStyle name="Normal 7 2 2 2 8" xfId="13242"/>
    <cellStyle name="Normal 7 2 2 2 9" xfId="19490"/>
    <cellStyle name="Normal 7 2 2 3" xfId="7177"/>
    <cellStyle name="Normal 7 2 2 3 2" xfId="7178"/>
    <cellStyle name="Normal 7 2 2 3 2 2" xfId="7179"/>
    <cellStyle name="Normal 7 2 2 3 2 2 2" xfId="7180"/>
    <cellStyle name="Normal 7 2 2 3 2 2 2 2" xfId="7181"/>
    <cellStyle name="Normal 7 2 2 3 2 2 2 2 2" xfId="13294"/>
    <cellStyle name="Normal 7 2 2 3 2 2 2 2 3" xfId="19542"/>
    <cellStyle name="Normal 7 2 2 3 2 2 2 3" xfId="13293"/>
    <cellStyle name="Normal 7 2 2 3 2 2 2 4" xfId="19541"/>
    <cellStyle name="Normal 7 2 2 3 2 2 3" xfId="7182"/>
    <cellStyle name="Normal 7 2 2 3 2 2 3 2" xfId="7183"/>
    <cellStyle name="Normal 7 2 2 3 2 2 3 2 2" xfId="13296"/>
    <cellStyle name="Normal 7 2 2 3 2 2 3 2 3" xfId="19544"/>
    <cellStyle name="Normal 7 2 2 3 2 2 3 3" xfId="13295"/>
    <cellStyle name="Normal 7 2 2 3 2 2 3 4" xfId="19543"/>
    <cellStyle name="Normal 7 2 2 3 2 2 4" xfId="7184"/>
    <cellStyle name="Normal 7 2 2 3 2 2 4 2" xfId="13297"/>
    <cellStyle name="Normal 7 2 2 3 2 2 4 3" xfId="19545"/>
    <cellStyle name="Normal 7 2 2 3 2 2 5" xfId="13292"/>
    <cellStyle name="Normal 7 2 2 3 2 2 6" xfId="19540"/>
    <cellStyle name="Normal 7 2 2 3 2 3" xfId="7185"/>
    <cellStyle name="Normal 7 2 2 3 2 3 2" xfId="7186"/>
    <cellStyle name="Normal 7 2 2 3 2 3 2 2" xfId="13299"/>
    <cellStyle name="Normal 7 2 2 3 2 3 2 3" xfId="19547"/>
    <cellStyle name="Normal 7 2 2 3 2 3 3" xfId="13298"/>
    <cellStyle name="Normal 7 2 2 3 2 3 4" xfId="19546"/>
    <cellStyle name="Normal 7 2 2 3 2 4" xfId="7187"/>
    <cellStyle name="Normal 7 2 2 3 2 4 2" xfId="7188"/>
    <cellStyle name="Normal 7 2 2 3 2 4 2 2" xfId="13301"/>
    <cellStyle name="Normal 7 2 2 3 2 4 2 3" xfId="19549"/>
    <cellStyle name="Normal 7 2 2 3 2 4 3" xfId="13300"/>
    <cellStyle name="Normal 7 2 2 3 2 4 4" xfId="19548"/>
    <cellStyle name="Normal 7 2 2 3 2 5" xfId="7189"/>
    <cellStyle name="Normal 7 2 2 3 2 5 2" xfId="13302"/>
    <cellStyle name="Normal 7 2 2 3 2 5 3" xfId="19550"/>
    <cellStyle name="Normal 7 2 2 3 2 6" xfId="13291"/>
    <cellStyle name="Normal 7 2 2 3 2 7" xfId="19539"/>
    <cellStyle name="Normal 7 2 2 3 3" xfId="7190"/>
    <cellStyle name="Normal 7 2 2 3 3 2" xfId="7191"/>
    <cellStyle name="Normal 7 2 2 3 3 2 2" xfId="7192"/>
    <cellStyle name="Normal 7 2 2 3 3 2 2 2" xfId="13305"/>
    <cellStyle name="Normal 7 2 2 3 3 2 2 3" xfId="19553"/>
    <cellStyle name="Normal 7 2 2 3 3 2 3" xfId="13304"/>
    <cellStyle name="Normal 7 2 2 3 3 2 4" xfId="19552"/>
    <cellStyle name="Normal 7 2 2 3 3 3" xfId="7193"/>
    <cellStyle name="Normal 7 2 2 3 3 3 2" xfId="7194"/>
    <cellStyle name="Normal 7 2 2 3 3 3 2 2" xfId="13307"/>
    <cellStyle name="Normal 7 2 2 3 3 3 2 3" xfId="19555"/>
    <cellStyle name="Normal 7 2 2 3 3 3 3" xfId="13306"/>
    <cellStyle name="Normal 7 2 2 3 3 3 4" xfId="19554"/>
    <cellStyle name="Normal 7 2 2 3 3 4" xfId="7195"/>
    <cellStyle name="Normal 7 2 2 3 3 4 2" xfId="13308"/>
    <cellStyle name="Normal 7 2 2 3 3 4 3" xfId="19556"/>
    <cellStyle name="Normal 7 2 2 3 3 5" xfId="13303"/>
    <cellStyle name="Normal 7 2 2 3 3 6" xfId="19551"/>
    <cellStyle name="Normal 7 2 2 3 4" xfId="7196"/>
    <cellStyle name="Normal 7 2 2 3 4 2" xfId="7197"/>
    <cellStyle name="Normal 7 2 2 3 4 2 2" xfId="13310"/>
    <cellStyle name="Normal 7 2 2 3 4 2 3" xfId="19558"/>
    <cellStyle name="Normal 7 2 2 3 4 3" xfId="13309"/>
    <cellStyle name="Normal 7 2 2 3 4 4" xfId="19557"/>
    <cellStyle name="Normal 7 2 2 3 5" xfId="7198"/>
    <cellStyle name="Normal 7 2 2 3 5 2" xfId="7199"/>
    <cellStyle name="Normal 7 2 2 3 5 2 2" xfId="13312"/>
    <cellStyle name="Normal 7 2 2 3 5 2 3" xfId="19560"/>
    <cellStyle name="Normal 7 2 2 3 5 3" xfId="13311"/>
    <cellStyle name="Normal 7 2 2 3 5 4" xfId="19559"/>
    <cellStyle name="Normal 7 2 2 3 6" xfId="7200"/>
    <cellStyle name="Normal 7 2 2 3 6 2" xfId="13313"/>
    <cellStyle name="Normal 7 2 2 3 6 3" xfId="19561"/>
    <cellStyle name="Normal 7 2 2 3 7" xfId="13290"/>
    <cellStyle name="Normal 7 2 2 3 8" xfId="19538"/>
    <cellStyle name="Normal 7 2 2 4" xfId="7201"/>
    <cellStyle name="Normal 7 2 2 4 2" xfId="7202"/>
    <cellStyle name="Normal 7 2 2 4 2 2" xfId="7203"/>
    <cellStyle name="Normal 7 2 2 4 2 2 2" xfId="7204"/>
    <cellStyle name="Normal 7 2 2 4 2 2 2 2" xfId="13317"/>
    <cellStyle name="Normal 7 2 2 4 2 2 2 3" xfId="19565"/>
    <cellStyle name="Normal 7 2 2 4 2 2 3" xfId="13316"/>
    <cellStyle name="Normal 7 2 2 4 2 2 4" xfId="19564"/>
    <cellStyle name="Normal 7 2 2 4 2 3" xfId="7205"/>
    <cellStyle name="Normal 7 2 2 4 2 3 2" xfId="7206"/>
    <cellStyle name="Normal 7 2 2 4 2 3 2 2" xfId="13319"/>
    <cellStyle name="Normal 7 2 2 4 2 3 2 3" xfId="19567"/>
    <cellStyle name="Normal 7 2 2 4 2 3 3" xfId="13318"/>
    <cellStyle name="Normal 7 2 2 4 2 3 4" xfId="19566"/>
    <cellStyle name="Normal 7 2 2 4 2 4" xfId="7207"/>
    <cellStyle name="Normal 7 2 2 4 2 4 2" xfId="13320"/>
    <cellStyle name="Normal 7 2 2 4 2 4 3" xfId="19568"/>
    <cellStyle name="Normal 7 2 2 4 2 5" xfId="13315"/>
    <cellStyle name="Normal 7 2 2 4 2 6" xfId="19563"/>
    <cellStyle name="Normal 7 2 2 4 3" xfId="7208"/>
    <cellStyle name="Normal 7 2 2 4 3 2" xfId="7209"/>
    <cellStyle name="Normal 7 2 2 4 3 2 2" xfId="13322"/>
    <cellStyle name="Normal 7 2 2 4 3 2 3" xfId="19570"/>
    <cellStyle name="Normal 7 2 2 4 3 3" xfId="13321"/>
    <cellStyle name="Normal 7 2 2 4 3 4" xfId="19569"/>
    <cellStyle name="Normal 7 2 2 4 4" xfId="7210"/>
    <cellStyle name="Normal 7 2 2 4 4 2" xfId="7211"/>
    <cellStyle name="Normal 7 2 2 4 4 2 2" xfId="13324"/>
    <cellStyle name="Normal 7 2 2 4 4 2 3" xfId="19572"/>
    <cellStyle name="Normal 7 2 2 4 4 3" xfId="13323"/>
    <cellStyle name="Normal 7 2 2 4 4 4" xfId="19571"/>
    <cellStyle name="Normal 7 2 2 4 5" xfId="7212"/>
    <cellStyle name="Normal 7 2 2 4 5 2" xfId="13325"/>
    <cellStyle name="Normal 7 2 2 4 5 3" xfId="19573"/>
    <cellStyle name="Normal 7 2 2 4 6" xfId="13314"/>
    <cellStyle name="Normal 7 2 2 4 7" xfId="19562"/>
    <cellStyle name="Normal 7 2 2 5" xfId="7213"/>
    <cellStyle name="Normal 7 2 2 5 2" xfId="7214"/>
    <cellStyle name="Normal 7 2 2 5 2 2" xfId="7215"/>
    <cellStyle name="Normal 7 2 2 5 2 2 2" xfId="13328"/>
    <cellStyle name="Normal 7 2 2 5 2 2 3" xfId="19576"/>
    <cellStyle name="Normal 7 2 2 5 2 3" xfId="13327"/>
    <cellStyle name="Normal 7 2 2 5 2 4" xfId="19575"/>
    <cellStyle name="Normal 7 2 2 5 3" xfId="7216"/>
    <cellStyle name="Normal 7 2 2 5 3 2" xfId="7217"/>
    <cellStyle name="Normal 7 2 2 5 3 2 2" xfId="13330"/>
    <cellStyle name="Normal 7 2 2 5 3 2 3" xfId="19578"/>
    <cellStyle name="Normal 7 2 2 5 3 3" xfId="13329"/>
    <cellStyle name="Normal 7 2 2 5 3 4" xfId="19577"/>
    <cellStyle name="Normal 7 2 2 5 4" xfId="7218"/>
    <cellStyle name="Normal 7 2 2 5 4 2" xfId="13331"/>
    <cellStyle name="Normal 7 2 2 5 4 3" xfId="19579"/>
    <cellStyle name="Normal 7 2 2 5 5" xfId="13326"/>
    <cellStyle name="Normal 7 2 2 5 6" xfId="19574"/>
    <cellStyle name="Normal 7 2 2 6" xfId="7219"/>
    <cellStyle name="Normal 7 2 2 6 2" xfId="7220"/>
    <cellStyle name="Normal 7 2 2 6 2 2" xfId="13333"/>
    <cellStyle name="Normal 7 2 2 6 2 3" xfId="19581"/>
    <cellStyle name="Normal 7 2 2 6 3" xfId="13332"/>
    <cellStyle name="Normal 7 2 2 6 4" xfId="19580"/>
    <cellStyle name="Normal 7 2 2 7" xfId="7221"/>
    <cellStyle name="Normal 7 2 2 7 2" xfId="7222"/>
    <cellStyle name="Normal 7 2 2 7 2 2" xfId="13335"/>
    <cellStyle name="Normal 7 2 2 7 2 3" xfId="19583"/>
    <cellStyle name="Normal 7 2 2 7 3" xfId="13334"/>
    <cellStyle name="Normal 7 2 2 7 4" xfId="19582"/>
    <cellStyle name="Normal 7 2 2 8" xfId="7223"/>
    <cellStyle name="Normal 7 2 2 8 2" xfId="13336"/>
    <cellStyle name="Normal 7 2 2 8 3" xfId="19584"/>
    <cellStyle name="Normal 7 2 2 9" xfId="7224"/>
    <cellStyle name="Normal 7 2 2 9 2" xfId="19585"/>
    <cellStyle name="Normal 7 2 3" xfId="7225"/>
    <cellStyle name="Normal 7 2 3 2" xfId="7226"/>
    <cellStyle name="Normal 7 2 3 2 2" xfId="7227"/>
    <cellStyle name="Normal 7 2 3 2 2 2" xfId="7228"/>
    <cellStyle name="Normal 7 2 3 2 2 2 2" xfId="7229"/>
    <cellStyle name="Normal 7 2 3 2 2 2 2 2" xfId="7230"/>
    <cellStyle name="Normal 7 2 3 2 2 2 2 2 2" xfId="13342"/>
    <cellStyle name="Normal 7 2 3 2 2 2 2 2 3" xfId="19591"/>
    <cellStyle name="Normal 7 2 3 2 2 2 2 3" xfId="13341"/>
    <cellStyle name="Normal 7 2 3 2 2 2 2 4" xfId="19590"/>
    <cellStyle name="Normal 7 2 3 2 2 2 3" xfId="7231"/>
    <cellStyle name="Normal 7 2 3 2 2 2 3 2" xfId="7232"/>
    <cellStyle name="Normal 7 2 3 2 2 2 3 2 2" xfId="13344"/>
    <cellStyle name="Normal 7 2 3 2 2 2 3 2 3" xfId="19593"/>
    <cellStyle name="Normal 7 2 3 2 2 2 3 3" xfId="13343"/>
    <cellStyle name="Normal 7 2 3 2 2 2 3 4" xfId="19592"/>
    <cellStyle name="Normal 7 2 3 2 2 2 4" xfId="7233"/>
    <cellStyle name="Normal 7 2 3 2 2 2 4 2" xfId="13345"/>
    <cellStyle name="Normal 7 2 3 2 2 2 4 3" xfId="19594"/>
    <cellStyle name="Normal 7 2 3 2 2 2 5" xfId="13340"/>
    <cellStyle name="Normal 7 2 3 2 2 2 6" xfId="19589"/>
    <cellStyle name="Normal 7 2 3 2 2 3" xfId="7234"/>
    <cellStyle name="Normal 7 2 3 2 2 3 2" xfId="7235"/>
    <cellStyle name="Normal 7 2 3 2 2 3 2 2" xfId="13347"/>
    <cellStyle name="Normal 7 2 3 2 2 3 2 3" xfId="19596"/>
    <cellStyle name="Normal 7 2 3 2 2 3 3" xfId="13346"/>
    <cellStyle name="Normal 7 2 3 2 2 3 4" xfId="19595"/>
    <cellStyle name="Normal 7 2 3 2 2 4" xfId="7236"/>
    <cellStyle name="Normal 7 2 3 2 2 4 2" xfId="7237"/>
    <cellStyle name="Normal 7 2 3 2 2 4 2 2" xfId="13349"/>
    <cellStyle name="Normal 7 2 3 2 2 4 2 3" xfId="19598"/>
    <cellStyle name="Normal 7 2 3 2 2 4 3" xfId="13348"/>
    <cellStyle name="Normal 7 2 3 2 2 4 4" xfId="19597"/>
    <cellStyle name="Normal 7 2 3 2 2 5" xfId="7238"/>
    <cellStyle name="Normal 7 2 3 2 2 5 2" xfId="13350"/>
    <cellStyle name="Normal 7 2 3 2 2 5 3" xfId="19599"/>
    <cellStyle name="Normal 7 2 3 2 2 6" xfId="13339"/>
    <cellStyle name="Normal 7 2 3 2 2 7" xfId="19588"/>
    <cellStyle name="Normal 7 2 3 2 3" xfId="7239"/>
    <cellStyle name="Normal 7 2 3 2 3 2" xfId="7240"/>
    <cellStyle name="Normal 7 2 3 2 3 2 2" xfId="7241"/>
    <cellStyle name="Normal 7 2 3 2 3 2 2 2" xfId="13353"/>
    <cellStyle name="Normal 7 2 3 2 3 2 2 3" xfId="19602"/>
    <cellStyle name="Normal 7 2 3 2 3 2 3" xfId="13352"/>
    <cellStyle name="Normal 7 2 3 2 3 2 4" xfId="19601"/>
    <cellStyle name="Normal 7 2 3 2 3 3" xfId="7242"/>
    <cellStyle name="Normal 7 2 3 2 3 3 2" xfId="7243"/>
    <cellStyle name="Normal 7 2 3 2 3 3 2 2" xfId="13355"/>
    <cellStyle name="Normal 7 2 3 2 3 3 2 3" xfId="19604"/>
    <cellStyle name="Normal 7 2 3 2 3 3 3" xfId="13354"/>
    <cellStyle name="Normal 7 2 3 2 3 3 4" xfId="19603"/>
    <cellStyle name="Normal 7 2 3 2 3 4" xfId="7244"/>
    <cellStyle name="Normal 7 2 3 2 3 4 2" xfId="13356"/>
    <cellStyle name="Normal 7 2 3 2 3 4 3" xfId="19605"/>
    <cellStyle name="Normal 7 2 3 2 3 5" xfId="13351"/>
    <cellStyle name="Normal 7 2 3 2 3 6" xfId="19600"/>
    <cellStyle name="Normal 7 2 3 2 4" xfId="7245"/>
    <cellStyle name="Normal 7 2 3 2 4 2" xfId="7246"/>
    <cellStyle name="Normal 7 2 3 2 4 2 2" xfId="13358"/>
    <cellStyle name="Normal 7 2 3 2 4 2 3" xfId="19607"/>
    <cellStyle name="Normal 7 2 3 2 4 3" xfId="13357"/>
    <cellStyle name="Normal 7 2 3 2 4 4" xfId="19606"/>
    <cellStyle name="Normal 7 2 3 2 5" xfId="7247"/>
    <cellStyle name="Normal 7 2 3 2 5 2" xfId="7248"/>
    <cellStyle name="Normal 7 2 3 2 5 2 2" xfId="13360"/>
    <cellStyle name="Normal 7 2 3 2 5 2 3" xfId="19609"/>
    <cellStyle name="Normal 7 2 3 2 5 3" xfId="13359"/>
    <cellStyle name="Normal 7 2 3 2 5 4" xfId="19608"/>
    <cellStyle name="Normal 7 2 3 2 6" xfId="7249"/>
    <cellStyle name="Normal 7 2 3 2 6 2" xfId="13361"/>
    <cellStyle name="Normal 7 2 3 2 6 3" xfId="19610"/>
    <cellStyle name="Normal 7 2 3 2 7" xfId="13338"/>
    <cellStyle name="Normal 7 2 3 2 8" xfId="19587"/>
    <cellStyle name="Normal 7 2 3 3" xfId="7250"/>
    <cellStyle name="Normal 7 2 3 3 2" xfId="7251"/>
    <cellStyle name="Normal 7 2 3 3 2 2" xfId="7252"/>
    <cellStyle name="Normal 7 2 3 3 2 2 2" xfId="7253"/>
    <cellStyle name="Normal 7 2 3 3 2 2 2 2" xfId="13365"/>
    <cellStyle name="Normal 7 2 3 3 2 2 2 3" xfId="19614"/>
    <cellStyle name="Normal 7 2 3 3 2 2 3" xfId="13364"/>
    <cellStyle name="Normal 7 2 3 3 2 2 4" xfId="19613"/>
    <cellStyle name="Normal 7 2 3 3 2 3" xfId="7254"/>
    <cellStyle name="Normal 7 2 3 3 2 3 2" xfId="7255"/>
    <cellStyle name="Normal 7 2 3 3 2 3 2 2" xfId="13367"/>
    <cellStyle name="Normal 7 2 3 3 2 3 2 3" xfId="19616"/>
    <cellStyle name="Normal 7 2 3 3 2 3 3" xfId="13366"/>
    <cellStyle name="Normal 7 2 3 3 2 3 4" xfId="19615"/>
    <cellStyle name="Normal 7 2 3 3 2 4" xfId="7256"/>
    <cellStyle name="Normal 7 2 3 3 2 4 2" xfId="13368"/>
    <cellStyle name="Normal 7 2 3 3 2 4 3" xfId="19617"/>
    <cellStyle name="Normal 7 2 3 3 2 5" xfId="13363"/>
    <cellStyle name="Normal 7 2 3 3 2 6" xfId="19612"/>
    <cellStyle name="Normal 7 2 3 3 3" xfId="7257"/>
    <cellStyle name="Normal 7 2 3 3 3 2" xfId="7258"/>
    <cellStyle name="Normal 7 2 3 3 3 2 2" xfId="13370"/>
    <cellStyle name="Normal 7 2 3 3 3 2 3" xfId="19619"/>
    <cellStyle name="Normal 7 2 3 3 3 3" xfId="13369"/>
    <cellStyle name="Normal 7 2 3 3 3 4" xfId="19618"/>
    <cellStyle name="Normal 7 2 3 3 4" xfId="7259"/>
    <cellStyle name="Normal 7 2 3 3 4 2" xfId="7260"/>
    <cellStyle name="Normal 7 2 3 3 4 2 2" xfId="13372"/>
    <cellStyle name="Normal 7 2 3 3 4 2 3" xfId="19621"/>
    <cellStyle name="Normal 7 2 3 3 4 3" xfId="13371"/>
    <cellStyle name="Normal 7 2 3 3 4 4" xfId="19620"/>
    <cellStyle name="Normal 7 2 3 3 5" xfId="7261"/>
    <cellStyle name="Normal 7 2 3 3 5 2" xfId="13373"/>
    <cellStyle name="Normal 7 2 3 3 5 3" xfId="19622"/>
    <cellStyle name="Normal 7 2 3 3 6" xfId="13362"/>
    <cellStyle name="Normal 7 2 3 3 7" xfId="19611"/>
    <cellStyle name="Normal 7 2 3 4" xfId="7262"/>
    <cellStyle name="Normal 7 2 3 4 2" xfId="7263"/>
    <cellStyle name="Normal 7 2 3 4 2 2" xfId="7264"/>
    <cellStyle name="Normal 7 2 3 4 2 2 2" xfId="13376"/>
    <cellStyle name="Normal 7 2 3 4 2 2 3" xfId="19625"/>
    <cellStyle name="Normal 7 2 3 4 2 3" xfId="13375"/>
    <cellStyle name="Normal 7 2 3 4 2 4" xfId="19624"/>
    <cellStyle name="Normal 7 2 3 4 3" xfId="7265"/>
    <cellStyle name="Normal 7 2 3 4 3 2" xfId="7266"/>
    <cellStyle name="Normal 7 2 3 4 3 2 2" xfId="13378"/>
    <cellStyle name="Normal 7 2 3 4 3 2 3" xfId="19627"/>
    <cellStyle name="Normal 7 2 3 4 3 3" xfId="13377"/>
    <cellStyle name="Normal 7 2 3 4 3 4" xfId="19626"/>
    <cellStyle name="Normal 7 2 3 4 4" xfId="7267"/>
    <cellStyle name="Normal 7 2 3 4 4 2" xfId="13379"/>
    <cellStyle name="Normal 7 2 3 4 4 3" xfId="19628"/>
    <cellStyle name="Normal 7 2 3 4 5" xfId="13374"/>
    <cellStyle name="Normal 7 2 3 4 6" xfId="19623"/>
    <cellStyle name="Normal 7 2 3 5" xfId="7268"/>
    <cellStyle name="Normal 7 2 3 5 2" xfId="7269"/>
    <cellStyle name="Normal 7 2 3 5 2 2" xfId="13381"/>
    <cellStyle name="Normal 7 2 3 5 2 3" xfId="19630"/>
    <cellStyle name="Normal 7 2 3 5 3" xfId="13380"/>
    <cellStyle name="Normal 7 2 3 5 4" xfId="19629"/>
    <cellStyle name="Normal 7 2 3 6" xfId="7270"/>
    <cellStyle name="Normal 7 2 3 6 2" xfId="7271"/>
    <cellStyle name="Normal 7 2 3 6 2 2" xfId="13383"/>
    <cellStyle name="Normal 7 2 3 6 2 3" xfId="19632"/>
    <cellStyle name="Normal 7 2 3 6 3" xfId="13382"/>
    <cellStyle name="Normal 7 2 3 6 4" xfId="19631"/>
    <cellStyle name="Normal 7 2 3 7" xfId="7272"/>
    <cellStyle name="Normal 7 2 3 7 2" xfId="13384"/>
    <cellStyle name="Normal 7 2 3 7 3" xfId="19633"/>
    <cellStyle name="Normal 7 2 3 8" xfId="13337"/>
    <cellStyle name="Normal 7 2 3 9" xfId="19586"/>
    <cellStyle name="Normal 7 2 4" xfId="7273"/>
    <cellStyle name="Normal 7 2 4 2" xfId="7274"/>
    <cellStyle name="Normal 7 2 4 2 2" xfId="7275"/>
    <cellStyle name="Normal 7 2 4 2 2 2" xfId="7276"/>
    <cellStyle name="Normal 7 2 4 2 2 2 2" xfId="7277"/>
    <cellStyle name="Normal 7 2 4 2 2 2 2 2" xfId="7278"/>
    <cellStyle name="Normal 7 2 4 2 2 2 2 2 2" xfId="13390"/>
    <cellStyle name="Normal 7 2 4 2 2 2 2 2 3" xfId="19639"/>
    <cellStyle name="Normal 7 2 4 2 2 2 2 3" xfId="13389"/>
    <cellStyle name="Normal 7 2 4 2 2 2 2 4" xfId="19638"/>
    <cellStyle name="Normal 7 2 4 2 2 2 3" xfId="7279"/>
    <cellStyle name="Normal 7 2 4 2 2 2 3 2" xfId="7280"/>
    <cellStyle name="Normal 7 2 4 2 2 2 3 2 2" xfId="13392"/>
    <cellStyle name="Normal 7 2 4 2 2 2 3 2 3" xfId="19641"/>
    <cellStyle name="Normal 7 2 4 2 2 2 3 3" xfId="13391"/>
    <cellStyle name="Normal 7 2 4 2 2 2 3 4" xfId="19640"/>
    <cellStyle name="Normal 7 2 4 2 2 2 4" xfId="7281"/>
    <cellStyle name="Normal 7 2 4 2 2 2 4 2" xfId="13393"/>
    <cellStyle name="Normal 7 2 4 2 2 2 4 3" xfId="19642"/>
    <cellStyle name="Normal 7 2 4 2 2 2 5" xfId="13388"/>
    <cellStyle name="Normal 7 2 4 2 2 2 6" xfId="19637"/>
    <cellStyle name="Normal 7 2 4 2 2 3" xfId="7282"/>
    <cellStyle name="Normal 7 2 4 2 2 3 2" xfId="7283"/>
    <cellStyle name="Normal 7 2 4 2 2 3 2 2" xfId="13395"/>
    <cellStyle name="Normal 7 2 4 2 2 3 2 3" xfId="19644"/>
    <cellStyle name="Normal 7 2 4 2 2 3 3" xfId="13394"/>
    <cellStyle name="Normal 7 2 4 2 2 3 4" xfId="19643"/>
    <cellStyle name="Normal 7 2 4 2 2 4" xfId="7284"/>
    <cellStyle name="Normal 7 2 4 2 2 4 2" xfId="7285"/>
    <cellStyle name="Normal 7 2 4 2 2 4 2 2" xfId="13397"/>
    <cellStyle name="Normal 7 2 4 2 2 4 2 3" xfId="19646"/>
    <cellStyle name="Normal 7 2 4 2 2 4 3" xfId="13396"/>
    <cellStyle name="Normal 7 2 4 2 2 4 4" xfId="19645"/>
    <cellStyle name="Normal 7 2 4 2 2 5" xfId="7286"/>
    <cellStyle name="Normal 7 2 4 2 2 5 2" xfId="13398"/>
    <cellStyle name="Normal 7 2 4 2 2 5 3" xfId="19647"/>
    <cellStyle name="Normal 7 2 4 2 2 6" xfId="13387"/>
    <cellStyle name="Normal 7 2 4 2 2 7" xfId="19636"/>
    <cellStyle name="Normal 7 2 4 2 3" xfId="7287"/>
    <cellStyle name="Normal 7 2 4 2 3 2" xfId="7288"/>
    <cellStyle name="Normal 7 2 4 2 3 2 2" xfId="7289"/>
    <cellStyle name="Normal 7 2 4 2 3 2 2 2" xfId="13401"/>
    <cellStyle name="Normal 7 2 4 2 3 2 2 3" xfId="19650"/>
    <cellStyle name="Normal 7 2 4 2 3 2 3" xfId="13400"/>
    <cellStyle name="Normal 7 2 4 2 3 2 4" xfId="19649"/>
    <cellStyle name="Normal 7 2 4 2 3 3" xfId="7290"/>
    <cellStyle name="Normal 7 2 4 2 3 3 2" xfId="7291"/>
    <cellStyle name="Normal 7 2 4 2 3 3 2 2" xfId="13403"/>
    <cellStyle name="Normal 7 2 4 2 3 3 2 3" xfId="19652"/>
    <cellStyle name="Normal 7 2 4 2 3 3 3" xfId="13402"/>
    <cellStyle name="Normal 7 2 4 2 3 3 4" xfId="19651"/>
    <cellStyle name="Normal 7 2 4 2 3 4" xfId="7292"/>
    <cellStyle name="Normal 7 2 4 2 3 4 2" xfId="13404"/>
    <cellStyle name="Normal 7 2 4 2 3 4 3" xfId="19653"/>
    <cellStyle name="Normal 7 2 4 2 3 5" xfId="13399"/>
    <cellStyle name="Normal 7 2 4 2 3 6" xfId="19648"/>
    <cellStyle name="Normal 7 2 4 2 4" xfId="7293"/>
    <cellStyle name="Normal 7 2 4 2 4 2" xfId="7294"/>
    <cellStyle name="Normal 7 2 4 2 4 2 2" xfId="13406"/>
    <cellStyle name="Normal 7 2 4 2 4 2 3" xfId="19655"/>
    <cellStyle name="Normal 7 2 4 2 4 3" xfId="13405"/>
    <cellStyle name="Normal 7 2 4 2 4 4" xfId="19654"/>
    <cellStyle name="Normal 7 2 4 2 5" xfId="7295"/>
    <cellStyle name="Normal 7 2 4 2 5 2" xfId="7296"/>
    <cellStyle name="Normal 7 2 4 2 5 2 2" xfId="13408"/>
    <cellStyle name="Normal 7 2 4 2 5 2 3" xfId="19657"/>
    <cellStyle name="Normal 7 2 4 2 5 3" xfId="13407"/>
    <cellStyle name="Normal 7 2 4 2 5 4" xfId="19656"/>
    <cellStyle name="Normal 7 2 4 2 6" xfId="7297"/>
    <cellStyle name="Normal 7 2 4 2 6 2" xfId="13409"/>
    <cellStyle name="Normal 7 2 4 2 6 3" xfId="19658"/>
    <cellStyle name="Normal 7 2 4 2 7" xfId="13386"/>
    <cellStyle name="Normal 7 2 4 2 8" xfId="19635"/>
    <cellStyle name="Normal 7 2 4 3" xfId="7298"/>
    <cellStyle name="Normal 7 2 4 3 2" xfId="7299"/>
    <cellStyle name="Normal 7 2 4 3 2 2" xfId="7300"/>
    <cellStyle name="Normal 7 2 4 3 2 2 2" xfId="7301"/>
    <cellStyle name="Normal 7 2 4 3 2 2 2 2" xfId="13413"/>
    <cellStyle name="Normal 7 2 4 3 2 2 2 3" xfId="19662"/>
    <cellStyle name="Normal 7 2 4 3 2 2 3" xfId="13412"/>
    <cellStyle name="Normal 7 2 4 3 2 2 4" xfId="19661"/>
    <cellStyle name="Normal 7 2 4 3 2 3" xfId="7302"/>
    <cellStyle name="Normal 7 2 4 3 2 3 2" xfId="7303"/>
    <cellStyle name="Normal 7 2 4 3 2 3 2 2" xfId="13415"/>
    <cellStyle name="Normal 7 2 4 3 2 3 2 3" xfId="19664"/>
    <cellStyle name="Normal 7 2 4 3 2 3 3" xfId="13414"/>
    <cellStyle name="Normal 7 2 4 3 2 3 4" xfId="19663"/>
    <cellStyle name="Normal 7 2 4 3 2 4" xfId="7304"/>
    <cellStyle name="Normal 7 2 4 3 2 4 2" xfId="13416"/>
    <cellStyle name="Normal 7 2 4 3 2 4 3" xfId="19665"/>
    <cellStyle name="Normal 7 2 4 3 2 5" xfId="13411"/>
    <cellStyle name="Normal 7 2 4 3 2 6" xfId="19660"/>
    <cellStyle name="Normal 7 2 4 3 3" xfId="7305"/>
    <cellStyle name="Normal 7 2 4 3 3 2" xfId="7306"/>
    <cellStyle name="Normal 7 2 4 3 3 2 2" xfId="13418"/>
    <cellStyle name="Normal 7 2 4 3 3 2 3" xfId="19667"/>
    <cellStyle name="Normal 7 2 4 3 3 3" xfId="13417"/>
    <cellStyle name="Normal 7 2 4 3 3 4" xfId="19666"/>
    <cellStyle name="Normal 7 2 4 3 4" xfId="7307"/>
    <cellStyle name="Normal 7 2 4 3 4 2" xfId="7308"/>
    <cellStyle name="Normal 7 2 4 3 4 2 2" xfId="13420"/>
    <cellStyle name="Normal 7 2 4 3 4 2 3" xfId="19669"/>
    <cellStyle name="Normal 7 2 4 3 4 3" xfId="13419"/>
    <cellStyle name="Normal 7 2 4 3 4 4" xfId="19668"/>
    <cellStyle name="Normal 7 2 4 3 5" xfId="7309"/>
    <cellStyle name="Normal 7 2 4 3 5 2" xfId="13421"/>
    <cellStyle name="Normal 7 2 4 3 5 3" xfId="19670"/>
    <cellStyle name="Normal 7 2 4 3 6" xfId="13410"/>
    <cellStyle name="Normal 7 2 4 3 7" xfId="19659"/>
    <cellStyle name="Normal 7 2 4 4" xfId="7310"/>
    <cellStyle name="Normal 7 2 4 4 2" xfId="7311"/>
    <cellStyle name="Normal 7 2 4 4 2 2" xfId="7312"/>
    <cellStyle name="Normal 7 2 4 4 2 2 2" xfId="13424"/>
    <cellStyle name="Normal 7 2 4 4 2 2 3" xfId="19673"/>
    <cellStyle name="Normal 7 2 4 4 2 3" xfId="13423"/>
    <cellStyle name="Normal 7 2 4 4 2 4" xfId="19672"/>
    <cellStyle name="Normal 7 2 4 4 3" xfId="7313"/>
    <cellStyle name="Normal 7 2 4 4 3 2" xfId="7314"/>
    <cellStyle name="Normal 7 2 4 4 3 2 2" xfId="13426"/>
    <cellStyle name="Normal 7 2 4 4 3 2 3" xfId="19675"/>
    <cellStyle name="Normal 7 2 4 4 3 3" xfId="13425"/>
    <cellStyle name="Normal 7 2 4 4 3 4" xfId="19674"/>
    <cellStyle name="Normal 7 2 4 4 4" xfId="7315"/>
    <cellStyle name="Normal 7 2 4 4 4 2" xfId="13427"/>
    <cellStyle name="Normal 7 2 4 4 4 3" xfId="19676"/>
    <cellStyle name="Normal 7 2 4 4 5" xfId="13422"/>
    <cellStyle name="Normal 7 2 4 4 6" xfId="19671"/>
    <cellStyle name="Normal 7 2 4 5" xfId="7316"/>
    <cellStyle name="Normal 7 2 4 5 2" xfId="7317"/>
    <cellStyle name="Normal 7 2 4 5 2 2" xfId="13429"/>
    <cellStyle name="Normal 7 2 4 5 2 3" xfId="19678"/>
    <cellStyle name="Normal 7 2 4 5 3" xfId="13428"/>
    <cellStyle name="Normal 7 2 4 5 4" xfId="19677"/>
    <cellStyle name="Normal 7 2 4 6" xfId="7318"/>
    <cellStyle name="Normal 7 2 4 6 2" xfId="7319"/>
    <cellStyle name="Normal 7 2 4 6 2 2" xfId="13431"/>
    <cellStyle name="Normal 7 2 4 6 2 3" xfId="19680"/>
    <cellStyle name="Normal 7 2 4 6 3" xfId="13430"/>
    <cellStyle name="Normal 7 2 4 6 4" xfId="19679"/>
    <cellStyle name="Normal 7 2 4 7" xfId="7320"/>
    <cellStyle name="Normal 7 2 4 7 2" xfId="13432"/>
    <cellStyle name="Normal 7 2 4 7 3" xfId="19681"/>
    <cellStyle name="Normal 7 2 4 8" xfId="13385"/>
    <cellStyle name="Normal 7 2 4 9" xfId="19634"/>
    <cellStyle name="Normal 7 2 5" xfId="7321"/>
    <cellStyle name="Normal 7 2 5 2" xfId="7322"/>
    <cellStyle name="Normal 7 2 5 2 2" xfId="7323"/>
    <cellStyle name="Normal 7 2 5 2 2 2" xfId="7324"/>
    <cellStyle name="Normal 7 2 5 2 2 2 2" xfId="7325"/>
    <cellStyle name="Normal 7 2 5 2 2 2 2 2" xfId="13437"/>
    <cellStyle name="Normal 7 2 5 2 2 2 2 3" xfId="19686"/>
    <cellStyle name="Normal 7 2 5 2 2 2 3" xfId="13436"/>
    <cellStyle name="Normal 7 2 5 2 2 2 4" xfId="19685"/>
    <cellStyle name="Normal 7 2 5 2 2 3" xfId="7326"/>
    <cellStyle name="Normal 7 2 5 2 2 3 2" xfId="7327"/>
    <cellStyle name="Normal 7 2 5 2 2 3 2 2" xfId="13439"/>
    <cellStyle name="Normal 7 2 5 2 2 3 2 3" xfId="19688"/>
    <cellStyle name="Normal 7 2 5 2 2 3 3" xfId="13438"/>
    <cellStyle name="Normal 7 2 5 2 2 3 4" xfId="19687"/>
    <cellStyle name="Normal 7 2 5 2 2 4" xfId="7328"/>
    <cellStyle name="Normal 7 2 5 2 2 4 2" xfId="13440"/>
    <cellStyle name="Normal 7 2 5 2 2 4 3" xfId="19689"/>
    <cellStyle name="Normal 7 2 5 2 2 5" xfId="13435"/>
    <cellStyle name="Normal 7 2 5 2 2 6" xfId="19684"/>
    <cellStyle name="Normal 7 2 5 2 3" xfId="7329"/>
    <cellStyle name="Normal 7 2 5 2 3 2" xfId="7330"/>
    <cellStyle name="Normal 7 2 5 2 3 2 2" xfId="13442"/>
    <cellStyle name="Normal 7 2 5 2 3 2 3" xfId="19691"/>
    <cellStyle name="Normal 7 2 5 2 3 3" xfId="13441"/>
    <cellStyle name="Normal 7 2 5 2 3 4" xfId="19690"/>
    <cellStyle name="Normal 7 2 5 2 4" xfId="7331"/>
    <cellStyle name="Normal 7 2 5 2 4 2" xfId="7332"/>
    <cellStyle name="Normal 7 2 5 2 4 2 2" xfId="13444"/>
    <cellStyle name="Normal 7 2 5 2 4 2 3" xfId="19693"/>
    <cellStyle name="Normal 7 2 5 2 4 3" xfId="13443"/>
    <cellStyle name="Normal 7 2 5 2 4 4" xfId="19692"/>
    <cellStyle name="Normal 7 2 5 2 5" xfId="7333"/>
    <cellStyle name="Normal 7 2 5 2 5 2" xfId="13445"/>
    <cellStyle name="Normal 7 2 5 2 5 3" xfId="19694"/>
    <cellStyle name="Normal 7 2 5 2 6" xfId="13434"/>
    <cellStyle name="Normal 7 2 5 2 7" xfId="19683"/>
    <cellStyle name="Normal 7 2 5 3" xfId="7334"/>
    <cellStyle name="Normal 7 2 5 3 2" xfId="7335"/>
    <cellStyle name="Normal 7 2 5 3 2 2" xfId="7336"/>
    <cellStyle name="Normal 7 2 5 3 2 2 2" xfId="13448"/>
    <cellStyle name="Normal 7 2 5 3 2 2 3" xfId="19697"/>
    <cellStyle name="Normal 7 2 5 3 2 3" xfId="13447"/>
    <cellStyle name="Normal 7 2 5 3 2 4" xfId="19696"/>
    <cellStyle name="Normal 7 2 5 3 3" xfId="7337"/>
    <cellStyle name="Normal 7 2 5 3 3 2" xfId="7338"/>
    <cellStyle name="Normal 7 2 5 3 3 2 2" xfId="13450"/>
    <cellStyle name="Normal 7 2 5 3 3 2 3" xfId="19699"/>
    <cellStyle name="Normal 7 2 5 3 3 3" xfId="13449"/>
    <cellStyle name="Normal 7 2 5 3 3 4" xfId="19698"/>
    <cellStyle name="Normal 7 2 5 3 4" xfId="7339"/>
    <cellStyle name="Normal 7 2 5 3 4 2" xfId="13451"/>
    <cellStyle name="Normal 7 2 5 3 4 3" xfId="19700"/>
    <cellStyle name="Normal 7 2 5 3 5" xfId="13446"/>
    <cellStyle name="Normal 7 2 5 3 6" xfId="19695"/>
    <cellStyle name="Normal 7 2 5 4" xfId="7340"/>
    <cellStyle name="Normal 7 2 5 4 2" xfId="7341"/>
    <cellStyle name="Normal 7 2 5 4 2 2" xfId="13453"/>
    <cellStyle name="Normal 7 2 5 4 2 3" xfId="19702"/>
    <cellStyle name="Normal 7 2 5 4 3" xfId="13452"/>
    <cellStyle name="Normal 7 2 5 4 4" xfId="19701"/>
    <cellStyle name="Normal 7 2 5 5" xfId="7342"/>
    <cellStyle name="Normal 7 2 5 5 2" xfId="7343"/>
    <cellStyle name="Normal 7 2 5 5 2 2" xfId="13455"/>
    <cellStyle name="Normal 7 2 5 5 2 3" xfId="19704"/>
    <cellStyle name="Normal 7 2 5 5 3" xfId="13454"/>
    <cellStyle name="Normal 7 2 5 5 4" xfId="19703"/>
    <cellStyle name="Normal 7 2 5 6" xfId="7344"/>
    <cellStyle name="Normal 7 2 5 6 2" xfId="13456"/>
    <cellStyle name="Normal 7 2 5 6 3" xfId="19705"/>
    <cellStyle name="Normal 7 2 5 7" xfId="13433"/>
    <cellStyle name="Normal 7 2 5 8" xfId="19682"/>
    <cellStyle name="Normal 7 2 6" xfId="7345"/>
    <cellStyle name="Normal 7 2 6 2" xfId="7346"/>
    <cellStyle name="Normal 7 2 6 2 2" xfId="7347"/>
    <cellStyle name="Normal 7 2 6 2 2 2" xfId="7348"/>
    <cellStyle name="Normal 7 2 6 2 2 2 2" xfId="13460"/>
    <cellStyle name="Normal 7 2 6 2 2 2 3" xfId="19709"/>
    <cellStyle name="Normal 7 2 6 2 2 3" xfId="13459"/>
    <cellStyle name="Normal 7 2 6 2 2 4" xfId="19708"/>
    <cellStyle name="Normal 7 2 6 2 3" xfId="7349"/>
    <cellStyle name="Normal 7 2 6 2 3 2" xfId="7350"/>
    <cellStyle name="Normal 7 2 6 2 3 2 2" xfId="13462"/>
    <cellStyle name="Normal 7 2 6 2 3 2 3" xfId="19711"/>
    <cellStyle name="Normal 7 2 6 2 3 3" xfId="13461"/>
    <cellStyle name="Normal 7 2 6 2 3 4" xfId="19710"/>
    <cellStyle name="Normal 7 2 6 2 4" xfId="7351"/>
    <cellStyle name="Normal 7 2 6 2 4 2" xfId="13463"/>
    <cellStyle name="Normal 7 2 6 2 4 3" xfId="19712"/>
    <cellStyle name="Normal 7 2 6 2 5" xfId="13458"/>
    <cellStyle name="Normal 7 2 6 2 6" xfId="19707"/>
    <cellStyle name="Normal 7 2 6 3" xfId="7352"/>
    <cellStyle name="Normal 7 2 6 3 2" xfId="7353"/>
    <cellStyle name="Normal 7 2 6 3 2 2" xfId="13465"/>
    <cellStyle name="Normal 7 2 6 3 2 3" xfId="19714"/>
    <cellStyle name="Normal 7 2 6 3 3" xfId="13464"/>
    <cellStyle name="Normal 7 2 6 3 4" xfId="19713"/>
    <cellStyle name="Normal 7 2 6 4" xfId="7354"/>
    <cellStyle name="Normal 7 2 6 4 2" xfId="7355"/>
    <cellStyle name="Normal 7 2 6 4 2 2" xfId="13467"/>
    <cellStyle name="Normal 7 2 6 4 2 3" xfId="19716"/>
    <cellStyle name="Normal 7 2 6 4 3" xfId="13466"/>
    <cellStyle name="Normal 7 2 6 4 4" xfId="19715"/>
    <cellStyle name="Normal 7 2 6 5" xfId="7356"/>
    <cellStyle name="Normal 7 2 6 5 2" xfId="13468"/>
    <cellStyle name="Normal 7 2 6 5 3" xfId="19717"/>
    <cellStyle name="Normal 7 2 6 6" xfId="13457"/>
    <cellStyle name="Normal 7 2 6 7" xfId="19706"/>
    <cellStyle name="Normal 7 2 7" xfId="7357"/>
    <cellStyle name="Normal 7 2 7 2" xfId="7358"/>
    <cellStyle name="Normal 7 2 7 2 2" xfId="7359"/>
    <cellStyle name="Normal 7 2 7 2 2 2" xfId="13471"/>
    <cellStyle name="Normal 7 2 7 2 2 3" xfId="19720"/>
    <cellStyle name="Normal 7 2 7 2 3" xfId="13470"/>
    <cellStyle name="Normal 7 2 7 2 4" xfId="19719"/>
    <cellStyle name="Normal 7 2 7 3" xfId="7360"/>
    <cellStyle name="Normal 7 2 7 3 2" xfId="7361"/>
    <cellStyle name="Normal 7 2 7 3 2 2" xfId="13473"/>
    <cellStyle name="Normal 7 2 7 3 2 3" xfId="19722"/>
    <cellStyle name="Normal 7 2 7 3 3" xfId="13472"/>
    <cellStyle name="Normal 7 2 7 3 4" xfId="19721"/>
    <cellStyle name="Normal 7 2 7 4" xfId="7362"/>
    <cellStyle name="Normal 7 2 7 4 2" xfId="13474"/>
    <cellStyle name="Normal 7 2 7 4 3" xfId="19723"/>
    <cellStyle name="Normal 7 2 7 5" xfId="13469"/>
    <cellStyle name="Normal 7 2 7 6" xfId="19718"/>
    <cellStyle name="Normal 7 2 8" xfId="7363"/>
    <cellStyle name="Normal 7 2 8 2" xfId="7364"/>
    <cellStyle name="Normal 7 2 8 2 2" xfId="13476"/>
    <cellStyle name="Normal 7 2 8 2 3" xfId="19725"/>
    <cellStyle name="Normal 7 2 8 3" xfId="13475"/>
    <cellStyle name="Normal 7 2 8 4" xfId="19724"/>
    <cellStyle name="Normal 7 2 9" xfId="7365"/>
    <cellStyle name="Normal 7 2 9 2" xfId="7366"/>
    <cellStyle name="Normal 7 2 9 2 2" xfId="13478"/>
    <cellStyle name="Normal 7 2 9 2 3" xfId="19727"/>
    <cellStyle name="Normal 7 2 9 3" xfId="13477"/>
    <cellStyle name="Normal 7 2 9 4" xfId="19726"/>
    <cellStyle name="Normal 7 3" xfId="7367"/>
    <cellStyle name="Normal 7 3 10" xfId="7368"/>
    <cellStyle name="Normal 7 3 10 2" xfId="19729"/>
    <cellStyle name="Normal 7 3 11" xfId="13479"/>
    <cellStyle name="Normal 7 3 12" xfId="19728"/>
    <cellStyle name="Normal 7 3 2" xfId="7369"/>
    <cellStyle name="Normal 7 3 2 2" xfId="7370"/>
    <cellStyle name="Normal 7 3 2 2 2" xfId="7371"/>
    <cellStyle name="Normal 7 3 2 2 2 2" xfId="7372"/>
    <cellStyle name="Normal 7 3 2 2 2 2 2" xfId="7373"/>
    <cellStyle name="Normal 7 3 2 2 2 2 2 2" xfId="7374"/>
    <cellStyle name="Normal 7 3 2 2 2 2 2 2 2" xfId="13485"/>
    <cellStyle name="Normal 7 3 2 2 2 2 2 2 3" xfId="19735"/>
    <cellStyle name="Normal 7 3 2 2 2 2 2 3" xfId="13484"/>
    <cellStyle name="Normal 7 3 2 2 2 2 2 4" xfId="19734"/>
    <cellStyle name="Normal 7 3 2 2 2 2 3" xfId="7375"/>
    <cellStyle name="Normal 7 3 2 2 2 2 3 2" xfId="7376"/>
    <cellStyle name="Normal 7 3 2 2 2 2 3 2 2" xfId="13487"/>
    <cellStyle name="Normal 7 3 2 2 2 2 3 2 3" xfId="19737"/>
    <cellStyle name="Normal 7 3 2 2 2 2 3 3" xfId="13486"/>
    <cellStyle name="Normal 7 3 2 2 2 2 3 4" xfId="19736"/>
    <cellStyle name="Normal 7 3 2 2 2 2 4" xfId="7377"/>
    <cellStyle name="Normal 7 3 2 2 2 2 4 2" xfId="13488"/>
    <cellStyle name="Normal 7 3 2 2 2 2 4 3" xfId="19738"/>
    <cellStyle name="Normal 7 3 2 2 2 2 5" xfId="13483"/>
    <cellStyle name="Normal 7 3 2 2 2 2 6" xfId="19733"/>
    <cellStyle name="Normal 7 3 2 2 2 3" xfId="7378"/>
    <cellStyle name="Normal 7 3 2 2 2 3 2" xfId="7379"/>
    <cellStyle name="Normal 7 3 2 2 2 3 2 2" xfId="13490"/>
    <cellStyle name="Normal 7 3 2 2 2 3 2 3" xfId="19740"/>
    <cellStyle name="Normal 7 3 2 2 2 3 3" xfId="13489"/>
    <cellStyle name="Normal 7 3 2 2 2 3 4" xfId="19739"/>
    <cellStyle name="Normal 7 3 2 2 2 4" xfId="7380"/>
    <cellStyle name="Normal 7 3 2 2 2 4 2" xfId="7381"/>
    <cellStyle name="Normal 7 3 2 2 2 4 2 2" xfId="13492"/>
    <cellStyle name="Normal 7 3 2 2 2 4 2 3" xfId="19742"/>
    <cellStyle name="Normal 7 3 2 2 2 4 3" xfId="13491"/>
    <cellStyle name="Normal 7 3 2 2 2 4 4" xfId="19741"/>
    <cellStyle name="Normal 7 3 2 2 2 5" xfId="7382"/>
    <cellStyle name="Normal 7 3 2 2 2 5 2" xfId="13493"/>
    <cellStyle name="Normal 7 3 2 2 2 5 3" xfId="19743"/>
    <cellStyle name="Normal 7 3 2 2 2 6" xfId="13482"/>
    <cellStyle name="Normal 7 3 2 2 2 7" xfId="19732"/>
    <cellStyle name="Normal 7 3 2 2 3" xfId="7383"/>
    <cellStyle name="Normal 7 3 2 2 3 2" xfId="7384"/>
    <cellStyle name="Normal 7 3 2 2 3 2 2" xfId="7385"/>
    <cellStyle name="Normal 7 3 2 2 3 2 2 2" xfId="13496"/>
    <cellStyle name="Normal 7 3 2 2 3 2 2 3" xfId="19746"/>
    <cellStyle name="Normal 7 3 2 2 3 2 3" xfId="13495"/>
    <cellStyle name="Normal 7 3 2 2 3 2 4" xfId="19745"/>
    <cellStyle name="Normal 7 3 2 2 3 3" xfId="7386"/>
    <cellStyle name="Normal 7 3 2 2 3 3 2" xfId="7387"/>
    <cellStyle name="Normal 7 3 2 2 3 3 2 2" xfId="13498"/>
    <cellStyle name="Normal 7 3 2 2 3 3 2 3" xfId="19748"/>
    <cellStyle name="Normal 7 3 2 2 3 3 3" xfId="13497"/>
    <cellStyle name="Normal 7 3 2 2 3 3 4" xfId="19747"/>
    <cellStyle name="Normal 7 3 2 2 3 4" xfId="7388"/>
    <cellStyle name="Normal 7 3 2 2 3 4 2" xfId="13499"/>
    <cellStyle name="Normal 7 3 2 2 3 4 3" xfId="19749"/>
    <cellStyle name="Normal 7 3 2 2 3 5" xfId="13494"/>
    <cellStyle name="Normal 7 3 2 2 3 6" xfId="19744"/>
    <cellStyle name="Normal 7 3 2 2 4" xfId="7389"/>
    <cellStyle name="Normal 7 3 2 2 4 2" xfId="7390"/>
    <cellStyle name="Normal 7 3 2 2 4 2 2" xfId="13501"/>
    <cellStyle name="Normal 7 3 2 2 4 2 3" xfId="19751"/>
    <cellStyle name="Normal 7 3 2 2 4 3" xfId="13500"/>
    <cellStyle name="Normal 7 3 2 2 4 4" xfId="19750"/>
    <cellStyle name="Normal 7 3 2 2 5" xfId="7391"/>
    <cellStyle name="Normal 7 3 2 2 5 2" xfId="7392"/>
    <cellStyle name="Normal 7 3 2 2 5 2 2" xfId="13503"/>
    <cellStyle name="Normal 7 3 2 2 5 2 3" xfId="19753"/>
    <cellStyle name="Normal 7 3 2 2 5 3" xfId="13502"/>
    <cellStyle name="Normal 7 3 2 2 5 4" xfId="19752"/>
    <cellStyle name="Normal 7 3 2 2 6" xfId="7393"/>
    <cellStyle name="Normal 7 3 2 2 6 2" xfId="13504"/>
    <cellStyle name="Normal 7 3 2 2 6 3" xfId="19754"/>
    <cellStyle name="Normal 7 3 2 2 7" xfId="13481"/>
    <cellStyle name="Normal 7 3 2 2 8" xfId="19731"/>
    <cellStyle name="Normal 7 3 2 3" xfId="7394"/>
    <cellStyle name="Normal 7 3 2 3 2" xfId="7395"/>
    <cellStyle name="Normal 7 3 2 3 2 2" xfId="7396"/>
    <cellStyle name="Normal 7 3 2 3 2 2 2" xfId="7397"/>
    <cellStyle name="Normal 7 3 2 3 2 2 2 2" xfId="13508"/>
    <cellStyle name="Normal 7 3 2 3 2 2 2 3" xfId="19758"/>
    <cellStyle name="Normal 7 3 2 3 2 2 3" xfId="13507"/>
    <cellStyle name="Normal 7 3 2 3 2 2 4" xfId="19757"/>
    <cellStyle name="Normal 7 3 2 3 2 3" xfId="7398"/>
    <cellStyle name="Normal 7 3 2 3 2 3 2" xfId="7399"/>
    <cellStyle name="Normal 7 3 2 3 2 3 2 2" xfId="13510"/>
    <cellStyle name="Normal 7 3 2 3 2 3 2 3" xfId="19760"/>
    <cellStyle name="Normal 7 3 2 3 2 3 3" xfId="13509"/>
    <cellStyle name="Normal 7 3 2 3 2 3 4" xfId="19759"/>
    <cellStyle name="Normal 7 3 2 3 2 4" xfId="7400"/>
    <cellStyle name="Normal 7 3 2 3 2 4 2" xfId="13511"/>
    <cellStyle name="Normal 7 3 2 3 2 4 3" xfId="19761"/>
    <cellStyle name="Normal 7 3 2 3 2 5" xfId="13506"/>
    <cellStyle name="Normal 7 3 2 3 2 6" xfId="19756"/>
    <cellStyle name="Normal 7 3 2 3 3" xfId="7401"/>
    <cellStyle name="Normal 7 3 2 3 3 2" xfId="7402"/>
    <cellStyle name="Normal 7 3 2 3 3 2 2" xfId="13513"/>
    <cellStyle name="Normal 7 3 2 3 3 2 3" xfId="19763"/>
    <cellStyle name="Normal 7 3 2 3 3 3" xfId="13512"/>
    <cellStyle name="Normal 7 3 2 3 3 4" xfId="19762"/>
    <cellStyle name="Normal 7 3 2 3 4" xfId="7403"/>
    <cellStyle name="Normal 7 3 2 3 4 2" xfId="7404"/>
    <cellStyle name="Normal 7 3 2 3 4 2 2" xfId="13515"/>
    <cellStyle name="Normal 7 3 2 3 4 2 3" xfId="19765"/>
    <cellStyle name="Normal 7 3 2 3 4 3" xfId="13514"/>
    <cellStyle name="Normal 7 3 2 3 4 4" xfId="19764"/>
    <cellStyle name="Normal 7 3 2 3 5" xfId="7405"/>
    <cellStyle name="Normal 7 3 2 3 5 2" xfId="13516"/>
    <cellStyle name="Normal 7 3 2 3 5 3" xfId="19766"/>
    <cellStyle name="Normal 7 3 2 3 6" xfId="13505"/>
    <cellStyle name="Normal 7 3 2 3 7" xfId="19755"/>
    <cellStyle name="Normal 7 3 2 4" xfId="7406"/>
    <cellStyle name="Normal 7 3 2 4 2" xfId="7407"/>
    <cellStyle name="Normal 7 3 2 4 2 2" xfId="7408"/>
    <cellStyle name="Normal 7 3 2 4 2 2 2" xfId="13519"/>
    <cellStyle name="Normal 7 3 2 4 2 2 3" xfId="19769"/>
    <cellStyle name="Normal 7 3 2 4 2 3" xfId="13518"/>
    <cellStyle name="Normal 7 3 2 4 2 4" xfId="19768"/>
    <cellStyle name="Normal 7 3 2 4 3" xfId="7409"/>
    <cellStyle name="Normal 7 3 2 4 3 2" xfId="7410"/>
    <cellStyle name="Normal 7 3 2 4 3 2 2" xfId="13521"/>
    <cellStyle name="Normal 7 3 2 4 3 2 3" xfId="19771"/>
    <cellStyle name="Normal 7 3 2 4 3 3" xfId="13520"/>
    <cellStyle name="Normal 7 3 2 4 3 4" xfId="19770"/>
    <cellStyle name="Normal 7 3 2 4 4" xfId="7411"/>
    <cellStyle name="Normal 7 3 2 4 4 2" xfId="13522"/>
    <cellStyle name="Normal 7 3 2 4 4 3" xfId="19772"/>
    <cellStyle name="Normal 7 3 2 4 5" xfId="13517"/>
    <cellStyle name="Normal 7 3 2 4 6" xfId="19767"/>
    <cellStyle name="Normal 7 3 2 5" xfId="7412"/>
    <cellStyle name="Normal 7 3 2 5 2" xfId="7413"/>
    <cellStyle name="Normal 7 3 2 5 2 2" xfId="13524"/>
    <cellStyle name="Normal 7 3 2 5 2 3" xfId="19774"/>
    <cellStyle name="Normal 7 3 2 5 3" xfId="13523"/>
    <cellStyle name="Normal 7 3 2 5 4" xfId="19773"/>
    <cellStyle name="Normal 7 3 2 6" xfId="7414"/>
    <cellStyle name="Normal 7 3 2 6 2" xfId="7415"/>
    <cellStyle name="Normal 7 3 2 6 2 2" xfId="13526"/>
    <cellStyle name="Normal 7 3 2 6 2 3" xfId="19776"/>
    <cellStyle name="Normal 7 3 2 6 3" xfId="13525"/>
    <cellStyle name="Normal 7 3 2 6 4" xfId="19775"/>
    <cellStyle name="Normal 7 3 2 7" xfId="7416"/>
    <cellStyle name="Normal 7 3 2 7 2" xfId="13527"/>
    <cellStyle name="Normal 7 3 2 7 3" xfId="19777"/>
    <cellStyle name="Normal 7 3 2 8" xfId="13480"/>
    <cellStyle name="Normal 7 3 2 9" xfId="19730"/>
    <cellStyle name="Normal 7 3 3" xfId="7417"/>
    <cellStyle name="Normal 7 3 3 2" xfId="7418"/>
    <cellStyle name="Normal 7 3 3 2 2" xfId="7419"/>
    <cellStyle name="Normal 7 3 3 2 2 2" xfId="7420"/>
    <cellStyle name="Normal 7 3 3 2 2 2 2" xfId="7421"/>
    <cellStyle name="Normal 7 3 3 2 2 2 2 2" xfId="13532"/>
    <cellStyle name="Normal 7 3 3 2 2 2 2 3" xfId="19782"/>
    <cellStyle name="Normal 7 3 3 2 2 2 3" xfId="13531"/>
    <cellStyle name="Normal 7 3 3 2 2 2 4" xfId="19781"/>
    <cellStyle name="Normal 7 3 3 2 2 3" xfId="7422"/>
    <cellStyle name="Normal 7 3 3 2 2 3 2" xfId="7423"/>
    <cellStyle name="Normal 7 3 3 2 2 3 2 2" xfId="13534"/>
    <cellStyle name="Normal 7 3 3 2 2 3 2 3" xfId="19784"/>
    <cellStyle name="Normal 7 3 3 2 2 3 3" xfId="13533"/>
    <cellStyle name="Normal 7 3 3 2 2 3 4" xfId="19783"/>
    <cellStyle name="Normal 7 3 3 2 2 4" xfId="7424"/>
    <cellStyle name="Normal 7 3 3 2 2 4 2" xfId="13535"/>
    <cellStyle name="Normal 7 3 3 2 2 4 3" xfId="19785"/>
    <cellStyle name="Normal 7 3 3 2 2 5" xfId="13530"/>
    <cellStyle name="Normal 7 3 3 2 2 6" xfId="19780"/>
    <cellStyle name="Normal 7 3 3 2 3" xfId="7425"/>
    <cellStyle name="Normal 7 3 3 2 3 2" xfId="7426"/>
    <cellStyle name="Normal 7 3 3 2 3 2 2" xfId="13537"/>
    <cellStyle name="Normal 7 3 3 2 3 2 3" xfId="19787"/>
    <cellStyle name="Normal 7 3 3 2 3 3" xfId="13536"/>
    <cellStyle name="Normal 7 3 3 2 3 4" xfId="19786"/>
    <cellStyle name="Normal 7 3 3 2 4" xfId="7427"/>
    <cellStyle name="Normal 7 3 3 2 4 2" xfId="7428"/>
    <cellStyle name="Normal 7 3 3 2 4 2 2" xfId="13539"/>
    <cellStyle name="Normal 7 3 3 2 4 2 3" xfId="19789"/>
    <cellStyle name="Normal 7 3 3 2 4 3" xfId="13538"/>
    <cellStyle name="Normal 7 3 3 2 4 4" xfId="19788"/>
    <cellStyle name="Normal 7 3 3 2 5" xfId="7429"/>
    <cellStyle name="Normal 7 3 3 2 5 2" xfId="13540"/>
    <cellStyle name="Normal 7 3 3 2 5 3" xfId="19790"/>
    <cellStyle name="Normal 7 3 3 2 6" xfId="13529"/>
    <cellStyle name="Normal 7 3 3 2 7" xfId="19779"/>
    <cellStyle name="Normal 7 3 3 3" xfId="7430"/>
    <cellStyle name="Normal 7 3 3 3 2" xfId="7431"/>
    <cellStyle name="Normal 7 3 3 3 2 2" xfId="7432"/>
    <cellStyle name="Normal 7 3 3 3 2 2 2" xfId="13543"/>
    <cellStyle name="Normal 7 3 3 3 2 2 3" xfId="19793"/>
    <cellStyle name="Normal 7 3 3 3 2 3" xfId="13542"/>
    <cellStyle name="Normal 7 3 3 3 2 4" xfId="19792"/>
    <cellStyle name="Normal 7 3 3 3 3" xfId="7433"/>
    <cellStyle name="Normal 7 3 3 3 3 2" xfId="7434"/>
    <cellStyle name="Normal 7 3 3 3 3 2 2" xfId="13545"/>
    <cellStyle name="Normal 7 3 3 3 3 2 3" xfId="19795"/>
    <cellStyle name="Normal 7 3 3 3 3 3" xfId="13544"/>
    <cellStyle name="Normal 7 3 3 3 3 4" xfId="19794"/>
    <cellStyle name="Normal 7 3 3 3 4" xfId="7435"/>
    <cellStyle name="Normal 7 3 3 3 4 2" xfId="13546"/>
    <cellStyle name="Normal 7 3 3 3 4 3" xfId="19796"/>
    <cellStyle name="Normal 7 3 3 3 5" xfId="13541"/>
    <cellStyle name="Normal 7 3 3 3 6" xfId="19791"/>
    <cellStyle name="Normal 7 3 3 4" xfId="7436"/>
    <cellStyle name="Normal 7 3 3 4 2" xfId="7437"/>
    <cellStyle name="Normal 7 3 3 4 2 2" xfId="13548"/>
    <cellStyle name="Normal 7 3 3 4 2 3" xfId="19798"/>
    <cellStyle name="Normal 7 3 3 4 3" xfId="13547"/>
    <cellStyle name="Normal 7 3 3 4 4" xfId="19797"/>
    <cellStyle name="Normal 7 3 3 5" xfId="7438"/>
    <cellStyle name="Normal 7 3 3 5 2" xfId="7439"/>
    <cellStyle name="Normal 7 3 3 5 2 2" xfId="13550"/>
    <cellStyle name="Normal 7 3 3 5 2 3" xfId="19800"/>
    <cellStyle name="Normal 7 3 3 5 3" xfId="13549"/>
    <cellStyle name="Normal 7 3 3 5 4" xfId="19799"/>
    <cellStyle name="Normal 7 3 3 6" xfId="7440"/>
    <cellStyle name="Normal 7 3 3 6 2" xfId="13551"/>
    <cellStyle name="Normal 7 3 3 6 3" xfId="19801"/>
    <cellStyle name="Normal 7 3 3 7" xfId="13528"/>
    <cellStyle name="Normal 7 3 3 8" xfId="19778"/>
    <cellStyle name="Normal 7 3 4" xfId="7441"/>
    <cellStyle name="Normal 7 3 4 2" xfId="7442"/>
    <cellStyle name="Normal 7 3 4 2 2" xfId="7443"/>
    <cellStyle name="Normal 7 3 4 2 2 2" xfId="7444"/>
    <cellStyle name="Normal 7 3 4 2 2 2 2" xfId="13555"/>
    <cellStyle name="Normal 7 3 4 2 2 2 3" xfId="19805"/>
    <cellStyle name="Normal 7 3 4 2 2 3" xfId="13554"/>
    <cellStyle name="Normal 7 3 4 2 2 4" xfId="19804"/>
    <cellStyle name="Normal 7 3 4 2 3" xfId="7445"/>
    <cellStyle name="Normal 7 3 4 2 3 2" xfId="7446"/>
    <cellStyle name="Normal 7 3 4 2 3 2 2" xfId="13557"/>
    <cellStyle name="Normal 7 3 4 2 3 2 3" xfId="19807"/>
    <cellStyle name="Normal 7 3 4 2 3 3" xfId="13556"/>
    <cellStyle name="Normal 7 3 4 2 3 4" xfId="19806"/>
    <cellStyle name="Normal 7 3 4 2 4" xfId="7447"/>
    <cellStyle name="Normal 7 3 4 2 4 2" xfId="13558"/>
    <cellStyle name="Normal 7 3 4 2 4 3" xfId="19808"/>
    <cellStyle name="Normal 7 3 4 2 5" xfId="13553"/>
    <cellStyle name="Normal 7 3 4 2 6" xfId="19803"/>
    <cellStyle name="Normal 7 3 4 3" xfId="7448"/>
    <cellStyle name="Normal 7 3 4 3 2" xfId="7449"/>
    <cellStyle name="Normal 7 3 4 3 2 2" xfId="13560"/>
    <cellStyle name="Normal 7 3 4 3 2 3" xfId="19810"/>
    <cellStyle name="Normal 7 3 4 3 3" xfId="13559"/>
    <cellStyle name="Normal 7 3 4 3 4" xfId="19809"/>
    <cellStyle name="Normal 7 3 4 4" xfId="7450"/>
    <cellStyle name="Normal 7 3 4 4 2" xfId="7451"/>
    <cellStyle name="Normal 7 3 4 4 2 2" xfId="13562"/>
    <cellStyle name="Normal 7 3 4 4 2 3" xfId="19812"/>
    <cellStyle name="Normal 7 3 4 4 3" xfId="13561"/>
    <cellStyle name="Normal 7 3 4 4 4" xfId="19811"/>
    <cellStyle name="Normal 7 3 4 5" xfId="7452"/>
    <cellStyle name="Normal 7 3 4 5 2" xfId="13563"/>
    <cellStyle name="Normal 7 3 4 5 3" xfId="19813"/>
    <cellStyle name="Normal 7 3 4 6" xfId="13552"/>
    <cellStyle name="Normal 7 3 4 7" xfId="19802"/>
    <cellStyle name="Normal 7 3 5" xfId="7453"/>
    <cellStyle name="Normal 7 3 5 2" xfId="7454"/>
    <cellStyle name="Normal 7 3 5 2 2" xfId="7455"/>
    <cellStyle name="Normal 7 3 5 2 2 2" xfId="13566"/>
    <cellStyle name="Normal 7 3 5 2 2 3" xfId="19816"/>
    <cellStyle name="Normal 7 3 5 2 3" xfId="13565"/>
    <cellStyle name="Normal 7 3 5 2 4" xfId="19815"/>
    <cellStyle name="Normal 7 3 5 3" xfId="7456"/>
    <cellStyle name="Normal 7 3 5 3 2" xfId="7457"/>
    <cellStyle name="Normal 7 3 5 3 2 2" xfId="13568"/>
    <cellStyle name="Normal 7 3 5 3 2 3" xfId="19818"/>
    <cellStyle name="Normal 7 3 5 3 3" xfId="13567"/>
    <cellStyle name="Normal 7 3 5 3 4" xfId="19817"/>
    <cellStyle name="Normal 7 3 5 4" xfId="7458"/>
    <cellStyle name="Normal 7 3 5 4 2" xfId="13569"/>
    <cellStyle name="Normal 7 3 5 4 3" xfId="19819"/>
    <cellStyle name="Normal 7 3 5 5" xfId="13564"/>
    <cellStyle name="Normal 7 3 5 6" xfId="19814"/>
    <cellStyle name="Normal 7 3 6" xfId="7459"/>
    <cellStyle name="Normal 7 3 6 2" xfId="7460"/>
    <cellStyle name="Normal 7 3 6 2 2" xfId="13571"/>
    <cellStyle name="Normal 7 3 6 2 3" xfId="19821"/>
    <cellStyle name="Normal 7 3 6 3" xfId="13570"/>
    <cellStyle name="Normal 7 3 6 4" xfId="19820"/>
    <cellStyle name="Normal 7 3 7" xfId="7461"/>
    <cellStyle name="Normal 7 3 7 2" xfId="7462"/>
    <cellStyle name="Normal 7 3 7 2 2" xfId="13573"/>
    <cellStyle name="Normal 7 3 7 2 3" xfId="19823"/>
    <cellStyle name="Normal 7 3 7 3" xfId="13572"/>
    <cellStyle name="Normal 7 3 7 4" xfId="19822"/>
    <cellStyle name="Normal 7 3 8" xfId="7463"/>
    <cellStyle name="Normal 7 3 8 2" xfId="13574"/>
    <cellStyle name="Normal 7 3 8 3" xfId="19824"/>
    <cellStyle name="Normal 7 3 9" xfId="7464"/>
    <cellStyle name="Normal 7 3 9 2" xfId="13575"/>
    <cellStyle name="Normal 7 3 9 3" xfId="19825"/>
    <cellStyle name="Normal 7 4" xfId="7465"/>
    <cellStyle name="Normal 7 4 2" xfId="7466"/>
    <cellStyle name="Normal 7 4 2 2" xfId="7467"/>
    <cellStyle name="Normal 7 4 2 2 2" xfId="7468"/>
    <cellStyle name="Normal 7 4 2 2 2 2" xfId="7469"/>
    <cellStyle name="Normal 7 4 2 2 2 2 2" xfId="7470"/>
    <cellStyle name="Normal 7 4 2 2 2 2 2 2" xfId="13581"/>
    <cellStyle name="Normal 7 4 2 2 2 2 2 3" xfId="19831"/>
    <cellStyle name="Normal 7 4 2 2 2 2 3" xfId="13580"/>
    <cellStyle name="Normal 7 4 2 2 2 2 4" xfId="19830"/>
    <cellStyle name="Normal 7 4 2 2 2 3" xfId="7471"/>
    <cellStyle name="Normal 7 4 2 2 2 3 2" xfId="7472"/>
    <cellStyle name="Normal 7 4 2 2 2 3 2 2" xfId="13583"/>
    <cellStyle name="Normal 7 4 2 2 2 3 2 3" xfId="19833"/>
    <cellStyle name="Normal 7 4 2 2 2 3 3" xfId="13582"/>
    <cellStyle name="Normal 7 4 2 2 2 3 4" xfId="19832"/>
    <cellStyle name="Normal 7 4 2 2 2 4" xfId="7473"/>
    <cellStyle name="Normal 7 4 2 2 2 4 2" xfId="13584"/>
    <cellStyle name="Normal 7 4 2 2 2 4 3" xfId="19834"/>
    <cellStyle name="Normal 7 4 2 2 2 5" xfId="13579"/>
    <cellStyle name="Normal 7 4 2 2 2 6" xfId="19829"/>
    <cellStyle name="Normal 7 4 2 2 3" xfId="7474"/>
    <cellStyle name="Normal 7 4 2 2 3 2" xfId="7475"/>
    <cellStyle name="Normal 7 4 2 2 3 2 2" xfId="13586"/>
    <cellStyle name="Normal 7 4 2 2 3 2 3" xfId="19836"/>
    <cellStyle name="Normal 7 4 2 2 3 3" xfId="13585"/>
    <cellStyle name="Normal 7 4 2 2 3 4" xfId="19835"/>
    <cellStyle name="Normal 7 4 2 2 4" xfId="7476"/>
    <cellStyle name="Normal 7 4 2 2 4 2" xfId="7477"/>
    <cellStyle name="Normal 7 4 2 2 4 2 2" xfId="13588"/>
    <cellStyle name="Normal 7 4 2 2 4 2 3" xfId="19838"/>
    <cellStyle name="Normal 7 4 2 2 4 3" xfId="13587"/>
    <cellStyle name="Normal 7 4 2 2 4 4" xfId="19837"/>
    <cellStyle name="Normal 7 4 2 2 5" xfId="7478"/>
    <cellStyle name="Normal 7 4 2 2 5 2" xfId="13589"/>
    <cellStyle name="Normal 7 4 2 2 5 3" xfId="19839"/>
    <cellStyle name="Normal 7 4 2 2 6" xfId="13578"/>
    <cellStyle name="Normal 7 4 2 2 7" xfId="19828"/>
    <cellStyle name="Normal 7 4 2 3" xfId="7479"/>
    <cellStyle name="Normal 7 4 2 3 2" xfId="7480"/>
    <cellStyle name="Normal 7 4 2 3 2 2" xfId="7481"/>
    <cellStyle name="Normal 7 4 2 3 2 2 2" xfId="13592"/>
    <cellStyle name="Normal 7 4 2 3 2 2 3" xfId="19842"/>
    <cellStyle name="Normal 7 4 2 3 2 3" xfId="13591"/>
    <cellStyle name="Normal 7 4 2 3 2 4" xfId="19841"/>
    <cellStyle name="Normal 7 4 2 3 3" xfId="7482"/>
    <cellStyle name="Normal 7 4 2 3 3 2" xfId="7483"/>
    <cellStyle name="Normal 7 4 2 3 3 2 2" xfId="13594"/>
    <cellStyle name="Normal 7 4 2 3 3 2 3" xfId="19844"/>
    <cellStyle name="Normal 7 4 2 3 3 3" xfId="13593"/>
    <cellStyle name="Normal 7 4 2 3 3 4" xfId="19843"/>
    <cellStyle name="Normal 7 4 2 3 4" xfId="7484"/>
    <cellStyle name="Normal 7 4 2 3 4 2" xfId="13595"/>
    <cellStyle name="Normal 7 4 2 3 4 3" xfId="19845"/>
    <cellStyle name="Normal 7 4 2 3 5" xfId="13590"/>
    <cellStyle name="Normal 7 4 2 3 6" xfId="19840"/>
    <cellStyle name="Normal 7 4 2 4" xfId="7485"/>
    <cellStyle name="Normal 7 4 2 4 2" xfId="7486"/>
    <cellStyle name="Normal 7 4 2 4 2 2" xfId="13597"/>
    <cellStyle name="Normal 7 4 2 4 2 3" xfId="19847"/>
    <cellStyle name="Normal 7 4 2 4 3" xfId="13596"/>
    <cellStyle name="Normal 7 4 2 4 4" xfId="19846"/>
    <cellStyle name="Normal 7 4 2 5" xfId="7487"/>
    <cellStyle name="Normal 7 4 2 5 2" xfId="7488"/>
    <cellStyle name="Normal 7 4 2 5 2 2" xfId="13599"/>
    <cellStyle name="Normal 7 4 2 5 2 3" xfId="19849"/>
    <cellStyle name="Normal 7 4 2 5 3" xfId="13598"/>
    <cellStyle name="Normal 7 4 2 5 4" xfId="19848"/>
    <cellStyle name="Normal 7 4 2 6" xfId="7489"/>
    <cellStyle name="Normal 7 4 2 6 2" xfId="13600"/>
    <cellStyle name="Normal 7 4 2 6 3" xfId="19850"/>
    <cellStyle name="Normal 7 4 2 7" xfId="13577"/>
    <cellStyle name="Normal 7 4 2 8" xfId="19827"/>
    <cellStyle name="Normal 7 4 3" xfId="7490"/>
    <cellStyle name="Normal 7 4 3 2" xfId="7491"/>
    <cellStyle name="Normal 7 4 3 2 2" xfId="7492"/>
    <cellStyle name="Normal 7 4 3 2 2 2" xfId="7493"/>
    <cellStyle name="Normal 7 4 3 2 2 2 2" xfId="13604"/>
    <cellStyle name="Normal 7 4 3 2 2 2 3" xfId="19854"/>
    <cellStyle name="Normal 7 4 3 2 2 3" xfId="13603"/>
    <cellStyle name="Normal 7 4 3 2 2 4" xfId="19853"/>
    <cellStyle name="Normal 7 4 3 2 3" xfId="7494"/>
    <cellStyle name="Normal 7 4 3 2 3 2" xfId="7495"/>
    <cellStyle name="Normal 7 4 3 2 3 2 2" xfId="13606"/>
    <cellStyle name="Normal 7 4 3 2 3 2 3" xfId="19856"/>
    <cellStyle name="Normal 7 4 3 2 3 3" xfId="13605"/>
    <cellStyle name="Normal 7 4 3 2 3 4" xfId="19855"/>
    <cellStyle name="Normal 7 4 3 2 4" xfId="7496"/>
    <cellStyle name="Normal 7 4 3 2 4 2" xfId="13607"/>
    <cellStyle name="Normal 7 4 3 2 4 3" xfId="19857"/>
    <cellStyle name="Normal 7 4 3 2 5" xfId="13602"/>
    <cellStyle name="Normal 7 4 3 2 6" xfId="19852"/>
    <cellStyle name="Normal 7 4 3 3" xfId="7497"/>
    <cellStyle name="Normal 7 4 3 3 2" xfId="7498"/>
    <cellStyle name="Normal 7 4 3 3 2 2" xfId="13609"/>
    <cellStyle name="Normal 7 4 3 3 2 3" xfId="19859"/>
    <cellStyle name="Normal 7 4 3 3 3" xfId="13608"/>
    <cellStyle name="Normal 7 4 3 3 4" xfId="19858"/>
    <cellStyle name="Normal 7 4 3 4" xfId="7499"/>
    <cellStyle name="Normal 7 4 3 4 2" xfId="7500"/>
    <cellStyle name="Normal 7 4 3 4 2 2" xfId="13611"/>
    <cellStyle name="Normal 7 4 3 4 2 3" xfId="19861"/>
    <cellStyle name="Normal 7 4 3 4 3" xfId="13610"/>
    <cellStyle name="Normal 7 4 3 4 4" xfId="19860"/>
    <cellStyle name="Normal 7 4 3 5" xfId="7501"/>
    <cellStyle name="Normal 7 4 3 5 2" xfId="13612"/>
    <cellStyle name="Normal 7 4 3 5 3" xfId="19862"/>
    <cellStyle name="Normal 7 4 3 6" xfId="13601"/>
    <cellStyle name="Normal 7 4 3 7" xfId="19851"/>
    <cellStyle name="Normal 7 4 4" xfId="7502"/>
    <cellStyle name="Normal 7 4 4 2" xfId="7503"/>
    <cellStyle name="Normal 7 4 4 2 2" xfId="7504"/>
    <cellStyle name="Normal 7 4 4 2 2 2" xfId="13615"/>
    <cellStyle name="Normal 7 4 4 2 2 3" xfId="19865"/>
    <cellStyle name="Normal 7 4 4 2 3" xfId="13614"/>
    <cellStyle name="Normal 7 4 4 2 4" xfId="19864"/>
    <cellStyle name="Normal 7 4 4 3" xfId="7505"/>
    <cellStyle name="Normal 7 4 4 3 2" xfId="7506"/>
    <cellStyle name="Normal 7 4 4 3 2 2" xfId="13617"/>
    <cellStyle name="Normal 7 4 4 3 2 3" xfId="19867"/>
    <cellStyle name="Normal 7 4 4 3 3" xfId="13616"/>
    <cellStyle name="Normal 7 4 4 3 4" xfId="19866"/>
    <cellStyle name="Normal 7 4 4 4" xfId="7507"/>
    <cellStyle name="Normal 7 4 4 4 2" xfId="13618"/>
    <cellStyle name="Normal 7 4 4 4 3" xfId="19868"/>
    <cellStyle name="Normal 7 4 4 5" xfId="13613"/>
    <cellStyle name="Normal 7 4 4 6" xfId="19863"/>
    <cellStyle name="Normal 7 4 5" xfId="7508"/>
    <cellStyle name="Normal 7 4 5 2" xfId="7509"/>
    <cellStyle name="Normal 7 4 5 2 2" xfId="13620"/>
    <cellStyle name="Normal 7 4 5 2 3" xfId="19870"/>
    <cellStyle name="Normal 7 4 5 3" xfId="13619"/>
    <cellStyle name="Normal 7 4 5 4" xfId="19869"/>
    <cellStyle name="Normal 7 4 6" xfId="7510"/>
    <cellStyle name="Normal 7 4 6 2" xfId="7511"/>
    <cellStyle name="Normal 7 4 6 2 2" xfId="13622"/>
    <cellStyle name="Normal 7 4 6 2 3" xfId="19872"/>
    <cellStyle name="Normal 7 4 6 3" xfId="13621"/>
    <cellStyle name="Normal 7 4 6 4" xfId="19871"/>
    <cellStyle name="Normal 7 4 7" xfId="7512"/>
    <cellStyle name="Normal 7 4 7 2" xfId="13623"/>
    <cellStyle name="Normal 7 4 7 3" xfId="19873"/>
    <cellStyle name="Normal 7 4 8" xfId="13576"/>
    <cellStyle name="Normal 7 4 9" xfId="19826"/>
    <cellStyle name="Normal 7 5" xfId="7513"/>
    <cellStyle name="Normal 7 5 2" xfId="7514"/>
    <cellStyle name="Normal 7 5 2 2" xfId="7515"/>
    <cellStyle name="Normal 7 5 2 2 2" xfId="7516"/>
    <cellStyle name="Normal 7 5 2 2 2 2" xfId="7517"/>
    <cellStyle name="Normal 7 5 2 2 2 2 2" xfId="7518"/>
    <cellStyle name="Normal 7 5 2 2 2 2 2 2" xfId="13629"/>
    <cellStyle name="Normal 7 5 2 2 2 2 2 3" xfId="19879"/>
    <cellStyle name="Normal 7 5 2 2 2 2 3" xfId="13628"/>
    <cellStyle name="Normal 7 5 2 2 2 2 4" xfId="19878"/>
    <cellStyle name="Normal 7 5 2 2 2 3" xfId="7519"/>
    <cellStyle name="Normal 7 5 2 2 2 3 2" xfId="7520"/>
    <cellStyle name="Normal 7 5 2 2 2 3 2 2" xfId="13631"/>
    <cellStyle name="Normal 7 5 2 2 2 3 2 3" xfId="19881"/>
    <cellStyle name="Normal 7 5 2 2 2 3 3" xfId="13630"/>
    <cellStyle name="Normal 7 5 2 2 2 3 4" xfId="19880"/>
    <cellStyle name="Normal 7 5 2 2 2 4" xfId="7521"/>
    <cellStyle name="Normal 7 5 2 2 2 4 2" xfId="13632"/>
    <cellStyle name="Normal 7 5 2 2 2 4 3" xfId="19882"/>
    <cellStyle name="Normal 7 5 2 2 2 5" xfId="13627"/>
    <cellStyle name="Normal 7 5 2 2 2 6" xfId="19877"/>
    <cellStyle name="Normal 7 5 2 2 3" xfId="7522"/>
    <cellStyle name="Normal 7 5 2 2 3 2" xfId="7523"/>
    <cellStyle name="Normal 7 5 2 2 3 2 2" xfId="13634"/>
    <cellStyle name="Normal 7 5 2 2 3 2 3" xfId="19884"/>
    <cellStyle name="Normal 7 5 2 2 3 3" xfId="13633"/>
    <cellStyle name="Normal 7 5 2 2 3 4" xfId="19883"/>
    <cellStyle name="Normal 7 5 2 2 4" xfId="7524"/>
    <cellStyle name="Normal 7 5 2 2 4 2" xfId="7525"/>
    <cellStyle name="Normal 7 5 2 2 4 2 2" xfId="13636"/>
    <cellStyle name="Normal 7 5 2 2 4 2 3" xfId="19886"/>
    <cellStyle name="Normal 7 5 2 2 4 3" xfId="13635"/>
    <cellStyle name="Normal 7 5 2 2 4 4" xfId="19885"/>
    <cellStyle name="Normal 7 5 2 2 5" xfId="7526"/>
    <cellStyle name="Normal 7 5 2 2 5 2" xfId="13637"/>
    <cellStyle name="Normal 7 5 2 2 5 3" xfId="19887"/>
    <cellStyle name="Normal 7 5 2 2 6" xfId="13626"/>
    <cellStyle name="Normal 7 5 2 2 7" xfId="19876"/>
    <cellStyle name="Normal 7 5 2 3" xfId="7527"/>
    <cellStyle name="Normal 7 5 2 3 2" xfId="7528"/>
    <cellStyle name="Normal 7 5 2 3 2 2" xfId="7529"/>
    <cellStyle name="Normal 7 5 2 3 2 2 2" xfId="13640"/>
    <cellStyle name="Normal 7 5 2 3 2 2 3" xfId="19890"/>
    <cellStyle name="Normal 7 5 2 3 2 3" xfId="13639"/>
    <cellStyle name="Normal 7 5 2 3 2 4" xfId="19889"/>
    <cellStyle name="Normal 7 5 2 3 3" xfId="7530"/>
    <cellStyle name="Normal 7 5 2 3 3 2" xfId="7531"/>
    <cellStyle name="Normal 7 5 2 3 3 2 2" xfId="13642"/>
    <cellStyle name="Normal 7 5 2 3 3 2 3" xfId="19892"/>
    <cellStyle name="Normal 7 5 2 3 3 3" xfId="13641"/>
    <cellStyle name="Normal 7 5 2 3 3 4" xfId="19891"/>
    <cellStyle name="Normal 7 5 2 3 4" xfId="7532"/>
    <cellStyle name="Normal 7 5 2 3 4 2" xfId="13643"/>
    <cellStyle name="Normal 7 5 2 3 4 3" xfId="19893"/>
    <cellStyle name="Normal 7 5 2 3 5" xfId="13638"/>
    <cellStyle name="Normal 7 5 2 3 6" xfId="19888"/>
    <cellStyle name="Normal 7 5 2 4" xfId="7533"/>
    <cellStyle name="Normal 7 5 2 4 2" xfId="7534"/>
    <cellStyle name="Normal 7 5 2 4 2 2" xfId="13645"/>
    <cellStyle name="Normal 7 5 2 4 2 3" xfId="19895"/>
    <cellStyle name="Normal 7 5 2 4 3" xfId="13644"/>
    <cellStyle name="Normal 7 5 2 4 4" xfId="19894"/>
    <cellStyle name="Normal 7 5 2 5" xfId="7535"/>
    <cellStyle name="Normal 7 5 2 5 2" xfId="7536"/>
    <cellStyle name="Normal 7 5 2 5 2 2" xfId="13647"/>
    <cellStyle name="Normal 7 5 2 5 2 3" xfId="19897"/>
    <cellStyle name="Normal 7 5 2 5 3" xfId="13646"/>
    <cellStyle name="Normal 7 5 2 5 4" xfId="19896"/>
    <cellStyle name="Normal 7 5 2 6" xfId="7537"/>
    <cellStyle name="Normal 7 5 2 6 2" xfId="13648"/>
    <cellStyle name="Normal 7 5 2 6 3" xfId="19898"/>
    <cellStyle name="Normal 7 5 2 7" xfId="13625"/>
    <cellStyle name="Normal 7 5 2 8" xfId="19875"/>
    <cellStyle name="Normal 7 5 3" xfId="7538"/>
    <cellStyle name="Normal 7 5 3 2" xfId="7539"/>
    <cellStyle name="Normal 7 5 3 2 2" xfId="7540"/>
    <cellStyle name="Normal 7 5 3 2 2 2" xfId="7541"/>
    <cellStyle name="Normal 7 5 3 2 2 2 2" xfId="13652"/>
    <cellStyle name="Normal 7 5 3 2 2 2 3" xfId="19902"/>
    <cellStyle name="Normal 7 5 3 2 2 3" xfId="13651"/>
    <cellStyle name="Normal 7 5 3 2 2 4" xfId="19901"/>
    <cellStyle name="Normal 7 5 3 2 3" xfId="7542"/>
    <cellStyle name="Normal 7 5 3 2 3 2" xfId="7543"/>
    <cellStyle name="Normal 7 5 3 2 3 2 2" xfId="13654"/>
    <cellStyle name="Normal 7 5 3 2 3 2 3" xfId="19904"/>
    <cellStyle name="Normal 7 5 3 2 3 3" xfId="13653"/>
    <cellStyle name="Normal 7 5 3 2 3 4" xfId="19903"/>
    <cellStyle name="Normal 7 5 3 2 4" xfId="7544"/>
    <cellStyle name="Normal 7 5 3 2 4 2" xfId="13655"/>
    <cellStyle name="Normal 7 5 3 2 4 3" xfId="19905"/>
    <cellStyle name="Normal 7 5 3 2 5" xfId="13650"/>
    <cellStyle name="Normal 7 5 3 2 6" xfId="19900"/>
    <cellStyle name="Normal 7 5 3 3" xfId="7545"/>
    <cellStyle name="Normal 7 5 3 3 2" xfId="7546"/>
    <cellStyle name="Normal 7 5 3 3 2 2" xfId="13657"/>
    <cellStyle name="Normal 7 5 3 3 2 3" xfId="19907"/>
    <cellStyle name="Normal 7 5 3 3 3" xfId="13656"/>
    <cellStyle name="Normal 7 5 3 3 4" xfId="19906"/>
    <cellStyle name="Normal 7 5 3 4" xfId="7547"/>
    <cellStyle name="Normal 7 5 3 4 2" xfId="7548"/>
    <cellStyle name="Normal 7 5 3 4 2 2" xfId="13659"/>
    <cellStyle name="Normal 7 5 3 4 2 3" xfId="19909"/>
    <cellStyle name="Normal 7 5 3 4 3" xfId="13658"/>
    <cellStyle name="Normal 7 5 3 4 4" xfId="19908"/>
    <cellStyle name="Normal 7 5 3 5" xfId="7549"/>
    <cellStyle name="Normal 7 5 3 5 2" xfId="13660"/>
    <cellStyle name="Normal 7 5 3 5 3" xfId="19910"/>
    <cellStyle name="Normal 7 5 3 6" xfId="13649"/>
    <cellStyle name="Normal 7 5 3 7" xfId="19899"/>
    <cellStyle name="Normal 7 5 4" xfId="7550"/>
    <cellStyle name="Normal 7 5 4 2" xfId="7551"/>
    <cellStyle name="Normal 7 5 4 2 2" xfId="7552"/>
    <cellStyle name="Normal 7 5 4 2 2 2" xfId="13663"/>
    <cellStyle name="Normal 7 5 4 2 2 3" xfId="19913"/>
    <cellStyle name="Normal 7 5 4 2 3" xfId="13662"/>
    <cellStyle name="Normal 7 5 4 2 4" xfId="19912"/>
    <cellStyle name="Normal 7 5 4 3" xfId="7553"/>
    <cellStyle name="Normal 7 5 4 3 2" xfId="7554"/>
    <cellStyle name="Normal 7 5 4 3 2 2" xfId="13665"/>
    <cellStyle name="Normal 7 5 4 3 2 3" xfId="19915"/>
    <cellStyle name="Normal 7 5 4 3 3" xfId="13664"/>
    <cellStyle name="Normal 7 5 4 3 4" xfId="19914"/>
    <cellStyle name="Normal 7 5 4 4" xfId="7555"/>
    <cellStyle name="Normal 7 5 4 4 2" xfId="13666"/>
    <cellStyle name="Normal 7 5 4 4 3" xfId="19916"/>
    <cellStyle name="Normal 7 5 4 5" xfId="13661"/>
    <cellStyle name="Normal 7 5 4 6" xfId="19911"/>
    <cellStyle name="Normal 7 5 5" xfId="7556"/>
    <cellStyle name="Normal 7 5 5 2" xfId="7557"/>
    <cellStyle name="Normal 7 5 5 2 2" xfId="13668"/>
    <cellStyle name="Normal 7 5 5 2 3" xfId="19918"/>
    <cellStyle name="Normal 7 5 5 3" xfId="13667"/>
    <cellStyle name="Normal 7 5 5 4" xfId="19917"/>
    <cellStyle name="Normal 7 5 6" xfId="7558"/>
    <cellStyle name="Normal 7 5 6 2" xfId="7559"/>
    <cellStyle name="Normal 7 5 6 2 2" xfId="13670"/>
    <cellStyle name="Normal 7 5 6 2 3" xfId="19920"/>
    <cellStyle name="Normal 7 5 6 3" xfId="13669"/>
    <cellStyle name="Normal 7 5 6 4" xfId="19919"/>
    <cellStyle name="Normal 7 5 7" xfId="7560"/>
    <cellStyle name="Normal 7 5 7 2" xfId="13671"/>
    <cellStyle name="Normal 7 5 7 3" xfId="19921"/>
    <cellStyle name="Normal 7 5 8" xfId="13624"/>
    <cellStyle name="Normal 7 5 9" xfId="19874"/>
    <cellStyle name="Normal 7 6" xfId="7561"/>
    <cellStyle name="Normal 7 6 2" xfId="7562"/>
    <cellStyle name="Normal 7 6 2 2" xfId="7563"/>
    <cellStyle name="Normal 7 6 2 2 2" xfId="7564"/>
    <cellStyle name="Normal 7 6 2 2 2 2" xfId="7565"/>
    <cellStyle name="Normal 7 6 2 2 2 2 2" xfId="13676"/>
    <cellStyle name="Normal 7 6 2 2 2 2 3" xfId="19926"/>
    <cellStyle name="Normal 7 6 2 2 2 3" xfId="13675"/>
    <cellStyle name="Normal 7 6 2 2 2 4" xfId="19925"/>
    <cellStyle name="Normal 7 6 2 2 3" xfId="7566"/>
    <cellStyle name="Normal 7 6 2 2 3 2" xfId="7567"/>
    <cellStyle name="Normal 7 6 2 2 3 2 2" xfId="13678"/>
    <cellStyle name="Normal 7 6 2 2 3 2 3" xfId="19928"/>
    <cellStyle name="Normal 7 6 2 2 3 3" xfId="13677"/>
    <cellStyle name="Normal 7 6 2 2 3 4" xfId="19927"/>
    <cellStyle name="Normal 7 6 2 2 4" xfId="7568"/>
    <cellStyle name="Normal 7 6 2 2 4 2" xfId="13679"/>
    <cellStyle name="Normal 7 6 2 2 4 3" xfId="19929"/>
    <cellStyle name="Normal 7 6 2 2 5" xfId="13674"/>
    <cellStyle name="Normal 7 6 2 2 6" xfId="19924"/>
    <cellStyle name="Normal 7 6 2 3" xfId="7569"/>
    <cellStyle name="Normal 7 6 2 3 2" xfId="7570"/>
    <cellStyle name="Normal 7 6 2 3 2 2" xfId="13681"/>
    <cellStyle name="Normal 7 6 2 3 2 3" xfId="19931"/>
    <cellStyle name="Normal 7 6 2 3 3" xfId="13680"/>
    <cellStyle name="Normal 7 6 2 3 4" xfId="19930"/>
    <cellStyle name="Normal 7 6 2 4" xfId="7571"/>
    <cellStyle name="Normal 7 6 2 4 2" xfId="7572"/>
    <cellStyle name="Normal 7 6 2 4 2 2" xfId="13683"/>
    <cellStyle name="Normal 7 6 2 4 2 3" xfId="19933"/>
    <cellStyle name="Normal 7 6 2 4 3" xfId="13682"/>
    <cellStyle name="Normal 7 6 2 4 4" xfId="19932"/>
    <cellStyle name="Normal 7 6 2 5" xfId="7573"/>
    <cellStyle name="Normal 7 6 2 5 2" xfId="13684"/>
    <cellStyle name="Normal 7 6 2 5 3" xfId="19934"/>
    <cellStyle name="Normal 7 6 2 6" xfId="13673"/>
    <cellStyle name="Normal 7 6 2 7" xfId="19923"/>
    <cellStyle name="Normal 7 6 3" xfId="7574"/>
    <cellStyle name="Normal 7 6 3 2" xfId="7575"/>
    <cellStyle name="Normal 7 6 3 2 2" xfId="7576"/>
    <cellStyle name="Normal 7 6 3 2 2 2" xfId="13687"/>
    <cellStyle name="Normal 7 6 3 2 2 3" xfId="19937"/>
    <cellStyle name="Normal 7 6 3 2 3" xfId="13686"/>
    <cellStyle name="Normal 7 6 3 2 4" xfId="19936"/>
    <cellStyle name="Normal 7 6 3 3" xfId="7577"/>
    <cellStyle name="Normal 7 6 3 3 2" xfId="7578"/>
    <cellStyle name="Normal 7 6 3 3 2 2" xfId="13689"/>
    <cellStyle name="Normal 7 6 3 3 2 3" xfId="19939"/>
    <cellStyle name="Normal 7 6 3 3 3" xfId="13688"/>
    <cellStyle name="Normal 7 6 3 3 4" xfId="19938"/>
    <cellStyle name="Normal 7 6 3 4" xfId="7579"/>
    <cellStyle name="Normal 7 6 3 4 2" xfId="13690"/>
    <cellStyle name="Normal 7 6 3 4 3" xfId="19940"/>
    <cellStyle name="Normal 7 6 3 5" xfId="13685"/>
    <cellStyle name="Normal 7 6 3 6" xfId="19935"/>
    <cellStyle name="Normal 7 6 4" xfId="7580"/>
    <cellStyle name="Normal 7 6 4 2" xfId="7581"/>
    <cellStyle name="Normal 7 6 4 2 2" xfId="13692"/>
    <cellStyle name="Normal 7 6 4 2 3" xfId="19942"/>
    <cellStyle name="Normal 7 6 4 3" xfId="13691"/>
    <cellStyle name="Normal 7 6 4 4" xfId="19941"/>
    <cellStyle name="Normal 7 6 5" xfId="7582"/>
    <cellStyle name="Normal 7 6 5 2" xfId="7583"/>
    <cellStyle name="Normal 7 6 5 2 2" xfId="13694"/>
    <cellStyle name="Normal 7 6 5 2 3" xfId="19944"/>
    <cellStyle name="Normal 7 6 5 3" xfId="13693"/>
    <cellStyle name="Normal 7 6 5 4" xfId="19943"/>
    <cellStyle name="Normal 7 6 6" xfId="7584"/>
    <cellStyle name="Normal 7 6 6 2" xfId="13695"/>
    <cellStyle name="Normal 7 6 6 3" xfId="19945"/>
    <cellStyle name="Normal 7 6 7" xfId="13672"/>
    <cellStyle name="Normal 7 6 8" xfId="19922"/>
    <cellStyle name="Normal 7 7" xfId="7585"/>
    <cellStyle name="Normal 7 7 2" xfId="7586"/>
    <cellStyle name="Normal 7 7 2 2" xfId="7587"/>
    <cellStyle name="Normal 7 7 2 2 2" xfId="7588"/>
    <cellStyle name="Normal 7 7 2 2 2 2" xfId="13699"/>
    <cellStyle name="Normal 7 7 2 2 2 3" xfId="19949"/>
    <cellStyle name="Normal 7 7 2 2 3" xfId="13698"/>
    <cellStyle name="Normal 7 7 2 2 4" xfId="19948"/>
    <cellStyle name="Normal 7 7 2 3" xfId="7589"/>
    <cellStyle name="Normal 7 7 2 3 2" xfId="7590"/>
    <cellStyle name="Normal 7 7 2 3 2 2" xfId="13701"/>
    <cellStyle name="Normal 7 7 2 3 2 3" xfId="19951"/>
    <cellStyle name="Normal 7 7 2 3 3" xfId="13700"/>
    <cellStyle name="Normal 7 7 2 3 4" xfId="19950"/>
    <cellStyle name="Normal 7 7 2 4" xfId="7591"/>
    <cellStyle name="Normal 7 7 2 4 2" xfId="13702"/>
    <cellStyle name="Normal 7 7 2 4 3" xfId="19952"/>
    <cellStyle name="Normal 7 7 2 5" xfId="13697"/>
    <cellStyle name="Normal 7 7 2 6" xfId="19947"/>
    <cellStyle name="Normal 7 7 3" xfId="7592"/>
    <cellStyle name="Normal 7 7 3 2" xfId="7593"/>
    <cellStyle name="Normal 7 7 3 2 2" xfId="13704"/>
    <cellStyle name="Normal 7 7 3 2 3" xfId="19954"/>
    <cellStyle name="Normal 7 7 3 3" xfId="13703"/>
    <cellStyle name="Normal 7 7 3 4" xfId="19953"/>
    <cellStyle name="Normal 7 7 4" xfId="7594"/>
    <cellStyle name="Normal 7 7 4 2" xfId="7595"/>
    <cellStyle name="Normal 7 7 4 2 2" xfId="13706"/>
    <cellStyle name="Normal 7 7 4 2 3" xfId="19956"/>
    <cellStyle name="Normal 7 7 4 3" xfId="13705"/>
    <cellStyle name="Normal 7 7 4 4" xfId="19955"/>
    <cellStyle name="Normal 7 7 5" xfId="7596"/>
    <cellStyle name="Normal 7 7 5 2" xfId="13707"/>
    <cellStyle name="Normal 7 7 5 3" xfId="19957"/>
    <cellStyle name="Normal 7 7 6" xfId="13696"/>
    <cellStyle name="Normal 7 7 7" xfId="19946"/>
    <cellStyle name="Normal 7 8" xfId="7597"/>
    <cellStyle name="Normal 7 8 2" xfId="7598"/>
    <cellStyle name="Normal 7 8 2 2" xfId="7599"/>
    <cellStyle name="Normal 7 8 2 2 2" xfId="13710"/>
    <cellStyle name="Normal 7 8 2 2 3" xfId="19960"/>
    <cellStyle name="Normal 7 8 2 3" xfId="13709"/>
    <cellStyle name="Normal 7 8 2 4" xfId="19959"/>
    <cellStyle name="Normal 7 8 3" xfId="7600"/>
    <cellStyle name="Normal 7 8 3 2" xfId="7601"/>
    <cellStyle name="Normal 7 8 3 2 2" xfId="13712"/>
    <cellStyle name="Normal 7 8 3 2 3" xfId="19962"/>
    <cellStyle name="Normal 7 8 3 3" xfId="13711"/>
    <cellStyle name="Normal 7 8 3 4" xfId="19961"/>
    <cellStyle name="Normal 7 8 4" xfId="7602"/>
    <cellStyle name="Normal 7 8 4 2" xfId="13713"/>
    <cellStyle name="Normal 7 8 4 3" xfId="19963"/>
    <cellStyle name="Normal 7 8 5" xfId="13708"/>
    <cellStyle name="Normal 7 8 6" xfId="19958"/>
    <cellStyle name="Normal 7 9" xfId="7603"/>
    <cellStyle name="Normal 7 9 2" xfId="7604"/>
    <cellStyle name="Normal 7 9 2 2" xfId="13715"/>
    <cellStyle name="Normal 7 9 2 3" xfId="19965"/>
    <cellStyle name="Normal 7 9 3" xfId="13714"/>
    <cellStyle name="Normal 7 9 4" xfId="19964"/>
    <cellStyle name="Normal 7_2180" xfId="13716"/>
    <cellStyle name="Normal 70" xfId="7605"/>
    <cellStyle name="Normal 70 2" xfId="7606"/>
    <cellStyle name="Normal 70 2 2" xfId="13718"/>
    <cellStyle name="Normal 70 2 3" xfId="19967"/>
    <cellStyle name="Normal 70 3" xfId="7607"/>
    <cellStyle name="Normal 70 3 2" xfId="13719"/>
    <cellStyle name="Normal 70 3 3" xfId="19968"/>
    <cellStyle name="Normal 70 4" xfId="7608"/>
    <cellStyle name="Normal 70 4 2" xfId="19969"/>
    <cellStyle name="Normal 70 5" xfId="13717"/>
    <cellStyle name="Normal 70 6" xfId="19966"/>
    <cellStyle name="Normal 71" xfId="7609"/>
    <cellStyle name="Normal 71 2" xfId="7610"/>
    <cellStyle name="Normal 71 2 2" xfId="19971"/>
    <cellStyle name="Normal 71 3" xfId="13720"/>
    <cellStyle name="Normal 71 4" xfId="19970"/>
    <cellStyle name="Normal 72" xfId="7611"/>
    <cellStyle name="Normal 72 2" xfId="7612"/>
    <cellStyle name="Normal 72 2 2" xfId="7613"/>
    <cellStyle name="Normal 72 2 2 2" xfId="7614"/>
    <cellStyle name="Normal 72 2 2 2 2" xfId="7615"/>
    <cellStyle name="Normal 72 2 2 2 2 2" xfId="13725"/>
    <cellStyle name="Normal 72 2 2 2 2 3" xfId="19976"/>
    <cellStyle name="Normal 72 2 2 2 3" xfId="13724"/>
    <cellStyle name="Normal 72 2 2 2 4" xfId="19975"/>
    <cellStyle name="Normal 72 2 2 3" xfId="7616"/>
    <cellStyle name="Normal 72 2 2 3 2" xfId="7617"/>
    <cellStyle name="Normal 72 2 2 3 2 2" xfId="13727"/>
    <cellStyle name="Normal 72 2 2 3 2 3" xfId="19978"/>
    <cellStyle name="Normal 72 2 2 3 3" xfId="13726"/>
    <cellStyle name="Normal 72 2 2 3 4" xfId="19977"/>
    <cellStyle name="Normal 72 2 2 4" xfId="7618"/>
    <cellStyle name="Normal 72 2 2 4 2" xfId="13728"/>
    <cellStyle name="Normal 72 2 2 4 3" xfId="19979"/>
    <cellStyle name="Normal 72 2 2 5" xfId="13723"/>
    <cellStyle name="Normal 72 2 2 6" xfId="19974"/>
    <cellStyle name="Normal 72 2 3" xfId="7619"/>
    <cellStyle name="Normal 72 2 3 2" xfId="7620"/>
    <cellStyle name="Normal 72 2 3 2 2" xfId="13730"/>
    <cellStyle name="Normal 72 2 3 2 3" xfId="19981"/>
    <cellStyle name="Normal 72 2 3 3" xfId="13729"/>
    <cellStyle name="Normal 72 2 3 4" xfId="19980"/>
    <cellStyle name="Normal 72 2 4" xfId="7621"/>
    <cellStyle name="Normal 72 2 4 2" xfId="7622"/>
    <cellStyle name="Normal 72 2 4 2 2" xfId="13732"/>
    <cellStyle name="Normal 72 2 4 2 3" xfId="19983"/>
    <cellStyle name="Normal 72 2 4 3" xfId="13731"/>
    <cellStyle name="Normal 72 2 4 4" xfId="19982"/>
    <cellStyle name="Normal 72 2 5" xfId="7623"/>
    <cellStyle name="Normal 72 2 5 2" xfId="13733"/>
    <cellStyle name="Normal 72 2 5 3" xfId="19984"/>
    <cellStyle name="Normal 72 2 6" xfId="13722"/>
    <cellStyle name="Normal 72 2 7" xfId="19973"/>
    <cellStyle name="Normal 72 3" xfId="7624"/>
    <cellStyle name="Normal 72 3 2" xfId="7625"/>
    <cellStyle name="Normal 72 3 2 2" xfId="7626"/>
    <cellStyle name="Normal 72 3 2 2 2" xfId="13736"/>
    <cellStyle name="Normal 72 3 2 2 3" xfId="19987"/>
    <cellStyle name="Normal 72 3 2 3" xfId="13735"/>
    <cellStyle name="Normal 72 3 2 4" xfId="19986"/>
    <cellStyle name="Normal 72 3 3" xfId="7627"/>
    <cellStyle name="Normal 72 3 3 2" xfId="7628"/>
    <cellStyle name="Normal 72 3 3 2 2" xfId="13738"/>
    <cellStyle name="Normal 72 3 3 2 3" xfId="19989"/>
    <cellStyle name="Normal 72 3 3 3" xfId="13737"/>
    <cellStyle name="Normal 72 3 3 4" xfId="19988"/>
    <cellStyle name="Normal 72 3 4" xfId="7629"/>
    <cellStyle name="Normal 72 3 4 2" xfId="13739"/>
    <cellStyle name="Normal 72 3 4 3" xfId="19990"/>
    <cellStyle name="Normal 72 3 5" xfId="13734"/>
    <cellStyle name="Normal 72 3 6" xfId="19985"/>
    <cellStyle name="Normal 72 4" xfId="7630"/>
    <cellStyle name="Normal 72 4 2" xfId="7631"/>
    <cellStyle name="Normal 72 4 2 2" xfId="13741"/>
    <cellStyle name="Normal 72 4 2 3" xfId="19992"/>
    <cellStyle name="Normal 72 4 3" xfId="13740"/>
    <cellStyle name="Normal 72 4 4" xfId="19991"/>
    <cellStyle name="Normal 72 5" xfId="7632"/>
    <cellStyle name="Normal 72 5 2" xfId="7633"/>
    <cellStyle name="Normal 72 5 2 2" xfId="13743"/>
    <cellStyle name="Normal 72 5 2 3" xfId="19994"/>
    <cellStyle name="Normal 72 5 3" xfId="13742"/>
    <cellStyle name="Normal 72 5 4" xfId="19993"/>
    <cellStyle name="Normal 72 6" xfId="7634"/>
    <cellStyle name="Normal 72 6 2" xfId="13744"/>
    <cellStyle name="Normal 72 6 3" xfId="19995"/>
    <cellStyle name="Normal 72 7" xfId="7635"/>
    <cellStyle name="Normal 72 7 2" xfId="19996"/>
    <cellStyle name="Normal 72 8" xfId="13721"/>
    <cellStyle name="Normal 72 9" xfId="19972"/>
    <cellStyle name="Normal 73" xfId="7636"/>
    <cellStyle name="Normal 73 2" xfId="7637"/>
    <cellStyle name="Normal 73 2 2" xfId="13746"/>
    <cellStyle name="Normal 73 2 3" xfId="19998"/>
    <cellStyle name="Normal 73 3" xfId="7638"/>
    <cellStyle name="Normal 73 3 2" xfId="19999"/>
    <cellStyle name="Normal 73 4" xfId="13745"/>
    <cellStyle name="Normal 73 5" xfId="19997"/>
    <cellStyle name="Normal 74" xfId="7639"/>
    <cellStyle name="Normal 74 2" xfId="7640"/>
    <cellStyle name="Normal 74 2 2" xfId="20001"/>
    <cellStyle name="Normal 74 3" xfId="13747"/>
    <cellStyle name="Normal 74 4" xfId="20000"/>
    <cellStyle name="Normal 75" xfId="7641"/>
    <cellStyle name="Normal 75 2" xfId="7642"/>
    <cellStyle name="Normal 75 2 2" xfId="20003"/>
    <cellStyle name="Normal 75 3" xfId="13748"/>
    <cellStyle name="Normal 75 4" xfId="20002"/>
    <cellStyle name="Normal 76" xfId="7643"/>
    <cellStyle name="Normal 76 2" xfId="7644"/>
    <cellStyle name="Normal 76 2 2" xfId="20005"/>
    <cellStyle name="Normal 76 3" xfId="13749"/>
    <cellStyle name="Normal 76 4" xfId="20004"/>
    <cellStyle name="Normal 77" xfId="7645"/>
    <cellStyle name="Normal 77 2" xfId="7646"/>
    <cellStyle name="Normal 77 2 2" xfId="20007"/>
    <cellStyle name="Normal 77 3" xfId="13750"/>
    <cellStyle name="Normal 77 4" xfId="20006"/>
    <cellStyle name="Normal 78" xfId="7647"/>
    <cellStyle name="Normal 78 2" xfId="7648"/>
    <cellStyle name="Normal 78 2 2" xfId="20009"/>
    <cellStyle name="Normal 78 3" xfId="13751"/>
    <cellStyle name="Normal 78 4" xfId="20008"/>
    <cellStyle name="Normal 79" xfId="7649"/>
    <cellStyle name="Normal 79 2" xfId="7650"/>
    <cellStyle name="Normal 79 2 2" xfId="20011"/>
    <cellStyle name="Normal 79 3" xfId="13752"/>
    <cellStyle name="Normal 79 4" xfId="20010"/>
    <cellStyle name="Normal 8" xfId="13753"/>
    <cellStyle name="Normal 8 10" xfId="7651"/>
    <cellStyle name="Normal 8 10 2" xfId="13754"/>
    <cellStyle name="Normal 8 10 3" xfId="20012"/>
    <cellStyle name="Normal 8 11" xfId="7652"/>
    <cellStyle name="Normal 8 11 2" xfId="20013"/>
    <cellStyle name="Normal 8 2" xfId="7653"/>
    <cellStyle name="Normal 8 2 10" xfId="7654"/>
    <cellStyle name="Normal 8 2 10 2" xfId="20015"/>
    <cellStyle name="Normal 8 2 11" xfId="13755"/>
    <cellStyle name="Normal 8 2 12" xfId="20014"/>
    <cellStyle name="Normal 8 2 2" xfId="7655"/>
    <cellStyle name="Normal 8 2 2 10" xfId="20016"/>
    <cellStyle name="Normal 8 2 2 2" xfId="7656"/>
    <cellStyle name="Normal 8 2 2 2 2" xfId="7657"/>
    <cellStyle name="Normal 8 2 2 2 2 2" xfId="7658"/>
    <cellStyle name="Normal 8 2 2 2 2 2 2" xfId="7659"/>
    <cellStyle name="Normal 8 2 2 2 2 2 2 2" xfId="7660"/>
    <cellStyle name="Normal 8 2 2 2 2 2 2 2 2" xfId="13761"/>
    <cellStyle name="Normal 8 2 2 2 2 2 2 2 3" xfId="20021"/>
    <cellStyle name="Normal 8 2 2 2 2 2 2 3" xfId="13760"/>
    <cellStyle name="Normal 8 2 2 2 2 2 2 4" xfId="20020"/>
    <cellStyle name="Normal 8 2 2 2 2 2 3" xfId="7661"/>
    <cellStyle name="Normal 8 2 2 2 2 2 3 2" xfId="7662"/>
    <cellStyle name="Normal 8 2 2 2 2 2 3 2 2" xfId="13763"/>
    <cellStyle name="Normal 8 2 2 2 2 2 3 2 3" xfId="20023"/>
    <cellStyle name="Normal 8 2 2 2 2 2 3 3" xfId="13762"/>
    <cellStyle name="Normal 8 2 2 2 2 2 3 4" xfId="20022"/>
    <cellStyle name="Normal 8 2 2 2 2 2 4" xfId="7663"/>
    <cellStyle name="Normal 8 2 2 2 2 2 4 2" xfId="13764"/>
    <cellStyle name="Normal 8 2 2 2 2 2 4 3" xfId="20024"/>
    <cellStyle name="Normal 8 2 2 2 2 2 5" xfId="13759"/>
    <cellStyle name="Normal 8 2 2 2 2 2 6" xfId="20019"/>
    <cellStyle name="Normal 8 2 2 2 2 3" xfId="7664"/>
    <cellStyle name="Normal 8 2 2 2 2 3 2" xfId="7665"/>
    <cellStyle name="Normal 8 2 2 2 2 3 2 2" xfId="13766"/>
    <cellStyle name="Normal 8 2 2 2 2 3 2 3" xfId="20026"/>
    <cellStyle name="Normal 8 2 2 2 2 3 3" xfId="13765"/>
    <cellStyle name="Normal 8 2 2 2 2 3 4" xfId="20025"/>
    <cellStyle name="Normal 8 2 2 2 2 4" xfId="7666"/>
    <cellStyle name="Normal 8 2 2 2 2 4 2" xfId="7667"/>
    <cellStyle name="Normal 8 2 2 2 2 4 2 2" xfId="13768"/>
    <cellStyle name="Normal 8 2 2 2 2 4 2 3" xfId="20028"/>
    <cellStyle name="Normal 8 2 2 2 2 4 3" xfId="13767"/>
    <cellStyle name="Normal 8 2 2 2 2 4 4" xfId="20027"/>
    <cellStyle name="Normal 8 2 2 2 2 5" xfId="7668"/>
    <cellStyle name="Normal 8 2 2 2 2 5 2" xfId="13769"/>
    <cellStyle name="Normal 8 2 2 2 2 5 3" xfId="20029"/>
    <cellStyle name="Normal 8 2 2 2 2 6" xfId="13758"/>
    <cellStyle name="Normal 8 2 2 2 2 7" xfId="20018"/>
    <cellStyle name="Normal 8 2 2 2 3" xfId="7669"/>
    <cellStyle name="Normal 8 2 2 2 3 2" xfId="7670"/>
    <cellStyle name="Normal 8 2 2 2 3 2 2" xfId="7671"/>
    <cellStyle name="Normal 8 2 2 2 3 2 2 2" xfId="13772"/>
    <cellStyle name="Normal 8 2 2 2 3 2 2 3" xfId="20032"/>
    <cellStyle name="Normal 8 2 2 2 3 2 3" xfId="13771"/>
    <cellStyle name="Normal 8 2 2 2 3 2 4" xfId="20031"/>
    <cellStyle name="Normal 8 2 2 2 3 3" xfId="7672"/>
    <cellStyle name="Normal 8 2 2 2 3 3 2" xfId="7673"/>
    <cellStyle name="Normal 8 2 2 2 3 3 2 2" xfId="13774"/>
    <cellStyle name="Normal 8 2 2 2 3 3 2 3" xfId="20034"/>
    <cellStyle name="Normal 8 2 2 2 3 3 3" xfId="13773"/>
    <cellStyle name="Normal 8 2 2 2 3 3 4" xfId="20033"/>
    <cellStyle name="Normal 8 2 2 2 3 4" xfId="7674"/>
    <cellStyle name="Normal 8 2 2 2 3 4 2" xfId="13775"/>
    <cellStyle name="Normal 8 2 2 2 3 4 3" xfId="20035"/>
    <cellStyle name="Normal 8 2 2 2 3 5" xfId="13770"/>
    <cellStyle name="Normal 8 2 2 2 3 6" xfId="20030"/>
    <cellStyle name="Normal 8 2 2 2 4" xfId="7675"/>
    <cellStyle name="Normal 8 2 2 2 4 2" xfId="7676"/>
    <cellStyle name="Normal 8 2 2 2 4 2 2" xfId="13777"/>
    <cellStyle name="Normal 8 2 2 2 4 2 3" xfId="20037"/>
    <cellStyle name="Normal 8 2 2 2 4 3" xfId="13776"/>
    <cellStyle name="Normal 8 2 2 2 4 4" xfId="20036"/>
    <cellStyle name="Normal 8 2 2 2 5" xfId="7677"/>
    <cellStyle name="Normal 8 2 2 2 5 2" xfId="7678"/>
    <cellStyle name="Normal 8 2 2 2 5 2 2" xfId="13779"/>
    <cellStyle name="Normal 8 2 2 2 5 2 3" xfId="20039"/>
    <cellStyle name="Normal 8 2 2 2 5 3" xfId="13778"/>
    <cellStyle name="Normal 8 2 2 2 5 4" xfId="20038"/>
    <cellStyle name="Normal 8 2 2 2 6" xfId="7679"/>
    <cellStyle name="Normal 8 2 2 2 6 2" xfId="13780"/>
    <cellStyle name="Normal 8 2 2 2 6 3" xfId="20040"/>
    <cellStyle name="Normal 8 2 2 2 7" xfId="13757"/>
    <cellStyle name="Normal 8 2 2 2 8" xfId="20017"/>
    <cellStyle name="Normal 8 2 2 3" xfId="7680"/>
    <cellStyle name="Normal 8 2 2 3 2" xfId="7681"/>
    <cellStyle name="Normal 8 2 2 3 2 2" xfId="7682"/>
    <cellStyle name="Normal 8 2 2 3 2 2 2" xfId="7683"/>
    <cellStyle name="Normal 8 2 2 3 2 2 2 2" xfId="13784"/>
    <cellStyle name="Normal 8 2 2 3 2 2 2 3" xfId="20044"/>
    <cellStyle name="Normal 8 2 2 3 2 2 3" xfId="13783"/>
    <cellStyle name="Normal 8 2 2 3 2 2 4" xfId="20043"/>
    <cellStyle name="Normal 8 2 2 3 2 3" xfId="7684"/>
    <cellStyle name="Normal 8 2 2 3 2 3 2" xfId="7685"/>
    <cellStyle name="Normal 8 2 2 3 2 3 2 2" xfId="13786"/>
    <cellStyle name="Normal 8 2 2 3 2 3 2 3" xfId="20046"/>
    <cellStyle name="Normal 8 2 2 3 2 3 3" xfId="13785"/>
    <cellStyle name="Normal 8 2 2 3 2 3 4" xfId="20045"/>
    <cellStyle name="Normal 8 2 2 3 2 4" xfId="7686"/>
    <cellStyle name="Normal 8 2 2 3 2 4 2" xfId="13787"/>
    <cellStyle name="Normal 8 2 2 3 2 4 3" xfId="20047"/>
    <cellStyle name="Normal 8 2 2 3 2 5" xfId="13782"/>
    <cellStyle name="Normal 8 2 2 3 2 6" xfId="20042"/>
    <cellStyle name="Normal 8 2 2 3 3" xfId="7687"/>
    <cellStyle name="Normal 8 2 2 3 3 2" xfId="7688"/>
    <cellStyle name="Normal 8 2 2 3 3 2 2" xfId="13789"/>
    <cellStyle name="Normal 8 2 2 3 3 2 3" xfId="20049"/>
    <cellStyle name="Normal 8 2 2 3 3 3" xfId="13788"/>
    <cellStyle name="Normal 8 2 2 3 3 4" xfId="20048"/>
    <cellStyle name="Normal 8 2 2 3 4" xfId="7689"/>
    <cellStyle name="Normal 8 2 2 3 4 2" xfId="7690"/>
    <cellStyle name="Normal 8 2 2 3 4 2 2" xfId="13791"/>
    <cellStyle name="Normal 8 2 2 3 4 2 3" xfId="20051"/>
    <cellStyle name="Normal 8 2 2 3 4 3" xfId="13790"/>
    <cellStyle name="Normal 8 2 2 3 4 4" xfId="20050"/>
    <cellStyle name="Normal 8 2 2 3 5" xfId="7691"/>
    <cellStyle name="Normal 8 2 2 3 5 2" xfId="13792"/>
    <cellStyle name="Normal 8 2 2 3 5 3" xfId="20052"/>
    <cellStyle name="Normal 8 2 2 3 6" xfId="13781"/>
    <cellStyle name="Normal 8 2 2 3 7" xfId="20041"/>
    <cellStyle name="Normal 8 2 2 4" xfId="7692"/>
    <cellStyle name="Normal 8 2 2 4 2" xfId="7693"/>
    <cellStyle name="Normal 8 2 2 4 2 2" xfId="7694"/>
    <cellStyle name="Normal 8 2 2 4 2 2 2" xfId="13795"/>
    <cellStyle name="Normal 8 2 2 4 2 2 3" xfId="20055"/>
    <cellStyle name="Normal 8 2 2 4 2 3" xfId="13794"/>
    <cellStyle name="Normal 8 2 2 4 2 4" xfId="20054"/>
    <cellStyle name="Normal 8 2 2 4 3" xfId="7695"/>
    <cellStyle name="Normal 8 2 2 4 3 2" xfId="7696"/>
    <cellStyle name="Normal 8 2 2 4 3 2 2" xfId="13797"/>
    <cellStyle name="Normal 8 2 2 4 3 2 3" xfId="20057"/>
    <cellStyle name="Normal 8 2 2 4 3 3" xfId="13796"/>
    <cellStyle name="Normal 8 2 2 4 3 4" xfId="20056"/>
    <cellStyle name="Normal 8 2 2 4 4" xfId="7697"/>
    <cellStyle name="Normal 8 2 2 4 4 2" xfId="13798"/>
    <cellStyle name="Normal 8 2 2 4 4 3" xfId="20058"/>
    <cellStyle name="Normal 8 2 2 4 5" xfId="13793"/>
    <cellStyle name="Normal 8 2 2 4 6" xfId="20053"/>
    <cellStyle name="Normal 8 2 2 5" xfId="7698"/>
    <cellStyle name="Normal 8 2 2 5 2" xfId="7699"/>
    <cellStyle name="Normal 8 2 2 5 2 2" xfId="13800"/>
    <cellStyle name="Normal 8 2 2 5 2 3" xfId="20060"/>
    <cellStyle name="Normal 8 2 2 5 3" xfId="13799"/>
    <cellStyle name="Normal 8 2 2 5 4" xfId="20059"/>
    <cellStyle name="Normal 8 2 2 6" xfId="7700"/>
    <cellStyle name="Normal 8 2 2 6 2" xfId="7701"/>
    <cellStyle name="Normal 8 2 2 6 2 2" xfId="13802"/>
    <cellStyle name="Normal 8 2 2 6 2 3" xfId="20062"/>
    <cellStyle name="Normal 8 2 2 6 3" xfId="13801"/>
    <cellStyle name="Normal 8 2 2 6 4" xfId="20061"/>
    <cellStyle name="Normal 8 2 2 7" xfId="7702"/>
    <cellStyle name="Normal 8 2 2 7 2" xfId="13803"/>
    <cellStyle name="Normal 8 2 2 7 3" xfId="20063"/>
    <cellStyle name="Normal 8 2 2 8" xfId="7703"/>
    <cellStyle name="Normal 8 2 2 8 2" xfId="20064"/>
    <cellStyle name="Normal 8 2 2 9" xfId="13756"/>
    <cellStyle name="Normal 8 2 3" xfId="7704"/>
    <cellStyle name="Normal 8 2 3 2" xfId="7705"/>
    <cellStyle name="Normal 8 2 3 2 2" xfId="7706"/>
    <cellStyle name="Normal 8 2 3 2 2 2" xfId="7707"/>
    <cellStyle name="Normal 8 2 3 2 2 2 2" xfId="7708"/>
    <cellStyle name="Normal 8 2 3 2 2 2 2 2" xfId="13808"/>
    <cellStyle name="Normal 8 2 3 2 2 2 2 3" xfId="20069"/>
    <cellStyle name="Normal 8 2 3 2 2 2 3" xfId="13807"/>
    <cellStyle name="Normal 8 2 3 2 2 2 4" xfId="20068"/>
    <cellStyle name="Normal 8 2 3 2 2 3" xfId="7709"/>
    <cellStyle name="Normal 8 2 3 2 2 3 2" xfId="7710"/>
    <cellStyle name="Normal 8 2 3 2 2 3 2 2" xfId="13810"/>
    <cellStyle name="Normal 8 2 3 2 2 3 2 3" xfId="20071"/>
    <cellStyle name="Normal 8 2 3 2 2 3 3" xfId="13809"/>
    <cellStyle name="Normal 8 2 3 2 2 3 4" xfId="20070"/>
    <cellStyle name="Normal 8 2 3 2 2 4" xfId="7711"/>
    <cellStyle name="Normal 8 2 3 2 2 4 2" xfId="13811"/>
    <cellStyle name="Normal 8 2 3 2 2 4 3" xfId="20072"/>
    <cellStyle name="Normal 8 2 3 2 2 5" xfId="13806"/>
    <cellStyle name="Normal 8 2 3 2 2 6" xfId="20067"/>
    <cellStyle name="Normal 8 2 3 2 3" xfId="7712"/>
    <cellStyle name="Normal 8 2 3 2 3 2" xfId="7713"/>
    <cellStyle name="Normal 8 2 3 2 3 2 2" xfId="13813"/>
    <cellStyle name="Normal 8 2 3 2 3 2 3" xfId="20074"/>
    <cellStyle name="Normal 8 2 3 2 3 3" xfId="13812"/>
    <cellStyle name="Normal 8 2 3 2 3 4" xfId="20073"/>
    <cellStyle name="Normal 8 2 3 2 4" xfId="7714"/>
    <cellStyle name="Normal 8 2 3 2 4 2" xfId="7715"/>
    <cellStyle name="Normal 8 2 3 2 4 2 2" xfId="13815"/>
    <cellStyle name="Normal 8 2 3 2 4 2 3" xfId="20076"/>
    <cellStyle name="Normal 8 2 3 2 4 3" xfId="13814"/>
    <cellStyle name="Normal 8 2 3 2 4 4" xfId="20075"/>
    <cellStyle name="Normal 8 2 3 2 5" xfId="7716"/>
    <cellStyle name="Normal 8 2 3 2 5 2" xfId="13816"/>
    <cellStyle name="Normal 8 2 3 2 5 3" xfId="20077"/>
    <cellStyle name="Normal 8 2 3 2 6" xfId="13805"/>
    <cellStyle name="Normal 8 2 3 2 7" xfId="20066"/>
    <cellStyle name="Normal 8 2 3 3" xfId="7717"/>
    <cellStyle name="Normal 8 2 3 3 2" xfId="7718"/>
    <cellStyle name="Normal 8 2 3 3 2 2" xfId="7719"/>
    <cellStyle name="Normal 8 2 3 3 2 2 2" xfId="13819"/>
    <cellStyle name="Normal 8 2 3 3 2 2 3" xfId="20080"/>
    <cellStyle name="Normal 8 2 3 3 2 3" xfId="13818"/>
    <cellStyle name="Normal 8 2 3 3 2 4" xfId="20079"/>
    <cellStyle name="Normal 8 2 3 3 3" xfId="7720"/>
    <cellStyle name="Normal 8 2 3 3 3 2" xfId="7721"/>
    <cellStyle name="Normal 8 2 3 3 3 2 2" xfId="13821"/>
    <cellStyle name="Normal 8 2 3 3 3 2 3" xfId="20082"/>
    <cellStyle name="Normal 8 2 3 3 3 3" xfId="13820"/>
    <cellStyle name="Normal 8 2 3 3 3 4" xfId="20081"/>
    <cellStyle name="Normal 8 2 3 3 4" xfId="7722"/>
    <cellStyle name="Normal 8 2 3 3 4 2" xfId="13822"/>
    <cellStyle name="Normal 8 2 3 3 4 3" xfId="20083"/>
    <cellStyle name="Normal 8 2 3 3 5" xfId="13817"/>
    <cellStyle name="Normal 8 2 3 3 6" xfId="20078"/>
    <cellStyle name="Normal 8 2 3 4" xfId="7723"/>
    <cellStyle name="Normal 8 2 3 4 2" xfId="7724"/>
    <cellStyle name="Normal 8 2 3 4 2 2" xfId="13824"/>
    <cellStyle name="Normal 8 2 3 4 2 3" xfId="20085"/>
    <cellStyle name="Normal 8 2 3 4 3" xfId="13823"/>
    <cellStyle name="Normal 8 2 3 4 4" xfId="20084"/>
    <cellStyle name="Normal 8 2 3 5" xfId="7725"/>
    <cellStyle name="Normal 8 2 3 5 2" xfId="7726"/>
    <cellStyle name="Normal 8 2 3 5 2 2" xfId="13826"/>
    <cellStyle name="Normal 8 2 3 5 2 3" xfId="20087"/>
    <cellStyle name="Normal 8 2 3 5 3" xfId="13825"/>
    <cellStyle name="Normal 8 2 3 5 4" xfId="20086"/>
    <cellStyle name="Normal 8 2 3 6" xfId="7727"/>
    <cellStyle name="Normal 8 2 3 6 2" xfId="13827"/>
    <cellStyle name="Normal 8 2 3 6 3" xfId="20088"/>
    <cellStyle name="Normal 8 2 3 7" xfId="13804"/>
    <cellStyle name="Normal 8 2 3 8" xfId="20065"/>
    <cellStyle name="Normal 8 2 4" xfId="7728"/>
    <cellStyle name="Normal 8 2 4 2" xfId="7729"/>
    <cellStyle name="Normal 8 2 4 2 2" xfId="7730"/>
    <cellStyle name="Normal 8 2 4 2 2 2" xfId="7731"/>
    <cellStyle name="Normal 8 2 4 2 2 2 2" xfId="13831"/>
    <cellStyle name="Normal 8 2 4 2 2 2 3" xfId="20092"/>
    <cellStyle name="Normal 8 2 4 2 2 3" xfId="13830"/>
    <cellStyle name="Normal 8 2 4 2 2 4" xfId="20091"/>
    <cellStyle name="Normal 8 2 4 2 3" xfId="7732"/>
    <cellStyle name="Normal 8 2 4 2 3 2" xfId="7733"/>
    <cellStyle name="Normal 8 2 4 2 3 2 2" xfId="13833"/>
    <cellStyle name="Normal 8 2 4 2 3 2 3" xfId="20094"/>
    <cellStyle name="Normal 8 2 4 2 3 3" xfId="13832"/>
    <cellStyle name="Normal 8 2 4 2 3 4" xfId="20093"/>
    <cellStyle name="Normal 8 2 4 2 4" xfId="7734"/>
    <cellStyle name="Normal 8 2 4 2 4 2" xfId="13834"/>
    <cellStyle name="Normal 8 2 4 2 4 3" xfId="20095"/>
    <cellStyle name="Normal 8 2 4 2 5" xfId="13829"/>
    <cellStyle name="Normal 8 2 4 2 6" xfId="20090"/>
    <cellStyle name="Normal 8 2 4 3" xfId="7735"/>
    <cellStyle name="Normal 8 2 4 3 2" xfId="7736"/>
    <cellStyle name="Normal 8 2 4 3 2 2" xfId="13836"/>
    <cellStyle name="Normal 8 2 4 3 2 3" xfId="20097"/>
    <cellStyle name="Normal 8 2 4 3 3" xfId="13835"/>
    <cellStyle name="Normal 8 2 4 3 4" xfId="20096"/>
    <cellStyle name="Normal 8 2 4 4" xfId="7737"/>
    <cellStyle name="Normal 8 2 4 4 2" xfId="7738"/>
    <cellStyle name="Normal 8 2 4 4 2 2" xfId="13838"/>
    <cellStyle name="Normal 8 2 4 4 2 3" xfId="20099"/>
    <cellStyle name="Normal 8 2 4 4 3" xfId="13837"/>
    <cellStyle name="Normal 8 2 4 4 4" xfId="20098"/>
    <cellStyle name="Normal 8 2 4 5" xfId="7739"/>
    <cellStyle name="Normal 8 2 4 5 2" xfId="13839"/>
    <cellStyle name="Normal 8 2 4 5 3" xfId="20100"/>
    <cellStyle name="Normal 8 2 4 6" xfId="13828"/>
    <cellStyle name="Normal 8 2 4 7" xfId="20089"/>
    <cellStyle name="Normal 8 2 5" xfId="7740"/>
    <cellStyle name="Normal 8 2 5 2" xfId="7741"/>
    <cellStyle name="Normal 8 2 5 2 2" xfId="7742"/>
    <cellStyle name="Normal 8 2 5 2 2 2" xfId="13842"/>
    <cellStyle name="Normal 8 2 5 2 2 3" xfId="20103"/>
    <cellStyle name="Normal 8 2 5 2 3" xfId="13841"/>
    <cellStyle name="Normal 8 2 5 2 4" xfId="20102"/>
    <cellStyle name="Normal 8 2 5 3" xfId="7743"/>
    <cellStyle name="Normal 8 2 5 3 2" xfId="7744"/>
    <cellStyle name="Normal 8 2 5 3 2 2" xfId="13844"/>
    <cellStyle name="Normal 8 2 5 3 2 3" xfId="20105"/>
    <cellStyle name="Normal 8 2 5 3 3" xfId="13843"/>
    <cellStyle name="Normal 8 2 5 3 4" xfId="20104"/>
    <cellStyle name="Normal 8 2 5 4" xfId="7745"/>
    <cellStyle name="Normal 8 2 5 4 2" xfId="13845"/>
    <cellStyle name="Normal 8 2 5 4 3" xfId="20106"/>
    <cellStyle name="Normal 8 2 5 5" xfId="13840"/>
    <cellStyle name="Normal 8 2 5 6" xfId="20101"/>
    <cellStyle name="Normal 8 2 6" xfId="7746"/>
    <cellStyle name="Normal 8 2 6 2" xfId="7747"/>
    <cellStyle name="Normal 8 2 6 2 2" xfId="13847"/>
    <cellStyle name="Normal 8 2 6 2 3" xfId="20108"/>
    <cellStyle name="Normal 8 2 6 3" xfId="13846"/>
    <cellStyle name="Normal 8 2 6 4" xfId="20107"/>
    <cellStyle name="Normal 8 2 7" xfId="7748"/>
    <cellStyle name="Normal 8 2 7 2" xfId="7749"/>
    <cellStyle name="Normal 8 2 7 2 2" xfId="13849"/>
    <cellStyle name="Normal 8 2 7 2 3" xfId="20110"/>
    <cellStyle name="Normal 8 2 7 3" xfId="13848"/>
    <cellStyle name="Normal 8 2 7 4" xfId="20109"/>
    <cellStyle name="Normal 8 2 8" xfId="7750"/>
    <cellStyle name="Normal 8 2 8 2" xfId="13850"/>
    <cellStyle name="Normal 8 2 8 3" xfId="20111"/>
    <cellStyle name="Normal 8 2 9" xfId="7751"/>
    <cellStyle name="Normal 8 2 9 2" xfId="13851"/>
    <cellStyle name="Normal 8 2 9 3" xfId="20112"/>
    <cellStyle name="Normal 8 3" xfId="7752"/>
    <cellStyle name="Normal 8 3 10" xfId="20113"/>
    <cellStyle name="Normal 8 3 2" xfId="7753"/>
    <cellStyle name="Normal 8 3 2 2" xfId="7754"/>
    <cellStyle name="Normal 8 3 2 2 2" xfId="7755"/>
    <cellStyle name="Normal 8 3 2 2 2 2" xfId="7756"/>
    <cellStyle name="Normal 8 3 2 2 2 2 2" xfId="7757"/>
    <cellStyle name="Normal 8 3 2 2 2 2 2 2" xfId="13857"/>
    <cellStyle name="Normal 8 3 2 2 2 2 2 3" xfId="20118"/>
    <cellStyle name="Normal 8 3 2 2 2 2 3" xfId="13856"/>
    <cellStyle name="Normal 8 3 2 2 2 2 4" xfId="20117"/>
    <cellStyle name="Normal 8 3 2 2 2 3" xfId="7758"/>
    <cellStyle name="Normal 8 3 2 2 2 3 2" xfId="7759"/>
    <cellStyle name="Normal 8 3 2 2 2 3 2 2" xfId="13859"/>
    <cellStyle name="Normal 8 3 2 2 2 3 2 3" xfId="20120"/>
    <cellStyle name="Normal 8 3 2 2 2 3 3" xfId="13858"/>
    <cellStyle name="Normal 8 3 2 2 2 3 4" xfId="20119"/>
    <cellStyle name="Normal 8 3 2 2 2 4" xfId="7760"/>
    <cellStyle name="Normal 8 3 2 2 2 4 2" xfId="13860"/>
    <cellStyle name="Normal 8 3 2 2 2 4 3" xfId="20121"/>
    <cellStyle name="Normal 8 3 2 2 2 5" xfId="13855"/>
    <cellStyle name="Normal 8 3 2 2 2 6" xfId="20116"/>
    <cellStyle name="Normal 8 3 2 2 3" xfId="7761"/>
    <cellStyle name="Normal 8 3 2 2 3 2" xfId="7762"/>
    <cellStyle name="Normal 8 3 2 2 3 2 2" xfId="13862"/>
    <cellStyle name="Normal 8 3 2 2 3 2 3" xfId="20123"/>
    <cellStyle name="Normal 8 3 2 2 3 3" xfId="13861"/>
    <cellStyle name="Normal 8 3 2 2 3 4" xfId="20122"/>
    <cellStyle name="Normal 8 3 2 2 4" xfId="7763"/>
    <cellStyle name="Normal 8 3 2 2 4 2" xfId="7764"/>
    <cellStyle name="Normal 8 3 2 2 4 2 2" xfId="13864"/>
    <cellStyle name="Normal 8 3 2 2 4 2 3" xfId="20125"/>
    <cellStyle name="Normal 8 3 2 2 4 3" xfId="13863"/>
    <cellStyle name="Normal 8 3 2 2 4 4" xfId="20124"/>
    <cellStyle name="Normal 8 3 2 2 5" xfId="7765"/>
    <cellStyle name="Normal 8 3 2 2 5 2" xfId="13865"/>
    <cellStyle name="Normal 8 3 2 2 5 3" xfId="20126"/>
    <cellStyle name="Normal 8 3 2 2 6" xfId="13854"/>
    <cellStyle name="Normal 8 3 2 2 7" xfId="20115"/>
    <cellStyle name="Normal 8 3 2 3" xfId="7766"/>
    <cellStyle name="Normal 8 3 2 3 2" xfId="7767"/>
    <cellStyle name="Normal 8 3 2 3 2 2" xfId="7768"/>
    <cellStyle name="Normal 8 3 2 3 2 2 2" xfId="13868"/>
    <cellStyle name="Normal 8 3 2 3 2 2 3" xfId="20129"/>
    <cellStyle name="Normal 8 3 2 3 2 3" xfId="13867"/>
    <cellStyle name="Normal 8 3 2 3 2 4" xfId="20128"/>
    <cellStyle name="Normal 8 3 2 3 3" xfId="7769"/>
    <cellStyle name="Normal 8 3 2 3 3 2" xfId="7770"/>
    <cellStyle name="Normal 8 3 2 3 3 2 2" xfId="13870"/>
    <cellStyle name="Normal 8 3 2 3 3 2 3" xfId="20131"/>
    <cellStyle name="Normal 8 3 2 3 3 3" xfId="13869"/>
    <cellStyle name="Normal 8 3 2 3 3 4" xfId="20130"/>
    <cellStyle name="Normal 8 3 2 3 4" xfId="7771"/>
    <cellStyle name="Normal 8 3 2 3 4 2" xfId="13871"/>
    <cellStyle name="Normal 8 3 2 3 4 3" xfId="20132"/>
    <cellStyle name="Normal 8 3 2 3 5" xfId="13866"/>
    <cellStyle name="Normal 8 3 2 3 6" xfId="20127"/>
    <cellStyle name="Normal 8 3 2 4" xfId="7772"/>
    <cellStyle name="Normal 8 3 2 4 2" xfId="7773"/>
    <cellStyle name="Normal 8 3 2 4 2 2" xfId="13873"/>
    <cellStyle name="Normal 8 3 2 4 2 3" xfId="20134"/>
    <cellStyle name="Normal 8 3 2 4 3" xfId="13872"/>
    <cellStyle name="Normal 8 3 2 4 4" xfId="20133"/>
    <cellStyle name="Normal 8 3 2 5" xfId="7774"/>
    <cellStyle name="Normal 8 3 2 5 2" xfId="7775"/>
    <cellStyle name="Normal 8 3 2 5 2 2" xfId="13875"/>
    <cellStyle name="Normal 8 3 2 5 2 3" xfId="20136"/>
    <cellStyle name="Normal 8 3 2 5 3" xfId="13874"/>
    <cellStyle name="Normal 8 3 2 5 4" xfId="20135"/>
    <cellStyle name="Normal 8 3 2 6" xfId="7776"/>
    <cellStyle name="Normal 8 3 2 6 2" xfId="13876"/>
    <cellStyle name="Normal 8 3 2 6 3" xfId="20137"/>
    <cellStyle name="Normal 8 3 2 7" xfId="13853"/>
    <cellStyle name="Normal 8 3 2 8" xfId="20114"/>
    <cellStyle name="Normal 8 3 3" xfId="7777"/>
    <cellStyle name="Normal 8 3 3 2" xfId="7778"/>
    <cellStyle name="Normal 8 3 3 2 2" xfId="7779"/>
    <cellStyle name="Normal 8 3 3 2 2 2" xfId="7780"/>
    <cellStyle name="Normal 8 3 3 2 2 2 2" xfId="13880"/>
    <cellStyle name="Normal 8 3 3 2 2 2 3" xfId="20141"/>
    <cellStyle name="Normal 8 3 3 2 2 3" xfId="13879"/>
    <cellStyle name="Normal 8 3 3 2 2 4" xfId="20140"/>
    <cellStyle name="Normal 8 3 3 2 3" xfId="7781"/>
    <cellStyle name="Normal 8 3 3 2 3 2" xfId="7782"/>
    <cellStyle name="Normal 8 3 3 2 3 2 2" xfId="13882"/>
    <cellStyle name="Normal 8 3 3 2 3 2 3" xfId="20143"/>
    <cellStyle name="Normal 8 3 3 2 3 3" xfId="13881"/>
    <cellStyle name="Normal 8 3 3 2 3 4" xfId="20142"/>
    <cellStyle name="Normal 8 3 3 2 4" xfId="7783"/>
    <cellStyle name="Normal 8 3 3 2 4 2" xfId="13883"/>
    <cellStyle name="Normal 8 3 3 2 4 3" xfId="20144"/>
    <cellStyle name="Normal 8 3 3 2 5" xfId="13878"/>
    <cellStyle name="Normal 8 3 3 2 6" xfId="20139"/>
    <cellStyle name="Normal 8 3 3 3" xfId="7784"/>
    <cellStyle name="Normal 8 3 3 3 2" xfId="7785"/>
    <cellStyle name="Normal 8 3 3 3 2 2" xfId="13885"/>
    <cellStyle name="Normal 8 3 3 3 2 3" xfId="20146"/>
    <cellStyle name="Normal 8 3 3 3 3" xfId="13884"/>
    <cellStyle name="Normal 8 3 3 3 4" xfId="20145"/>
    <cellStyle name="Normal 8 3 3 4" xfId="7786"/>
    <cellStyle name="Normal 8 3 3 4 2" xfId="7787"/>
    <cellStyle name="Normal 8 3 3 4 2 2" xfId="13887"/>
    <cellStyle name="Normal 8 3 3 4 2 3" xfId="20148"/>
    <cellStyle name="Normal 8 3 3 4 3" xfId="13886"/>
    <cellStyle name="Normal 8 3 3 4 4" xfId="20147"/>
    <cellStyle name="Normal 8 3 3 5" xfId="7788"/>
    <cellStyle name="Normal 8 3 3 5 2" xfId="13888"/>
    <cellStyle name="Normal 8 3 3 5 3" xfId="20149"/>
    <cellStyle name="Normal 8 3 3 6" xfId="13877"/>
    <cellStyle name="Normal 8 3 3 7" xfId="20138"/>
    <cellStyle name="Normal 8 3 4" xfId="7789"/>
    <cellStyle name="Normal 8 3 4 2" xfId="7790"/>
    <cellStyle name="Normal 8 3 4 2 2" xfId="7791"/>
    <cellStyle name="Normal 8 3 4 2 2 2" xfId="13891"/>
    <cellStyle name="Normal 8 3 4 2 2 3" xfId="20152"/>
    <cellStyle name="Normal 8 3 4 2 3" xfId="13890"/>
    <cellStyle name="Normal 8 3 4 2 4" xfId="20151"/>
    <cellStyle name="Normal 8 3 4 3" xfId="7792"/>
    <cellStyle name="Normal 8 3 4 3 2" xfId="7793"/>
    <cellStyle name="Normal 8 3 4 3 2 2" xfId="13893"/>
    <cellStyle name="Normal 8 3 4 3 2 3" xfId="20154"/>
    <cellStyle name="Normal 8 3 4 3 3" xfId="13892"/>
    <cellStyle name="Normal 8 3 4 3 4" xfId="20153"/>
    <cellStyle name="Normal 8 3 4 4" xfId="7794"/>
    <cellStyle name="Normal 8 3 4 4 2" xfId="13894"/>
    <cellStyle name="Normal 8 3 4 4 3" xfId="20155"/>
    <cellStyle name="Normal 8 3 4 5" xfId="13889"/>
    <cellStyle name="Normal 8 3 4 6" xfId="20150"/>
    <cellStyle name="Normal 8 3 5" xfId="7795"/>
    <cellStyle name="Normal 8 3 5 2" xfId="7796"/>
    <cellStyle name="Normal 8 3 5 2 2" xfId="13896"/>
    <cellStyle name="Normal 8 3 5 2 3" xfId="20157"/>
    <cellStyle name="Normal 8 3 5 3" xfId="13895"/>
    <cellStyle name="Normal 8 3 5 4" xfId="20156"/>
    <cellStyle name="Normal 8 3 6" xfId="7797"/>
    <cellStyle name="Normal 8 3 6 2" xfId="7798"/>
    <cellStyle name="Normal 8 3 6 2 2" xfId="13898"/>
    <cellStyle name="Normal 8 3 6 2 3" xfId="20159"/>
    <cellStyle name="Normal 8 3 6 3" xfId="13897"/>
    <cellStyle name="Normal 8 3 6 4" xfId="20158"/>
    <cellStyle name="Normal 8 3 7" xfId="7799"/>
    <cellStyle name="Normal 8 3 7 2" xfId="13899"/>
    <cellStyle name="Normal 8 3 7 3" xfId="20160"/>
    <cellStyle name="Normal 8 3 8" xfId="7800"/>
    <cellStyle name="Normal 8 3 8 2" xfId="20161"/>
    <cellStyle name="Normal 8 3 9" xfId="13852"/>
    <cellStyle name="Normal 8 4" xfId="7801"/>
    <cellStyle name="Normal 8 4 2" xfId="7802"/>
    <cellStyle name="Normal 8 4 2 2" xfId="7803"/>
    <cellStyle name="Normal 8 4 2 2 2" xfId="7804"/>
    <cellStyle name="Normal 8 4 2 2 2 2" xfId="7805"/>
    <cellStyle name="Normal 8 4 2 2 2 2 2" xfId="7806"/>
    <cellStyle name="Normal 8 4 2 2 2 2 2 2" xfId="13905"/>
    <cellStyle name="Normal 8 4 2 2 2 2 2 3" xfId="20167"/>
    <cellStyle name="Normal 8 4 2 2 2 2 3" xfId="13904"/>
    <cellStyle name="Normal 8 4 2 2 2 2 4" xfId="20166"/>
    <cellStyle name="Normal 8 4 2 2 2 3" xfId="7807"/>
    <cellStyle name="Normal 8 4 2 2 2 3 2" xfId="7808"/>
    <cellStyle name="Normal 8 4 2 2 2 3 2 2" xfId="13907"/>
    <cellStyle name="Normal 8 4 2 2 2 3 2 3" xfId="20169"/>
    <cellStyle name="Normal 8 4 2 2 2 3 3" xfId="13906"/>
    <cellStyle name="Normal 8 4 2 2 2 3 4" xfId="20168"/>
    <cellStyle name="Normal 8 4 2 2 2 4" xfId="7809"/>
    <cellStyle name="Normal 8 4 2 2 2 4 2" xfId="13908"/>
    <cellStyle name="Normal 8 4 2 2 2 4 3" xfId="20170"/>
    <cellStyle name="Normal 8 4 2 2 2 5" xfId="13903"/>
    <cellStyle name="Normal 8 4 2 2 2 6" xfId="20165"/>
    <cellStyle name="Normal 8 4 2 2 3" xfId="7810"/>
    <cellStyle name="Normal 8 4 2 2 3 2" xfId="7811"/>
    <cellStyle name="Normal 8 4 2 2 3 2 2" xfId="13910"/>
    <cellStyle name="Normal 8 4 2 2 3 2 3" xfId="20172"/>
    <cellStyle name="Normal 8 4 2 2 3 3" xfId="13909"/>
    <cellStyle name="Normal 8 4 2 2 3 4" xfId="20171"/>
    <cellStyle name="Normal 8 4 2 2 4" xfId="7812"/>
    <cellStyle name="Normal 8 4 2 2 4 2" xfId="7813"/>
    <cellStyle name="Normal 8 4 2 2 4 2 2" xfId="13912"/>
    <cellStyle name="Normal 8 4 2 2 4 2 3" xfId="20174"/>
    <cellStyle name="Normal 8 4 2 2 4 3" xfId="13911"/>
    <cellStyle name="Normal 8 4 2 2 4 4" xfId="20173"/>
    <cellStyle name="Normal 8 4 2 2 5" xfId="7814"/>
    <cellStyle name="Normal 8 4 2 2 5 2" xfId="13913"/>
    <cellStyle name="Normal 8 4 2 2 5 3" xfId="20175"/>
    <cellStyle name="Normal 8 4 2 2 6" xfId="13902"/>
    <cellStyle name="Normal 8 4 2 2 7" xfId="20164"/>
    <cellStyle name="Normal 8 4 2 3" xfId="7815"/>
    <cellStyle name="Normal 8 4 2 3 2" xfId="7816"/>
    <cellStyle name="Normal 8 4 2 3 2 2" xfId="7817"/>
    <cellStyle name="Normal 8 4 2 3 2 2 2" xfId="13916"/>
    <cellStyle name="Normal 8 4 2 3 2 2 3" xfId="20178"/>
    <cellStyle name="Normal 8 4 2 3 2 3" xfId="13915"/>
    <cellStyle name="Normal 8 4 2 3 2 4" xfId="20177"/>
    <cellStyle name="Normal 8 4 2 3 3" xfId="7818"/>
    <cellStyle name="Normal 8 4 2 3 3 2" xfId="7819"/>
    <cellStyle name="Normal 8 4 2 3 3 2 2" xfId="13918"/>
    <cellStyle name="Normal 8 4 2 3 3 2 3" xfId="20180"/>
    <cellStyle name="Normal 8 4 2 3 3 3" xfId="13917"/>
    <cellStyle name="Normal 8 4 2 3 3 4" xfId="20179"/>
    <cellStyle name="Normal 8 4 2 3 4" xfId="7820"/>
    <cellStyle name="Normal 8 4 2 3 4 2" xfId="13919"/>
    <cellStyle name="Normal 8 4 2 3 4 3" xfId="20181"/>
    <cellStyle name="Normal 8 4 2 3 5" xfId="13914"/>
    <cellStyle name="Normal 8 4 2 3 6" xfId="20176"/>
    <cellStyle name="Normal 8 4 2 4" xfId="7821"/>
    <cellStyle name="Normal 8 4 2 4 2" xfId="7822"/>
    <cellStyle name="Normal 8 4 2 4 2 2" xfId="13921"/>
    <cellStyle name="Normal 8 4 2 4 2 3" xfId="20183"/>
    <cellStyle name="Normal 8 4 2 4 3" xfId="13920"/>
    <cellStyle name="Normal 8 4 2 4 4" xfId="20182"/>
    <cellStyle name="Normal 8 4 2 5" xfId="7823"/>
    <cellStyle name="Normal 8 4 2 5 2" xfId="7824"/>
    <cellStyle name="Normal 8 4 2 5 2 2" xfId="13923"/>
    <cellStyle name="Normal 8 4 2 5 2 3" xfId="20185"/>
    <cellStyle name="Normal 8 4 2 5 3" xfId="13922"/>
    <cellStyle name="Normal 8 4 2 5 4" xfId="20184"/>
    <cellStyle name="Normal 8 4 2 6" xfId="7825"/>
    <cellStyle name="Normal 8 4 2 6 2" xfId="13924"/>
    <cellStyle name="Normal 8 4 2 6 3" xfId="20186"/>
    <cellStyle name="Normal 8 4 2 7" xfId="13901"/>
    <cellStyle name="Normal 8 4 2 8" xfId="20163"/>
    <cellStyle name="Normal 8 4 3" xfId="7826"/>
    <cellStyle name="Normal 8 4 3 2" xfId="7827"/>
    <cellStyle name="Normal 8 4 3 2 2" xfId="7828"/>
    <cellStyle name="Normal 8 4 3 2 2 2" xfId="7829"/>
    <cellStyle name="Normal 8 4 3 2 2 2 2" xfId="13928"/>
    <cellStyle name="Normal 8 4 3 2 2 2 3" xfId="20190"/>
    <cellStyle name="Normal 8 4 3 2 2 3" xfId="13927"/>
    <cellStyle name="Normal 8 4 3 2 2 4" xfId="20189"/>
    <cellStyle name="Normal 8 4 3 2 3" xfId="7830"/>
    <cellStyle name="Normal 8 4 3 2 3 2" xfId="7831"/>
    <cellStyle name="Normal 8 4 3 2 3 2 2" xfId="13930"/>
    <cellStyle name="Normal 8 4 3 2 3 2 3" xfId="20192"/>
    <cellStyle name="Normal 8 4 3 2 3 3" xfId="13929"/>
    <cellStyle name="Normal 8 4 3 2 3 4" xfId="20191"/>
    <cellStyle name="Normal 8 4 3 2 4" xfId="7832"/>
    <cellStyle name="Normal 8 4 3 2 4 2" xfId="13931"/>
    <cellStyle name="Normal 8 4 3 2 4 3" xfId="20193"/>
    <cellStyle name="Normal 8 4 3 2 5" xfId="13926"/>
    <cellStyle name="Normal 8 4 3 2 6" xfId="20188"/>
    <cellStyle name="Normal 8 4 3 3" xfId="7833"/>
    <cellStyle name="Normal 8 4 3 3 2" xfId="7834"/>
    <cellStyle name="Normal 8 4 3 3 2 2" xfId="13933"/>
    <cellStyle name="Normal 8 4 3 3 2 3" xfId="20195"/>
    <cellStyle name="Normal 8 4 3 3 3" xfId="13932"/>
    <cellStyle name="Normal 8 4 3 3 4" xfId="20194"/>
    <cellStyle name="Normal 8 4 3 4" xfId="7835"/>
    <cellStyle name="Normal 8 4 3 4 2" xfId="7836"/>
    <cellStyle name="Normal 8 4 3 4 2 2" xfId="13935"/>
    <cellStyle name="Normal 8 4 3 4 2 3" xfId="20197"/>
    <cellStyle name="Normal 8 4 3 4 3" xfId="13934"/>
    <cellStyle name="Normal 8 4 3 4 4" xfId="20196"/>
    <cellStyle name="Normal 8 4 3 5" xfId="7837"/>
    <cellStyle name="Normal 8 4 3 5 2" xfId="13936"/>
    <cellStyle name="Normal 8 4 3 5 3" xfId="20198"/>
    <cellStyle name="Normal 8 4 3 6" xfId="13925"/>
    <cellStyle name="Normal 8 4 3 7" xfId="20187"/>
    <cellStyle name="Normal 8 4 4" xfId="7838"/>
    <cellStyle name="Normal 8 4 4 2" xfId="7839"/>
    <cellStyle name="Normal 8 4 4 2 2" xfId="7840"/>
    <cellStyle name="Normal 8 4 4 2 2 2" xfId="13939"/>
    <cellStyle name="Normal 8 4 4 2 2 3" xfId="20201"/>
    <cellStyle name="Normal 8 4 4 2 3" xfId="13938"/>
    <cellStyle name="Normal 8 4 4 2 4" xfId="20200"/>
    <cellStyle name="Normal 8 4 4 3" xfId="7841"/>
    <cellStyle name="Normal 8 4 4 3 2" xfId="7842"/>
    <cellStyle name="Normal 8 4 4 3 2 2" xfId="13941"/>
    <cellStyle name="Normal 8 4 4 3 2 3" xfId="20203"/>
    <cellStyle name="Normal 8 4 4 3 3" xfId="13940"/>
    <cellStyle name="Normal 8 4 4 3 4" xfId="20202"/>
    <cellStyle name="Normal 8 4 4 4" xfId="7843"/>
    <cellStyle name="Normal 8 4 4 4 2" xfId="13942"/>
    <cellStyle name="Normal 8 4 4 4 3" xfId="20204"/>
    <cellStyle name="Normal 8 4 4 5" xfId="13937"/>
    <cellStyle name="Normal 8 4 4 6" xfId="20199"/>
    <cellStyle name="Normal 8 4 5" xfId="7844"/>
    <cellStyle name="Normal 8 4 5 2" xfId="7845"/>
    <cellStyle name="Normal 8 4 5 2 2" xfId="13944"/>
    <cellStyle name="Normal 8 4 5 2 3" xfId="20206"/>
    <cellStyle name="Normal 8 4 5 3" xfId="13943"/>
    <cellStyle name="Normal 8 4 5 4" xfId="20205"/>
    <cellStyle name="Normal 8 4 6" xfId="7846"/>
    <cellStyle name="Normal 8 4 6 2" xfId="7847"/>
    <cellStyle name="Normal 8 4 6 2 2" xfId="13946"/>
    <cellStyle name="Normal 8 4 6 2 3" xfId="20208"/>
    <cellStyle name="Normal 8 4 6 3" xfId="13945"/>
    <cellStyle name="Normal 8 4 6 4" xfId="20207"/>
    <cellStyle name="Normal 8 4 7" xfId="7848"/>
    <cellStyle name="Normal 8 4 7 2" xfId="13947"/>
    <cellStyle name="Normal 8 4 7 3" xfId="20209"/>
    <cellStyle name="Normal 8 4 8" xfId="13900"/>
    <cellStyle name="Normal 8 4 9" xfId="20162"/>
    <cellStyle name="Normal 8 5" xfId="7849"/>
    <cellStyle name="Normal 8 5 2" xfId="7850"/>
    <cellStyle name="Normal 8 5 2 2" xfId="7851"/>
    <cellStyle name="Normal 8 5 2 2 2" xfId="7852"/>
    <cellStyle name="Normal 8 5 2 2 2 2" xfId="7853"/>
    <cellStyle name="Normal 8 5 2 2 2 2 2" xfId="13952"/>
    <cellStyle name="Normal 8 5 2 2 2 2 3" xfId="20214"/>
    <cellStyle name="Normal 8 5 2 2 2 3" xfId="13951"/>
    <cellStyle name="Normal 8 5 2 2 2 4" xfId="20213"/>
    <cellStyle name="Normal 8 5 2 2 3" xfId="7854"/>
    <cellStyle name="Normal 8 5 2 2 3 2" xfId="7855"/>
    <cellStyle name="Normal 8 5 2 2 3 2 2" xfId="13954"/>
    <cellStyle name="Normal 8 5 2 2 3 2 3" xfId="20216"/>
    <cellStyle name="Normal 8 5 2 2 3 3" xfId="13953"/>
    <cellStyle name="Normal 8 5 2 2 3 4" xfId="20215"/>
    <cellStyle name="Normal 8 5 2 2 4" xfId="7856"/>
    <cellStyle name="Normal 8 5 2 2 4 2" xfId="13955"/>
    <cellStyle name="Normal 8 5 2 2 4 3" xfId="20217"/>
    <cellStyle name="Normal 8 5 2 2 5" xfId="13950"/>
    <cellStyle name="Normal 8 5 2 2 6" xfId="20212"/>
    <cellStyle name="Normal 8 5 2 3" xfId="7857"/>
    <cellStyle name="Normal 8 5 2 3 2" xfId="7858"/>
    <cellStyle name="Normal 8 5 2 3 2 2" xfId="13957"/>
    <cellStyle name="Normal 8 5 2 3 2 3" xfId="20219"/>
    <cellStyle name="Normal 8 5 2 3 3" xfId="13956"/>
    <cellStyle name="Normal 8 5 2 3 4" xfId="20218"/>
    <cellStyle name="Normal 8 5 2 4" xfId="7859"/>
    <cellStyle name="Normal 8 5 2 4 2" xfId="7860"/>
    <cellStyle name="Normal 8 5 2 4 2 2" xfId="13959"/>
    <cellStyle name="Normal 8 5 2 4 2 3" xfId="20221"/>
    <cellStyle name="Normal 8 5 2 4 3" xfId="13958"/>
    <cellStyle name="Normal 8 5 2 4 4" xfId="20220"/>
    <cellStyle name="Normal 8 5 2 5" xfId="7861"/>
    <cellStyle name="Normal 8 5 2 5 2" xfId="13960"/>
    <cellStyle name="Normal 8 5 2 5 3" xfId="20222"/>
    <cellStyle name="Normal 8 5 2 6" xfId="13949"/>
    <cellStyle name="Normal 8 5 2 7" xfId="20211"/>
    <cellStyle name="Normal 8 5 3" xfId="7862"/>
    <cellStyle name="Normal 8 5 3 2" xfId="7863"/>
    <cellStyle name="Normal 8 5 3 2 2" xfId="7864"/>
    <cellStyle name="Normal 8 5 3 2 2 2" xfId="13963"/>
    <cellStyle name="Normal 8 5 3 2 2 3" xfId="20225"/>
    <cellStyle name="Normal 8 5 3 2 3" xfId="13962"/>
    <cellStyle name="Normal 8 5 3 2 4" xfId="20224"/>
    <cellStyle name="Normal 8 5 3 3" xfId="7865"/>
    <cellStyle name="Normal 8 5 3 3 2" xfId="7866"/>
    <cellStyle name="Normal 8 5 3 3 2 2" xfId="13965"/>
    <cellStyle name="Normal 8 5 3 3 2 3" xfId="20227"/>
    <cellStyle name="Normal 8 5 3 3 3" xfId="13964"/>
    <cellStyle name="Normal 8 5 3 3 4" xfId="20226"/>
    <cellStyle name="Normal 8 5 3 4" xfId="7867"/>
    <cellStyle name="Normal 8 5 3 4 2" xfId="13966"/>
    <cellStyle name="Normal 8 5 3 4 3" xfId="20228"/>
    <cellStyle name="Normal 8 5 3 5" xfId="13961"/>
    <cellStyle name="Normal 8 5 3 6" xfId="20223"/>
    <cellStyle name="Normal 8 5 4" xfId="7868"/>
    <cellStyle name="Normal 8 5 4 2" xfId="7869"/>
    <cellStyle name="Normal 8 5 4 2 2" xfId="13968"/>
    <cellStyle name="Normal 8 5 4 2 3" xfId="20230"/>
    <cellStyle name="Normal 8 5 4 3" xfId="13967"/>
    <cellStyle name="Normal 8 5 4 4" xfId="20229"/>
    <cellStyle name="Normal 8 5 5" xfId="7870"/>
    <cellStyle name="Normal 8 5 5 2" xfId="7871"/>
    <cellStyle name="Normal 8 5 5 2 2" xfId="13970"/>
    <cellStyle name="Normal 8 5 5 2 3" xfId="20232"/>
    <cellStyle name="Normal 8 5 5 3" xfId="13969"/>
    <cellStyle name="Normal 8 5 5 4" xfId="20231"/>
    <cellStyle name="Normal 8 5 6" xfId="7872"/>
    <cellStyle name="Normal 8 5 6 2" xfId="13971"/>
    <cellStyle name="Normal 8 5 6 3" xfId="20233"/>
    <cellStyle name="Normal 8 5 7" xfId="13948"/>
    <cellStyle name="Normal 8 5 8" xfId="20210"/>
    <cellStyle name="Normal 8 6" xfId="7873"/>
    <cellStyle name="Normal 8 6 2" xfId="7874"/>
    <cellStyle name="Normal 8 6 2 2" xfId="7875"/>
    <cellStyle name="Normal 8 6 2 2 2" xfId="7876"/>
    <cellStyle name="Normal 8 6 2 2 2 2" xfId="13975"/>
    <cellStyle name="Normal 8 6 2 2 2 3" xfId="20237"/>
    <cellStyle name="Normal 8 6 2 2 3" xfId="13974"/>
    <cellStyle name="Normal 8 6 2 2 4" xfId="20236"/>
    <cellStyle name="Normal 8 6 2 3" xfId="7877"/>
    <cellStyle name="Normal 8 6 2 3 2" xfId="7878"/>
    <cellStyle name="Normal 8 6 2 3 2 2" xfId="13977"/>
    <cellStyle name="Normal 8 6 2 3 2 3" xfId="20239"/>
    <cellStyle name="Normal 8 6 2 3 3" xfId="13976"/>
    <cellStyle name="Normal 8 6 2 3 4" xfId="20238"/>
    <cellStyle name="Normal 8 6 2 4" xfId="7879"/>
    <cellStyle name="Normal 8 6 2 4 2" xfId="13978"/>
    <cellStyle name="Normal 8 6 2 4 3" xfId="20240"/>
    <cellStyle name="Normal 8 6 2 5" xfId="13973"/>
    <cellStyle name="Normal 8 6 2 6" xfId="20235"/>
    <cellStyle name="Normal 8 6 3" xfId="7880"/>
    <cellStyle name="Normal 8 6 3 2" xfId="7881"/>
    <cellStyle name="Normal 8 6 3 2 2" xfId="13980"/>
    <cellStyle name="Normal 8 6 3 2 3" xfId="20242"/>
    <cellStyle name="Normal 8 6 3 3" xfId="13979"/>
    <cellStyle name="Normal 8 6 3 4" xfId="20241"/>
    <cellStyle name="Normal 8 6 4" xfId="7882"/>
    <cellStyle name="Normal 8 6 4 2" xfId="7883"/>
    <cellStyle name="Normal 8 6 4 2 2" xfId="13982"/>
    <cellStyle name="Normal 8 6 4 2 3" xfId="20244"/>
    <cellStyle name="Normal 8 6 4 3" xfId="13981"/>
    <cellStyle name="Normal 8 6 4 4" xfId="20243"/>
    <cellStyle name="Normal 8 6 5" xfId="7884"/>
    <cellStyle name="Normal 8 6 5 2" xfId="13983"/>
    <cellStyle name="Normal 8 6 5 3" xfId="20245"/>
    <cellStyle name="Normal 8 6 6" xfId="13972"/>
    <cellStyle name="Normal 8 6 7" xfId="20234"/>
    <cellStyle name="Normal 8 7" xfId="7885"/>
    <cellStyle name="Normal 8 7 2" xfId="7886"/>
    <cellStyle name="Normal 8 7 2 2" xfId="7887"/>
    <cellStyle name="Normal 8 7 2 2 2" xfId="13986"/>
    <cellStyle name="Normal 8 7 2 2 3" xfId="20248"/>
    <cellStyle name="Normal 8 7 2 3" xfId="13985"/>
    <cellStyle name="Normal 8 7 2 4" xfId="20247"/>
    <cellStyle name="Normal 8 7 3" xfId="7888"/>
    <cellStyle name="Normal 8 7 3 2" xfId="7889"/>
    <cellStyle name="Normal 8 7 3 2 2" xfId="13988"/>
    <cellStyle name="Normal 8 7 3 2 3" xfId="20250"/>
    <cellStyle name="Normal 8 7 3 3" xfId="13987"/>
    <cellStyle name="Normal 8 7 3 4" xfId="20249"/>
    <cellStyle name="Normal 8 7 4" xfId="7890"/>
    <cellStyle name="Normal 8 7 4 2" xfId="13989"/>
    <cellStyle name="Normal 8 7 4 3" xfId="20251"/>
    <cellStyle name="Normal 8 7 5" xfId="13984"/>
    <cellStyle name="Normal 8 7 6" xfId="20246"/>
    <cellStyle name="Normal 8 8" xfId="7891"/>
    <cellStyle name="Normal 8 8 2" xfId="7892"/>
    <cellStyle name="Normal 8 8 2 2" xfId="13991"/>
    <cellStyle name="Normal 8 8 2 3" xfId="20253"/>
    <cellStyle name="Normal 8 8 3" xfId="13990"/>
    <cellStyle name="Normal 8 8 4" xfId="20252"/>
    <cellStyle name="Normal 8 9" xfId="7893"/>
    <cellStyle name="Normal 8 9 2" xfId="7894"/>
    <cellStyle name="Normal 8 9 2 2" xfId="13993"/>
    <cellStyle name="Normal 8 9 2 3" xfId="20255"/>
    <cellStyle name="Normal 8 9 3" xfId="13992"/>
    <cellStyle name="Normal 8 9 4" xfId="20254"/>
    <cellStyle name="Normal 8_2180" xfId="13994"/>
    <cellStyle name="Normal 80" xfId="7895"/>
    <cellStyle name="Normal 80 2" xfId="7896"/>
    <cellStyle name="Normal 80 2 2" xfId="20257"/>
    <cellStyle name="Normal 80 3" xfId="13995"/>
    <cellStyle name="Normal 80 4" xfId="20256"/>
    <cellStyle name="Normal 81" xfId="7897"/>
    <cellStyle name="Normal 81 2" xfId="7898"/>
    <cellStyle name="Normal 81 2 2" xfId="7899"/>
    <cellStyle name="Normal 81 2 2 2" xfId="7900"/>
    <cellStyle name="Normal 81 2 2 2 2" xfId="13999"/>
    <cellStyle name="Normal 81 2 2 2 3" xfId="20261"/>
    <cellStyle name="Normal 81 2 2 3" xfId="13998"/>
    <cellStyle name="Normal 81 2 2 4" xfId="20260"/>
    <cellStyle name="Normal 81 2 3" xfId="7901"/>
    <cellStyle name="Normal 81 2 3 2" xfId="7902"/>
    <cellStyle name="Normal 81 2 3 2 2" xfId="14001"/>
    <cellStyle name="Normal 81 2 3 2 3" xfId="20263"/>
    <cellStyle name="Normal 81 2 3 3" xfId="14000"/>
    <cellStyle name="Normal 81 2 3 4" xfId="20262"/>
    <cellStyle name="Normal 81 2 4" xfId="7903"/>
    <cellStyle name="Normal 81 2 4 2" xfId="14002"/>
    <cellStyle name="Normal 81 2 4 3" xfId="20264"/>
    <cellStyle name="Normal 81 2 5" xfId="13997"/>
    <cellStyle name="Normal 81 2 6" xfId="20259"/>
    <cellStyle name="Normal 81 3" xfId="7904"/>
    <cellStyle name="Normal 81 3 2" xfId="7905"/>
    <cellStyle name="Normal 81 3 2 2" xfId="14004"/>
    <cellStyle name="Normal 81 3 2 3" xfId="20266"/>
    <cellStyle name="Normal 81 3 3" xfId="14003"/>
    <cellStyle name="Normal 81 3 4" xfId="20265"/>
    <cellStyle name="Normal 81 4" xfId="7906"/>
    <cellStyle name="Normal 81 4 2" xfId="7907"/>
    <cellStyle name="Normal 81 4 2 2" xfId="14006"/>
    <cellStyle name="Normal 81 4 2 3" xfId="20268"/>
    <cellStyle name="Normal 81 4 3" xfId="14005"/>
    <cellStyle name="Normal 81 4 4" xfId="20267"/>
    <cellStyle name="Normal 81 5" xfId="7908"/>
    <cellStyle name="Normal 81 5 2" xfId="14007"/>
    <cellStyle name="Normal 81 5 3" xfId="20269"/>
    <cellStyle name="Normal 81 6" xfId="7909"/>
    <cellStyle name="Normal 81 6 2" xfId="20270"/>
    <cellStyle name="Normal 81 7" xfId="13996"/>
    <cellStyle name="Normal 81 8" xfId="20258"/>
    <cellStyle name="Normal 82" xfId="7910"/>
    <cellStyle name="Normal 82 2" xfId="7911"/>
    <cellStyle name="Normal 82 2 2" xfId="7912"/>
    <cellStyle name="Normal 82 2 2 2" xfId="7913"/>
    <cellStyle name="Normal 82 2 2 2 2" xfId="14011"/>
    <cellStyle name="Normal 82 2 2 2 3" xfId="20274"/>
    <cellStyle name="Normal 82 2 2 3" xfId="14010"/>
    <cellStyle name="Normal 82 2 2 4" xfId="20273"/>
    <cellStyle name="Normal 82 2 3" xfId="7914"/>
    <cellStyle name="Normal 82 2 3 2" xfId="7915"/>
    <cellStyle name="Normal 82 2 3 2 2" xfId="14013"/>
    <cellStyle name="Normal 82 2 3 2 3" xfId="20276"/>
    <cellStyle name="Normal 82 2 3 3" xfId="14012"/>
    <cellStyle name="Normal 82 2 3 4" xfId="20275"/>
    <cellStyle name="Normal 82 2 4" xfId="7916"/>
    <cellStyle name="Normal 82 2 4 2" xfId="14014"/>
    <cellStyle name="Normal 82 2 4 3" xfId="20277"/>
    <cellStyle name="Normal 82 2 5" xfId="14009"/>
    <cellStyle name="Normal 82 2 6" xfId="20272"/>
    <cellStyle name="Normal 82 3" xfId="7917"/>
    <cellStyle name="Normal 82 3 2" xfId="7918"/>
    <cellStyle name="Normal 82 3 2 2" xfId="14016"/>
    <cellStyle name="Normal 82 3 2 3" xfId="20279"/>
    <cellStyle name="Normal 82 3 3" xfId="14015"/>
    <cellStyle name="Normal 82 3 4" xfId="20278"/>
    <cellStyle name="Normal 82 4" xfId="7919"/>
    <cellStyle name="Normal 82 4 2" xfId="7920"/>
    <cellStyle name="Normal 82 4 2 2" xfId="14018"/>
    <cellStyle name="Normal 82 4 2 3" xfId="20281"/>
    <cellStyle name="Normal 82 4 3" xfId="14017"/>
    <cellStyle name="Normal 82 4 4" xfId="20280"/>
    <cellStyle name="Normal 82 5" xfId="7921"/>
    <cellStyle name="Normal 82 5 2" xfId="14019"/>
    <cellStyle name="Normal 82 5 3" xfId="20282"/>
    <cellStyle name="Normal 82 6" xfId="7922"/>
    <cellStyle name="Normal 82 6 2" xfId="20283"/>
    <cellStyle name="Normal 82 7" xfId="14008"/>
    <cellStyle name="Normal 82 8" xfId="20271"/>
    <cellStyle name="Normal 83" xfId="7923"/>
    <cellStyle name="Normal 83 2" xfId="7924"/>
    <cellStyle name="Normal 83 2 2" xfId="20285"/>
    <cellStyle name="Normal 83 3" xfId="14020"/>
    <cellStyle name="Normal 83 4" xfId="20284"/>
    <cellStyle name="Normal 84" xfId="7925"/>
    <cellStyle name="Normal 84 2" xfId="7926"/>
    <cellStyle name="Normal 84 2 2" xfId="7927"/>
    <cellStyle name="Normal 84 2 2 2" xfId="7928"/>
    <cellStyle name="Normal 84 2 2 2 2" xfId="14024"/>
    <cellStyle name="Normal 84 2 2 2 3" xfId="20289"/>
    <cellStyle name="Normal 84 2 2 3" xfId="14023"/>
    <cellStyle name="Normal 84 2 2 4" xfId="20288"/>
    <cellStyle name="Normal 84 2 3" xfId="7929"/>
    <cellStyle name="Normal 84 2 3 2" xfId="7930"/>
    <cellStyle name="Normal 84 2 3 2 2" xfId="14026"/>
    <cellStyle name="Normal 84 2 3 2 3" xfId="20291"/>
    <cellStyle name="Normal 84 2 3 3" xfId="14025"/>
    <cellStyle name="Normal 84 2 3 4" xfId="20290"/>
    <cellStyle name="Normal 84 2 4" xfId="7931"/>
    <cellStyle name="Normal 84 2 4 2" xfId="14027"/>
    <cellStyle name="Normal 84 2 4 3" xfId="20292"/>
    <cellStyle name="Normal 84 2 5" xfId="7932"/>
    <cellStyle name="Normal 84 2 5 2" xfId="20293"/>
    <cellStyle name="Normal 84 2 6" xfId="14022"/>
    <cellStyle name="Normal 84 2 7" xfId="20287"/>
    <cellStyle name="Normal 84 3" xfId="7933"/>
    <cellStyle name="Normal 84 3 2" xfId="7934"/>
    <cellStyle name="Normal 84 3 2 2" xfId="14029"/>
    <cellStyle name="Normal 84 3 2 3" xfId="20295"/>
    <cellStyle name="Normal 84 3 3" xfId="7935"/>
    <cellStyle name="Normal 84 3 3 2" xfId="20296"/>
    <cellStyle name="Normal 84 3 4" xfId="14028"/>
    <cellStyle name="Normal 84 3 5" xfId="20294"/>
    <cellStyle name="Normal 84 4" xfId="7936"/>
    <cellStyle name="Normal 84 4 2" xfId="7937"/>
    <cellStyle name="Normal 84 4 2 2" xfId="14031"/>
    <cellStyle name="Normal 84 4 2 3" xfId="20298"/>
    <cellStyle name="Normal 84 4 3" xfId="14030"/>
    <cellStyle name="Normal 84 4 4" xfId="20297"/>
    <cellStyle name="Normal 84 5" xfId="7938"/>
    <cellStyle name="Normal 84 5 2" xfId="14032"/>
    <cellStyle name="Normal 84 5 3" xfId="20299"/>
    <cellStyle name="Normal 84 6" xfId="7939"/>
    <cellStyle name="Normal 84 6 2" xfId="20300"/>
    <cellStyle name="Normal 84 7" xfId="14021"/>
    <cellStyle name="Normal 84 8" xfId="20286"/>
    <cellStyle name="Normal 85" xfId="7940"/>
    <cellStyle name="Normal 85 2" xfId="7941"/>
    <cellStyle name="Normal 85 2 2" xfId="7942"/>
    <cellStyle name="Normal 85 2 2 2" xfId="14035"/>
    <cellStyle name="Normal 85 2 2 3" xfId="20303"/>
    <cellStyle name="Normal 85 2 3" xfId="7943"/>
    <cellStyle name="Normal 85 2 3 2" xfId="20304"/>
    <cellStyle name="Normal 85 2 4" xfId="14034"/>
    <cellStyle name="Normal 85 2 5" xfId="20302"/>
    <cellStyle name="Normal 85 3" xfId="7944"/>
    <cellStyle name="Normal 85 3 2" xfId="7945"/>
    <cellStyle name="Normal 85 3 2 2" xfId="14037"/>
    <cellStyle name="Normal 85 3 2 3" xfId="20306"/>
    <cellStyle name="Normal 85 3 3" xfId="7946"/>
    <cellStyle name="Normal 85 3 3 2" xfId="20307"/>
    <cellStyle name="Normal 85 3 4" xfId="14036"/>
    <cellStyle name="Normal 85 3 5" xfId="20305"/>
    <cellStyle name="Normal 85 4" xfId="7947"/>
    <cellStyle name="Normal 85 4 2" xfId="14038"/>
    <cellStyle name="Normal 85 4 3" xfId="20308"/>
    <cellStyle name="Normal 85 5" xfId="7948"/>
    <cellStyle name="Normal 85 5 2" xfId="20309"/>
    <cellStyle name="Normal 85 6" xfId="14033"/>
    <cellStyle name="Normal 85 7" xfId="20301"/>
    <cellStyle name="Normal 86" xfId="7949"/>
    <cellStyle name="Normal 86 2" xfId="7950"/>
    <cellStyle name="Normal 86 2 2" xfId="14040"/>
    <cellStyle name="Normal 86 2 3" xfId="20311"/>
    <cellStyle name="Normal 86 3" xfId="7951"/>
    <cellStyle name="Normal 86 3 2" xfId="14041"/>
    <cellStyle name="Normal 86 3 3" xfId="20312"/>
    <cellStyle name="Normal 86 4" xfId="7952"/>
    <cellStyle name="Normal 86 4 2" xfId="20313"/>
    <cellStyle name="Normal 86 5" xfId="14039"/>
    <cellStyle name="Normal 86 6" xfId="20310"/>
    <cellStyle name="Normal 87" xfId="7953"/>
    <cellStyle name="Normal 87 2" xfId="7954"/>
    <cellStyle name="Normal 87 2 2" xfId="14043"/>
    <cellStyle name="Normal 87 2 3" xfId="20315"/>
    <cellStyle name="Normal 87 3" xfId="7955"/>
    <cellStyle name="Normal 87 3 2" xfId="20316"/>
    <cellStyle name="Normal 87 4" xfId="14042"/>
    <cellStyle name="Normal 87 5" xfId="20314"/>
    <cellStyle name="Normal 88" xfId="7956"/>
    <cellStyle name="Normal 88 2" xfId="7957"/>
    <cellStyle name="Normal 88 2 2" xfId="14045"/>
    <cellStyle name="Normal 88 2 3" xfId="20318"/>
    <cellStyle name="Normal 88 3" xfId="7958"/>
    <cellStyle name="Normal 88 3 2" xfId="20319"/>
    <cellStyle name="Normal 88 4" xfId="14044"/>
    <cellStyle name="Normal 88 5" xfId="20317"/>
    <cellStyle name="Normal 89" xfId="7959"/>
    <cellStyle name="Normal 89 2" xfId="7960"/>
    <cellStyle name="Normal 89 2 2" xfId="20321"/>
    <cellStyle name="Normal 89 3" xfId="14046"/>
    <cellStyle name="Normal 89 4" xfId="20320"/>
    <cellStyle name="Normal 9" xfId="14047"/>
    <cellStyle name="Normal 9 10" xfId="7961"/>
    <cellStyle name="Normal 9 10 2" xfId="14048"/>
    <cellStyle name="Normal 9 10 3" xfId="20322"/>
    <cellStyle name="Normal 9 11" xfId="7962"/>
    <cellStyle name="Normal 9 11 2" xfId="14049"/>
    <cellStyle name="Normal 9 11 3" xfId="20323"/>
    <cellStyle name="Normal 9 12" xfId="7963"/>
    <cellStyle name="Normal 9 12 2" xfId="14050"/>
    <cellStyle name="Normal 9 12 3" xfId="20324"/>
    <cellStyle name="Normal 9 13" xfId="7964"/>
    <cellStyle name="Normal 9 13 2" xfId="14051"/>
    <cellStyle name="Normal 9 13 3" xfId="20325"/>
    <cellStyle name="Normal 9 14" xfId="7965"/>
    <cellStyle name="Normal 9 14 2" xfId="20326"/>
    <cellStyle name="Normal 9 2" xfId="7966"/>
    <cellStyle name="Normal 9 2 10" xfId="7967"/>
    <cellStyle name="Normal 9 2 10 2" xfId="14053"/>
    <cellStyle name="Normal 9 2 10 3" xfId="20328"/>
    <cellStyle name="Normal 9 2 11" xfId="7968"/>
    <cellStyle name="Normal 9 2 11 2" xfId="14054"/>
    <cellStyle name="Normal 9 2 11 3" xfId="20329"/>
    <cellStyle name="Normal 9 2 12" xfId="7969"/>
    <cellStyle name="Normal 9 2 12 2" xfId="14055"/>
    <cellStyle name="Normal 9 2 12 3" xfId="20330"/>
    <cellStyle name="Normal 9 2 13" xfId="7970"/>
    <cellStyle name="Normal 9 2 13 2" xfId="20331"/>
    <cellStyle name="Normal 9 2 14" xfId="14052"/>
    <cellStyle name="Normal 9 2 15" xfId="20327"/>
    <cellStyle name="Normal 9 2 2" xfId="7971"/>
    <cellStyle name="Normal 9 2 2 10" xfId="20332"/>
    <cellStyle name="Normal 9 2 2 2" xfId="7972"/>
    <cellStyle name="Normal 9 2 2 2 2" xfId="7973"/>
    <cellStyle name="Normal 9 2 2 2 2 2" xfId="7974"/>
    <cellStyle name="Normal 9 2 2 2 2 2 2" xfId="7975"/>
    <cellStyle name="Normal 9 2 2 2 2 2 2 2" xfId="7976"/>
    <cellStyle name="Normal 9 2 2 2 2 2 2 2 2" xfId="14061"/>
    <cellStyle name="Normal 9 2 2 2 2 2 2 2 3" xfId="20337"/>
    <cellStyle name="Normal 9 2 2 2 2 2 2 3" xfId="14060"/>
    <cellStyle name="Normal 9 2 2 2 2 2 2 4" xfId="20336"/>
    <cellStyle name="Normal 9 2 2 2 2 2 3" xfId="7977"/>
    <cellStyle name="Normal 9 2 2 2 2 2 3 2" xfId="7978"/>
    <cellStyle name="Normal 9 2 2 2 2 2 3 2 2" xfId="14063"/>
    <cellStyle name="Normal 9 2 2 2 2 2 3 2 3" xfId="20339"/>
    <cellStyle name="Normal 9 2 2 2 2 2 3 3" xfId="14062"/>
    <cellStyle name="Normal 9 2 2 2 2 2 3 4" xfId="20338"/>
    <cellStyle name="Normal 9 2 2 2 2 2 4" xfId="7979"/>
    <cellStyle name="Normal 9 2 2 2 2 2 4 2" xfId="14064"/>
    <cellStyle name="Normal 9 2 2 2 2 2 4 3" xfId="20340"/>
    <cellStyle name="Normal 9 2 2 2 2 2 5" xfId="14059"/>
    <cellStyle name="Normal 9 2 2 2 2 2 6" xfId="20335"/>
    <cellStyle name="Normal 9 2 2 2 2 3" xfId="7980"/>
    <cellStyle name="Normal 9 2 2 2 2 3 2" xfId="7981"/>
    <cellStyle name="Normal 9 2 2 2 2 3 2 2" xfId="14066"/>
    <cellStyle name="Normal 9 2 2 2 2 3 2 3" xfId="20342"/>
    <cellStyle name="Normal 9 2 2 2 2 3 3" xfId="14065"/>
    <cellStyle name="Normal 9 2 2 2 2 3 4" xfId="20341"/>
    <cellStyle name="Normal 9 2 2 2 2 4" xfId="7982"/>
    <cellStyle name="Normal 9 2 2 2 2 4 2" xfId="7983"/>
    <cellStyle name="Normal 9 2 2 2 2 4 2 2" xfId="14068"/>
    <cellStyle name="Normal 9 2 2 2 2 4 2 3" xfId="20344"/>
    <cellStyle name="Normal 9 2 2 2 2 4 3" xfId="14067"/>
    <cellStyle name="Normal 9 2 2 2 2 4 4" xfId="20343"/>
    <cellStyle name="Normal 9 2 2 2 2 5" xfId="7984"/>
    <cellStyle name="Normal 9 2 2 2 2 5 2" xfId="14069"/>
    <cellStyle name="Normal 9 2 2 2 2 5 3" xfId="20345"/>
    <cellStyle name="Normal 9 2 2 2 2 6" xfId="14058"/>
    <cellStyle name="Normal 9 2 2 2 2 7" xfId="20334"/>
    <cellStyle name="Normal 9 2 2 2 3" xfId="7985"/>
    <cellStyle name="Normal 9 2 2 2 3 2" xfId="7986"/>
    <cellStyle name="Normal 9 2 2 2 3 2 2" xfId="7987"/>
    <cellStyle name="Normal 9 2 2 2 3 2 2 2" xfId="14072"/>
    <cellStyle name="Normal 9 2 2 2 3 2 2 3" xfId="20348"/>
    <cellStyle name="Normal 9 2 2 2 3 2 3" xfId="14071"/>
    <cellStyle name="Normal 9 2 2 2 3 2 4" xfId="20347"/>
    <cellStyle name="Normal 9 2 2 2 3 3" xfId="7988"/>
    <cellStyle name="Normal 9 2 2 2 3 3 2" xfId="7989"/>
    <cellStyle name="Normal 9 2 2 2 3 3 2 2" xfId="14074"/>
    <cellStyle name="Normal 9 2 2 2 3 3 2 3" xfId="20350"/>
    <cellStyle name="Normal 9 2 2 2 3 3 3" xfId="14073"/>
    <cellStyle name="Normal 9 2 2 2 3 3 4" xfId="20349"/>
    <cellStyle name="Normal 9 2 2 2 3 4" xfId="7990"/>
    <cellStyle name="Normal 9 2 2 2 3 4 2" xfId="14075"/>
    <cellStyle name="Normal 9 2 2 2 3 4 3" xfId="20351"/>
    <cellStyle name="Normal 9 2 2 2 3 5" xfId="14070"/>
    <cellStyle name="Normal 9 2 2 2 3 6" xfId="20346"/>
    <cellStyle name="Normal 9 2 2 2 4" xfId="7991"/>
    <cellStyle name="Normal 9 2 2 2 4 2" xfId="7992"/>
    <cellStyle name="Normal 9 2 2 2 4 2 2" xfId="14077"/>
    <cellStyle name="Normal 9 2 2 2 4 2 3" xfId="20353"/>
    <cellStyle name="Normal 9 2 2 2 4 3" xfId="14076"/>
    <cellStyle name="Normal 9 2 2 2 4 4" xfId="20352"/>
    <cellStyle name="Normal 9 2 2 2 5" xfId="7993"/>
    <cellStyle name="Normal 9 2 2 2 5 2" xfId="7994"/>
    <cellStyle name="Normal 9 2 2 2 5 2 2" xfId="14079"/>
    <cellStyle name="Normal 9 2 2 2 5 2 3" xfId="20355"/>
    <cellStyle name="Normal 9 2 2 2 5 3" xfId="14078"/>
    <cellStyle name="Normal 9 2 2 2 5 4" xfId="20354"/>
    <cellStyle name="Normal 9 2 2 2 6" xfId="7995"/>
    <cellStyle name="Normal 9 2 2 2 6 2" xfId="14080"/>
    <cellStyle name="Normal 9 2 2 2 6 3" xfId="20356"/>
    <cellStyle name="Normal 9 2 2 2 7" xfId="14057"/>
    <cellStyle name="Normal 9 2 2 2 8" xfId="20333"/>
    <cellStyle name="Normal 9 2 2 3" xfId="7996"/>
    <cellStyle name="Normal 9 2 2 3 2" xfId="7997"/>
    <cellStyle name="Normal 9 2 2 3 2 2" xfId="7998"/>
    <cellStyle name="Normal 9 2 2 3 2 2 2" xfId="7999"/>
    <cellStyle name="Normal 9 2 2 3 2 2 2 2" xfId="14084"/>
    <cellStyle name="Normal 9 2 2 3 2 2 2 3" xfId="20360"/>
    <cellStyle name="Normal 9 2 2 3 2 2 3" xfId="14083"/>
    <cellStyle name="Normal 9 2 2 3 2 2 4" xfId="20359"/>
    <cellStyle name="Normal 9 2 2 3 2 3" xfId="8000"/>
    <cellStyle name="Normal 9 2 2 3 2 3 2" xfId="8001"/>
    <cellStyle name="Normal 9 2 2 3 2 3 2 2" xfId="14086"/>
    <cellStyle name="Normal 9 2 2 3 2 3 2 3" xfId="20362"/>
    <cellStyle name="Normal 9 2 2 3 2 3 3" xfId="14085"/>
    <cellStyle name="Normal 9 2 2 3 2 3 4" xfId="20361"/>
    <cellStyle name="Normal 9 2 2 3 2 4" xfId="8002"/>
    <cellStyle name="Normal 9 2 2 3 2 4 2" xfId="14087"/>
    <cellStyle name="Normal 9 2 2 3 2 4 3" xfId="20363"/>
    <cellStyle name="Normal 9 2 2 3 2 5" xfId="14082"/>
    <cellStyle name="Normal 9 2 2 3 2 6" xfId="20358"/>
    <cellStyle name="Normal 9 2 2 3 3" xfId="8003"/>
    <cellStyle name="Normal 9 2 2 3 3 2" xfId="8004"/>
    <cellStyle name="Normal 9 2 2 3 3 2 2" xfId="14089"/>
    <cellStyle name="Normal 9 2 2 3 3 2 3" xfId="20365"/>
    <cellStyle name="Normal 9 2 2 3 3 3" xfId="14088"/>
    <cellStyle name="Normal 9 2 2 3 3 4" xfId="20364"/>
    <cellStyle name="Normal 9 2 2 3 4" xfId="8005"/>
    <cellStyle name="Normal 9 2 2 3 4 2" xfId="8006"/>
    <cellStyle name="Normal 9 2 2 3 4 2 2" xfId="14091"/>
    <cellStyle name="Normal 9 2 2 3 4 2 3" xfId="20367"/>
    <cellStyle name="Normal 9 2 2 3 4 3" xfId="14090"/>
    <cellStyle name="Normal 9 2 2 3 4 4" xfId="20366"/>
    <cellStyle name="Normal 9 2 2 3 5" xfId="8007"/>
    <cellStyle name="Normal 9 2 2 3 5 2" xfId="14092"/>
    <cellStyle name="Normal 9 2 2 3 5 3" xfId="20368"/>
    <cellStyle name="Normal 9 2 2 3 6" xfId="14081"/>
    <cellStyle name="Normal 9 2 2 3 7" xfId="20357"/>
    <cellStyle name="Normal 9 2 2 4" xfId="8008"/>
    <cellStyle name="Normal 9 2 2 4 2" xfId="8009"/>
    <cellStyle name="Normal 9 2 2 4 2 2" xfId="8010"/>
    <cellStyle name="Normal 9 2 2 4 2 2 2" xfId="14095"/>
    <cellStyle name="Normal 9 2 2 4 2 2 3" xfId="20371"/>
    <cellStyle name="Normal 9 2 2 4 2 3" xfId="14094"/>
    <cellStyle name="Normal 9 2 2 4 2 4" xfId="20370"/>
    <cellStyle name="Normal 9 2 2 4 3" xfId="8011"/>
    <cellStyle name="Normal 9 2 2 4 3 2" xfId="8012"/>
    <cellStyle name="Normal 9 2 2 4 3 2 2" xfId="14097"/>
    <cellStyle name="Normal 9 2 2 4 3 2 3" xfId="20373"/>
    <cellStyle name="Normal 9 2 2 4 3 3" xfId="14096"/>
    <cellStyle name="Normal 9 2 2 4 3 4" xfId="20372"/>
    <cellStyle name="Normal 9 2 2 4 4" xfId="8013"/>
    <cellStyle name="Normal 9 2 2 4 4 2" xfId="14098"/>
    <cellStyle name="Normal 9 2 2 4 4 3" xfId="20374"/>
    <cellStyle name="Normal 9 2 2 4 5" xfId="14093"/>
    <cellStyle name="Normal 9 2 2 4 6" xfId="20369"/>
    <cellStyle name="Normal 9 2 2 5" xfId="8014"/>
    <cellStyle name="Normal 9 2 2 5 2" xfId="8015"/>
    <cellStyle name="Normal 9 2 2 5 2 2" xfId="14100"/>
    <cellStyle name="Normal 9 2 2 5 2 3" xfId="20376"/>
    <cellStyle name="Normal 9 2 2 5 3" xfId="14099"/>
    <cellStyle name="Normal 9 2 2 5 4" xfId="20375"/>
    <cellStyle name="Normal 9 2 2 6" xfId="8016"/>
    <cellStyle name="Normal 9 2 2 6 2" xfId="8017"/>
    <cellStyle name="Normal 9 2 2 6 2 2" xfId="14102"/>
    <cellStyle name="Normal 9 2 2 6 2 3" xfId="20378"/>
    <cellStyle name="Normal 9 2 2 6 3" xfId="14101"/>
    <cellStyle name="Normal 9 2 2 6 4" xfId="20377"/>
    <cellStyle name="Normal 9 2 2 7" xfId="8018"/>
    <cellStyle name="Normal 9 2 2 7 2" xfId="14103"/>
    <cellStyle name="Normal 9 2 2 7 3" xfId="20379"/>
    <cellStyle name="Normal 9 2 2 8" xfId="8019"/>
    <cellStyle name="Normal 9 2 2 8 2" xfId="20380"/>
    <cellStyle name="Normal 9 2 2 9" xfId="14056"/>
    <cellStyle name="Normal 9 2 3" xfId="8020"/>
    <cellStyle name="Normal 9 2 3 2" xfId="8021"/>
    <cellStyle name="Normal 9 2 3 2 2" xfId="8022"/>
    <cellStyle name="Normal 9 2 3 2 2 2" xfId="8023"/>
    <cellStyle name="Normal 9 2 3 2 2 2 2" xfId="8024"/>
    <cellStyle name="Normal 9 2 3 2 2 2 2 2" xfId="14108"/>
    <cellStyle name="Normal 9 2 3 2 2 2 2 3" xfId="20385"/>
    <cellStyle name="Normal 9 2 3 2 2 2 3" xfId="14107"/>
    <cellStyle name="Normal 9 2 3 2 2 2 4" xfId="20384"/>
    <cellStyle name="Normal 9 2 3 2 2 3" xfId="8025"/>
    <cellStyle name="Normal 9 2 3 2 2 3 2" xfId="8026"/>
    <cellStyle name="Normal 9 2 3 2 2 3 2 2" xfId="14110"/>
    <cellStyle name="Normal 9 2 3 2 2 3 2 3" xfId="20387"/>
    <cellStyle name="Normal 9 2 3 2 2 3 3" xfId="14109"/>
    <cellStyle name="Normal 9 2 3 2 2 3 4" xfId="20386"/>
    <cellStyle name="Normal 9 2 3 2 2 4" xfId="8027"/>
    <cellStyle name="Normal 9 2 3 2 2 4 2" xfId="14111"/>
    <cellStyle name="Normal 9 2 3 2 2 4 3" xfId="20388"/>
    <cellStyle name="Normal 9 2 3 2 2 5" xfId="14106"/>
    <cellStyle name="Normal 9 2 3 2 2 6" xfId="20383"/>
    <cellStyle name="Normal 9 2 3 2 3" xfId="8028"/>
    <cellStyle name="Normal 9 2 3 2 3 2" xfId="8029"/>
    <cellStyle name="Normal 9 2 3 2 3 2 2" xfId="14113"/>
    <cellStyle name="Normal 9 2 3 2 3 2 3" xfId="20390"/>
    <cellStyle name="Normal 9 2 3 2 3 3" xfId="14112"/>
    <cellStyle name="Normal 9 2 3 2 3 4" xfId="20389"/>
    <cellStyle name="Normal 9 2 3 2 4" xfId="8030"/>
    <cellStyle name="Normal 9 2 3 2 4 2" xfId="8031"/>
    <cellStyle name="Normal 9 2 3 2 4 2 2" xfId="14115"/>
    <cellStyle name="Normal 9 2 3 2 4 2 3" xfId="20392"/>
    <cellStyle name="Normal 9 2 3 2 4 3" xfId="14114"/>
    <cellStyle name="Normal 9 2 3 2 4 4" xfId="20391"/>
    <cellStyle name="Normal 9 2 3 2 5" xfId="8032"/>
    <cellStyle name="Normal 9 2 3 2 5 2" xfId="14116"/>
    <cellStyle name="Normal 9 2 3 2 5 3" xfId="20393"/>
    <cellStyle name="Normal 9 2 3 2 6" xfId="14105"/>
    <cellStyle name="Normal 9 2 3 2 7" xfId="20382"/>
    <cellStyle name="Normal 9 2 3 3" xfId="8033"/>
    <cellStyle name="Normal 9 2 3 3 2" xfId="8034"/>
    <cellStyle name="Normal 9 2 3 3 2 2" xfId="8035"/>
    <cellStyle name="Normal 9 2 3 3 2 2 2" xfId="14119"/>
    <cellStyle name="Normal 9 2 3 3 2 2 3" xfId="20396"/>
    <cellStyle name="Normal 9 2 3 3 2 3" xfId="14118"/>
    <cellStyle name="Normal 9 2 3 3 2 4" xfId="20395"/>
    <cellStyle name="Normal 9 2 3 3 3" xfId="8036"/>
    <cellStyle name="Normal 9 2 3 3 3 2" xfId="8037"/>
    <cellStyle name="Normal 9 2 3 3 3 2 2" xfId="14121"/>
    <cellStyle name="Normal 9 2 3 3 3 2 3" xfId="20398"/>
    <cellStyle name="Normal 9 2 3 3 3 3" xfId="14120"/>
    <cellStyle name="Normal 9 2 3 3 3 4" xfId="20397"/>
    <cellStyle name="Normal 9 2 3 3 4" xfId="8038"/>
    <cellStyle name="Normal 9 2 3 3 4 2" xfId="14122"/>
    <cellStyle name="Normal 9 2 3 3 4 3" xfId="20399"/>
    <cellStyle name="Normal 9 2 3 3 5" xfId="14117"/>
    <cellStyle name="Normal 9 2 3 3 6" xfId="20394"/>
    <cellStyle name="Normal 9 2 3 4" xfId="8039"/>
    <cellStyle name="Normal 9 2 3 4 2" xfId="8040"/>
    <cellStyle name="Normal 9 2 3 4 2 2" xfId="14124"/>
    <cellStyle name="Normal 9 2 3 4 2 3" xfId="20401"/>
    <cellStyle name="Normal 9 2 3 4 3" xfId="8041"/>
    <cellStyle name="Normal 9 2 3 4 3 2" xfId="14125"/>
    <cellStyle name="Normal 9 2 3 4 3 3" xfId="20402"/>
    <cellStyle name="Normal 9 2 3 4 4" xfId="14123"/>
    <cellStyle name="Normal 9 2 3 4 5" xfId="20400"/>
    <cellStyle name="Normal 9 2 3 5" xfId="8042"/>
    <cellStyle name="Normal 9 2 3 5 2" xfId="8043"/>
    <cellStyle name="Normal 9 2 3 5 2 2" xfId="14127"/>
    <cellStyle name="Normal 9 2 3 5 2 3" xfId="20404"/>
    <cellStyle name="Normal 9 2 3 5 3" xfId="14126"/>
    <cellStyle name="Normal 9 2 3 5 4" xfId="20403"/>
    <cellStyle name="Normal 9 2 3 6" xfId="8044"/>
    <cellStyle name="Normal 9 2 3 6 2" xfId="14128"/>
    <cellStyle name="Normal 9 2 3 6 3" xfId="20405"/>
    <cellStyle name="Normal 9 2 3 7" xfId="14104"/>
    <cellStyle name="Normal 9 2 3 8" xfId="20381"/>
    <cellStyle name="Normal 9 2 4" xfId="8045"/>
    <cellStyle name="Normal 9 2 4 2" xfId="8046"/>
    <cellStyle name="Normal 9 2 4 2 2" xfId="8047"/>
    <cellStyle name="Normal 9 2 4 2 2 2" xfId="8048"/>
    <cellStyle name="Normal 9 2 4 2 2 2 2" xfId="14132"/>
    <cellStyle name="Normal 9 2 4 2 2 2 3" xfId="20409"/>
    <cellStyle name="Normal 9 2 4 2 2 3" xfId="14131"/>
    <cellStyle name="Normal 9 2 4 2 2 4" xfId="20408"/>
    <cellStyle name="Normal 9 2 4 2 3" xfId="8049"/>
    <cellStyle name="Normal 9 2 4 2 3 2" xfId="8050"/>
    <cellStyle name="Normal 9 2 4 2 3 2 2" xfId="14134"/>
    <cellStyle name="Normal 9 2 4 2 3 2 3" xfId="20411"/>
    <cellStyle name="Normal 9 2 4 2 3 3" xfId="14133"/>
    <cellStyle name="Normal 9 2 4 2 3 4" xfId="20410"/>
    <cellStyle name="Normal 9 2 4 2 4" xfId="8051"/>
    <cellStyle name="Normal 9 2 4 2 4 2" xfId="14135"/>
    <cellStyle name="Normal 9 2 4 2 4 3" xfId="20412"/>
    <cellStyle name="Normal 9 2 4 2 5" xfId="8052"/>
    <cellStyle name="Normal 9 2 4 2 5 2" xfId="14136"/>
    <cellStyle name="Normal 9 2 4 2 5 3" xfId="20413"/>
    <cellStyle name="Normal 9 2 4 2 6" xfId="14130"/>
    <cellStyle name="Normal 9 2 4 2 7" xfId="20407"/>
    <cellStyle name="Normal 9 2 4 3" xfId="8053"/>
    <cellStyle name="Normal 9 2 4 3 2" xfId="8054"/>
    <cellStyle name="Normal 9 2 4 3 2 2" xfId="14138"/>
    <cellStyle name="Normal 9 2 4 3 2 3" xfId="20415"/>
    <cellStyle name="Normal 9 2 4 3 3" xfId="8055"/>
    <cellStyle name="Normal 9 2 4 3 3 2" xfId="14139"/>
    <cellStyle name="Normal 9 2 4 3 3 3" xfId="20416"/>
    <cellStyle name="Normal 9 2 4 3 4" xfId="14137"/>
    <cellStyle name="Normal 9 2 4 3 5" xfId="20414"/>
    <cellStyle name="Normal 9 2 4 4" xfId="8056"/>
    <cellStyle name="Normal 9 2 4 4 2" xfId="8057"/>
    <cellStyle name="Normal 9 2 4 4 2 2" xfId="14141"/>
    <cellStyle name="Normal 9 2 4 4 2 3" xfId="20418"/>
    <cellStyle name="Normal 9 2 4 4 3" xfId="8058"/>
    <cellStyle name="Normal 9 2 4 4 3 2" xfId="14142"/>
    <cellStyle name="Normal 9 2 4 4 3 3" xfId="20419"/>
    <cellStyle name="Normal 9 2 4 4 4" xfId="14140"/>
    <cellStyle name="Normal 9 2 4 4 5" xfId="20417"/>
    <cellStyle name="Normal 9 2 4 5" xfId="8059"/>
    <cellStyle name="Normal 9 2 4 5 2" xfId="14143"/>
    <cellStyle name="Normal 9 2 4 5 3" xfId="20420"/>
    <cellStyle name="Normal 9 2 4 6" xfId="8060"/>
    <cellStyle name="Normal 9 2 4 6 2" xfId="14144"/>
    <cellStyle name="Normal 9 2 4 6 3" xfId="20421"/>
    <cellStyle name="Normal 9 2 4 7" xfId="14129"/>
    <cellStyle name="Normal 9 2 4 8" xfId="20406"/>
    <cellStyle name="Normal 9 2 5" xfId="8061"/>
    <cellStyle name="Normal 9 2 5 10" xfId="14145"/>
    <cellStyle name="Normal 9 2 5 11" xfId="20422"/>
    <cellStyle name="Normal 9 2 5 2" xfId="8062"/>
    <cellStyle name="Normal 9 2 5 2 2" xfId="8063"/>
    <cellStyle name="Normal 9 2 5 2 2 2" xfId="8064"/>
    <cellStyle name="Normal 9 2 5 2 2 2 2" xfId="14148"/>
    <cellStyle name="Normal 9 2 5 2 2 2 3" xfId="20425"/>
    <cellStyle name="Normal 9 2 5 2 2 3" xfId="8065"/>
    <cellStyle name="Normal 9 2 5 2 2 3 2" xfId="14149"/>
    <cellStyle name="Normal 9 2 5 2 2 3 3" xfId="20426"/>
    <cellStyle name="Normal 9 2 5 2 2 4" xfId="8066"/>
    <cellStyle name="Normal 9 2 5 2 2 4 2" xfId="14150"/>
    <cellStyle name="Normal 9 2 5 2 2 4 3" xfId="20427"/>
    <cellStyle name="Normal 9 2 5 2 2 5" xfId="8067"/>
    <cellStyle name="Normal 9 2 5 2 2 5 2" xfId="14151"/>
    <cellStyle name="Normal 9 2 5 2 2 5 3" xfId="20428"/>
    <cellStyle name="Normal 9 2 5 2 2 6" xfId="14147"/>
    <cellStyle name="Normal 9 2 5 2 2 7" xfId="20424"/>
    <cellStyle name="Normal 9 2 5 2 3" xfId="8068"/>
    <cellStyle name="Normal 9 2 5 2 3 2" xfId="8069"/>
    <cellStyle name="Normal 9 2 5 2 3 2 2" xfId="14153"/>
    <cellStyle name="Normal 9 2 5 2 3 2 3" xfId="20430"/>
    <cellStyle name="Normal 9 2 5 2 3 3" xfId="8070"/>
    <cellStyle name="Normal 9 2 5 2 3 3 2" xfId="14154"/>
    <cellStyle name="Normal 9 2 5 2 3 3 3" xfId="20431"/>
    <cellStyle name="Normal 9 2 5 2 3 4" xfId="14152"/>
    <cellStyle name="Normal 9 2 5 2 3 5" xfId="20429"/>
    <cellStyle name="Normal 9 2 5 2 4" xfId="8071"/>
    <cellStyle name="Normal 9 2 5 2 4 2" xfId="8072"/>
    <cellStyle name="Normal 9 2 5 2 4 2 2" xfId="14156"/>
    <cellStyle name="Normal 9 2 5 2 4 2 3" xfId="20433"/>
    <cellStyle name="Normal 9 2 5 2 4 3" xfId="8073"/>
    <cellStyle name="Normal 9 2 5 2 4 3 2" xfId="14157"/>
    <cellStyle name="Normal 9 2 5 2 4 3 3" xfId="20434"/>
    <cellStyle name="Normal 9 2 5 2 4 4" xfId="14155"/>
    <cellStyle name="Normal 9 2 5 2 4 5" xfId="20432"/>
    <cellStyle name="Normal 9 2 5 2 5" xfId="8074"/>
    <cellStyle name="Normal 9 2 5 2 5 2" xfId="14158"/>
    <cellStyle name="Normal 9 2 5 2 5 3" xfId="20435"/>
    <cellStyle name="Normal 9 2 5 2 6" xfId="8075"/>
    <cellStyle name="Normal 9 2 5 2 6 2" xfId="14159"/>
    <cellStyle name="Normal 9 2 5 2 6 3" xfId="20436"/>
    <cellStyle name="Normal 9 2 5 2 7" xfId="14146"/>
    <cellStyle name="Normal 9 2 5 2 8" xfId="20423"/>
    <cellStyle name="Normal 9 2 5 3" xfId="8076"/>
    <cellStyle name="Normal 9 2 5 3 2" xfId="8077"/>
    <cellStyle name="Normal 9 2 5 3 2 2" xfId="8078"/>
    <cellStyle name="Normal 9 2 5 3 2 2 2" xfId="8079"/>
    <cellStyle name="Normal 9 2 5 3 2 2 2 2" xfId="14163"/>
    <cellStyle name="Normal 9 2 5 3 2 2 2 3" xfId="20440"/>
    <cellStyle name="Normal 9 2 5 3 2 2 3" xfId="8080"/>
    <cellStyle name="Normal 9 2 5 3 2 2 3 2" xfId="14164"/>
    <cellStyle name="Normal 9 2 5 3 2 2 3 3" xfId="20441"/>
    <cellStyle name="Normal 9 2 5 3 2 2 4" xfId="14162"/>
    <cellStyle name="Normal 9 2 5 3 2 2 5" xfId="20439"/>
    <cellStyle name="Normal 9 2 5 3 2 3" xfId="8081"/>
    <cellStyle name="Normal 9 2 5 3 2 3 2" xfId="8082"/>
    <cellStyle name="Normal 9 2 5 3 2 3 2 2" xfId="14166"/>
    <cellStyle name="Normal 9 2 5 3 2 3 2 3" xfId="20443"/>
    <cellStyle name="Normal 9 2 5 3 2 3 3" xfId="8083"/>
    <cellStyle name="Normal 9 2 5 3 2 3 3 2" xfId="14167"/>
    <cellStyle name="Normal 9 2 5 3 2 3 3 3" xfId="20444"/>
    <cellStyle name="Normal 9 2 5 3 2 3 4" xfId="14165"/>
    <cellStyle name="Normal 9 2 5 3 2 3 5" xfId="20442"/>
    <cellStyle name="Normal 9 2 5 3 2 4" xfId="8084"/>
    <cellStyle name="Normal 9 2 5 3 2 4 2" xfId="14168"/>
    <cellStyle name="Normal 9 2 5 3 2 4 3" xfId="20445"/>
    <cellStyle name="Normal 9 2 5 3 2 5" xfId="8085"/>
    <cellStyle name="Normal 9 2 5 3 2 5 2" xfId="14169"/>
    <cellStyle name="Normal 9 2 5 3 2 5 3" xfId="20446"/>
    <cellStyle name="Normal 9 2 5 3 2 6" xfId="14161"/>
    <cellStyle name="Normal 9 2 5 3 2 7" xfId="20438"/>
    <cellStyle name="Normal 9 2 5 3 3" xfId="8086"/>
    <cellStyle name="Normal 9 2 5 3 3 2" xfId="8087"/>
    <cellStyle name="Normal 9 2 5 3 3 2 2" xfId="14171"/>
    <cellStyle name="Normal 9 2 5 3 3 2 3" xfId="20448"/>
    <cellStyle name="Normal 9 2 5 3 3 3" xfId="8088"/>
    <cellStyle name="Normal 9 2 5 3 3 3 2" xfId="14172"/>
    <cellStyle name="Normal 9 2 5 3 3 3 3" xfId="20449"/>
    <cellStyle name="Normal 9 2 5 3 3 4" xfId="8089"/>
    <cellStyle name="Normal 9 2 5 3 3 4 2" xfId="14173"/>
    <cellStyle name="Normal 9 2 5 3 3 4 3" xfId="20450"/>
    <cellStyle name="Normal 9 2 5 3 3 5" xfId="8090"/>
    <cellStyle name="Normal 9 2 5 3 3 5 2" xfId="14174"/>
    <cellStyle name="Normal 9 2 5 3 3 5 3" xfId="20451"/>
    <cellStyle name="Normal 9 2 5 3 3 6" xfId="14170"/>
    <cellStyle name="Normal 9 2 5 3 3 7" xfId="20447"/>
    <cellStyle name="Normal 9 2 5 3 4" xfId="8091"/>
    <cellStyle name="Normal 9 2 5 3 4 2" xfId="8092"/>
    <cellStyle name="Normal 9 2 5 3 4 2 2" xfId="14176"/>
    <cellStyle name="Normal 9 2 5 3 4 2 3" xfId="20453"/>
    <cellStyle name="Normal 9 2 5 3 4 3" xfId="8093"/>
    <cellStyle name="Normal 9 2 5 3 4 3 2" xfId="14177"/>
    <cellStyle name="Normal 9 2 5 3 4 3 3" xfId="20454"/>
    <cellStyle name="Normal 9 2 5 3 4 4" xfId="14175"/>
    <cellStyle name="Normal 9 2 5 3 4 5" xfId="20452"/>
    <cellStyle name="Normal 9 2 5 3 5" xfId="8094"/>
    <cellStyle name="Normal 9 2 5 3 5 2" xfId="8095"/>
    <cellStyle name="Normal 9 2 5 3 5 2 2" xfId="14179"/>
    <cellStyle name="Normal 9 2 5 3 5 2 3" xfId="20456"/>
    <cellStyle name="Normal 9 2 5 3 5 3" xfId="8096"/>
    <cellStyle name="Normal 9 2 5 3 5 3 2" xfId="14180"/>
    <cellStyle name="Normal 9 2 5 3 5 3 3" xfId="20457"/>
    <cellStyle name="Normal 9 2 5 3 5 4" xfId="14178"/>
    <cellStyle name="Normal 9 2 5 3 5 5" xfId="20455"/>
    <cellStyle name="Normal 9 2 5 3 6" xfId="8097"/>
    <cellStyle name="Normal 9 2 5 3 6 2" xfId="14181"/>
    <cellStyle name="Normal 9 2 5 3 6 3" xfId="20458"/>
    <cellStyle name="Normal 9 2 5 3 7" xfId="8098"/>
    <cellStyle name="Normal 9 2 5 3 7 2" xfId="14182"/>
    <cellStyle name="Normal 9 2 5 3 7 3" xfId="20459"/>
    <cellStyle name="Normal 9 2 5 3 8" xfId="14160"/>
    <cellStyle name="Normal 9 2 5 3 9" xfId="20437"/>
    <cellStyle name="Normal 9 2 5 4" xfId="8099"/>
    <cellStyle name="Normal 9 2 5 4 2" xfId="8100"/>
    <cellStyle name="Normal 9 2 5 4 2 2" xfId="8101"/>
    <cellStyle name="Normal 9 2 5 4 2 2 2" xfId="14185"/>
    <cellStyle name="Normal 9 2 5 4 2 2 3" xfId="20462"/>
    <cellStyle name="Normal 9 2 5 4 2 3" xfId="8102"/>
    <cellStyle name="Normal 9 2 5 4 2 3 2" xfId="14186"/>
    <cellStyle name="Normal 9 2 5 4 2 3 3" xfId="20463"/>
    <cellStyle name="Normal 9 2 5 4 2 4" xfId="14184"/>
    <cellStyle name="Normal 9 2 5 4 2 5" xfId="20461"/>
    <cellStyle name="Normal 9 2 5 4 3" xfId="8103"/>
    <cellStyle name="Normal 9 2 5 4 3 2" xfId="8104"/>
    <cellStyle name="Normal 9 2 5 4 3 2 2" xfId="14188"/>
    <cellStyle name="Normal 9 2 5 4 3 2 3" xfId="20465"/>
    <cellStyle name="Normal 9 2 5 4 3 3" xfId="8105"/>
    <cellStyle name="Normal 9 2 5 4 3 3 2" xfId="14189"/>
    <cellStyle name="Normal 9 2 5 4 3 3 3" xfId="20466"/>
    <cellStyle name="Normal 9 2 5 4 3 4" xfId="14187"/>
    <cellStyle name="Normal 9 2 5 4 3 5" xfId="20464"/>
    <cellStyle name="Normal 9 2 5 4 4" xfId="8106"/>
    <cellStyle name="Normal 9 2 5 4 4 2" xfId="14190"/>
    <cellStyle name="Normal 9 2 5 4 4 3" xfId="20467"/>
    <cellStyle name="Normal 9 2 5 4 5" xfId="8107"/>
    <cellStyle name="Normal 9 2 5 4 5 2" xfId="14191"/>
    <cellStyle name="Normal 9 2 5 4 5 3" xfId="20468"/>
    <cellStyle name="Normal 9 2 5 4 6" xfId="14183"/>
    <cellStyle name="Normal 9 2 5 4 7" xfId="20460"/>
    <cellStyle name="Normal 9 2 5 5" xfId="8108"/>
    <cellStyle name="Normal 9 2 5 5 2" xfId="8109"/>
    <cellStyle name="Normal 9 2 5 5 2 2" xfId="14193"/>
    <cellStyle name="Normal 9 2 5 5 2 3" xfId="20470"/>
    <cellStyle name="Normal 9 2 5 5 3" xfId="8110"/>
    <cellStyle name="Normal 9 2 5 5 3 2" xfId="14194"/>
    <cellStyle name="Normal 9 2 5 5 3 3" xfId="20471"/>
    <cellStyle name="Normal 9 2 5 5 4" xfId="8111"/>
    <cellStyle name="Normal 9 2 5 5 4 2" xfId="14195"/>
    <cellStyle name="Normal 9 2 5 5 4 3" xfId="20472"/>
    <cellStyle name="Normal 9 2 5 5 5" xfId="8112"/>
    <cellStyle name="Normal 9 2 5 5 5 2" xfId="14196"/>
    <cellStyle name="Normal 9 2 5 5 5 3" xfId="20473"/>
    <cellStyle name="Normal 9 2 5 5 6" xfId="14192"/>
    <cellStyle name="Normal 9 2 5 5 7" xfId="20469"/>
    <cellStyle name="Normal 9 2 5 6" xfId="8113"/>
    <cellStyle name="Normal 9 2 5 6 2" xfId="8114"/>
    <cellStyle name="Normal 9 2 5 6 2 2" xfId="14198"/>
    <cellStyle name="Normal 9 2 5 6 2 3" xfId="20475"/>
    <cellStyle name="Normal 9 2 5 6 3" xfId="8115"/>
    <cellStyle name="Normal 9 2 5 6 3 2" xfId="14199"/>
    <cellStyle name="Normal 9 2 5 6 3 3" xfId="20476"/>
    <cellStyle name="Normal 9 2 5 6 4" xfId="14197"/>
    <cellStyle name="Normal 9 2 5 6 5" xfId="20474"/>
    <cellStyle name="Normal 9 2 5 7" xfId="8116"/>
    <cellStyle name="Normal 9 2 5 7 2" xfId="8117"/>
    <cellStyle name="Normal 9 2 5 7 2 2" xfId="14201"/>
    <cellStyle name="Normal 9 2 5 7 2 3" xfId="20478"/>
    <cellStyle name="Normal 9 2 5 7 3" xfId="8118"/>
    <cellStyle name="Normal 9 2 5 7 3 2" xfId="14202"/>
    <cellStyle name="Normal 9 2 5 7 3 3" xfId="20479"/>
    <cellStyle name="Normal 9 2 5 7 4" xfId="14200"/>
    <cellStyle name="Normal 9 2 5 7 5" xfId="20477"/>
    <cellStyle name="Normal 9 2 5 8" xfId="8119"/>
    <cellStyle name="Normal 9 2 5 8 2" xfId="14203"/>
    <cellStyle name="Normal 9 2 5 8 3" xfId="20480"/>
    <cellStyle name="Normal 9 2 5 9" xfId="8120"/>
    <cellStyle name="Normal 9 2 5 9 2" xfId="14204"/>
    <cellStyle name="Normal 9 2 5 9 3" xfId="20481"/>
    <cellStyle name="Normal 9 2 5_10070" xfId="8121"/>
    <cellStyle name="Normal 9 2 6" xfId="8122"/>
    <cellStyle name="Normal 9 2 6 2" xfId="8123"/>
    <cellStyle name="Normal 9 2 6 2 2" xfId="14206"/>
    <cellStyle name="Normal 9 2 6 2 3" xfId="20483"/>
    <cellStyle name="Normal 9 2 6 3" xfId="8124"/>
    <cellStyle name="Normal 9 2 6 3 2" xfId="14207"/>
    <cellStyle name="Normal 9 2 6 3 3" xfId="20484"/>
    <cellStyle name="Normal 9 2 6 4" xfId="8125"/>
    <cellStyle name="Normal 9 2 6 4 2" xfId="14208"/>
    <cellStyle name="Normal 9 2 6 4 3" xfId="20485"/>
    <cellStyle name="Normal 9 2 6 5" xfId="8126"/>
    <cellStyle name="Normal 9 2 6 5 2" xfId="14209"/>
    <cellStyle name="Normal 9 2 6 5 3" xfId="20486"/>
    <cellStyle name="Normal 9 2 6 6" xfId="14205"/>
    <cellStyle name="Normal 9 2 6 7" xfId="20482"/>
    <cellStyle name="Normal 9 2 7" xfId="8127"/>
    <cellStyle name="Normal 9 2 7 2" xfId="8128"/>
    <cellStyle name="Normal 9 2 7 2 2" xfId="14211"/>
    <cellStyle name="Normal 9 2 7 2 3" xfId="20488"/>
    <cellStyle name="Normal 9 2 7 3" xfId="8129"/>
    <cellStyle name="Normal 9 2 7 3 2" xfId="14212"/>
    <cellStyle name="Normal 9 2 7 3 3" xfId="20489"/>
    <cellStyle name="Normal 9 2 7 4" xfId="14210"/>
    <cellStyle name="Normal 9 2 7 5" xfId="20487"/>
    <cellStyle name="Normal 9 2 8" xfId="8130"/>
    <cellStyle name="Normal 9 2 8 2" xfId="8131"/>
    <cellStyle name="Normal 9 2 8 2 2" xfId="14214"/>
    <cellStyle name="Normal 9 2 8 2 3" xfId="20491"/>
    <cellStyle name="Normal 9 2 8 3" xfId="8132"/>
    <cellStyle name="Normal 9 2 8 3 2" xfId="14215"/>
    <cellStyle name="Normal 9 2 8 3 3" xfId="20492"/>
    <cellStyle name="Normal 9 2 8 4" xfId="14213"/>
    <cellStyle name="Normal 9 2 8 5" xfId="20490"/>
    <cellStyle name="Normal 9 2 9" xfId="8133"/>
    <cellStyle name="Normal 9 2 9 2" xfId="14216"/>
    <cellStyle name="Normal 9 2 9 3" xfId="20493"/>
    <cellStyle name="Normal 9 3" xfId="8134"/>
    <cellStyle name="Normal 9 3 10" xfId="20494"/>
    <cellStyle name="Normal 9 3 2" xfId="8135"/>
    <cellStyle name="Normal 9 3 2 2" xfId="8136"/>
    <cellStyle name="Normal 9 3 2 2 2" xfId="8137"/>
    <cellStyle name="Normal 9 3 2 2 2 2" xfId="8138"/>
    <cellStyle name="Normal 9 3 2 2 2 2 2" xfId="8139"/>
    <cellStyle name="Normal 9 3 2 2 2 2 2 2" xfId="14222"/>
    <cellStyle name="Normal 9 3 2 2 2 2 2 3" xfId="20499"/>
    <cellStyle name="Normal 9 3 2 2 2 2 3" xfId="14221"/>
    <cellStyle name="Normal 9 3 2 2 2 2 4" xfId="20498"/>
    <cellStyle name="Normal 9 3 2 2 2 3" xfId="8140"/>
    <cellStyle name="Normal 9 3 2 2 2 3 2" xfId="8141"/>
    <cellStyle name="Normal 9 3 2 2 2 3 2 2" xfId="14224"/>
    <cellStyle name="Normal 9 3 2 2 2 3 2 3" xfId="20501"/>
    <cellStyle name="Normal 9 3 2 2 2 3 3" xfId="14223"/>
    <cellStyle name="Normal 9 3 2 2 2 3 4" xfId="20500"/>
    <cellStyle name="Normal 9 3 2 2 2 4" xfId="8142"/>
    <cellStyle name="Normal 9 3 2 2 2 4 2" xfId="14225"/>
    <cellStyle name="Normal 9 3 2 2 2 4 3" xfId="20502"/>
    <cellStyle name="Normal 9 3 2 2 2 5" xfId="14220"/>
    <cellStyle name="Normal 9 3 2 2 2 6" xfId="20497"/>
    <cellStyle name="Normal 9 3 2 2 3" xfId="8143"/>
    <cellStyle name="Normal 9 3 2 2 3 2" xfId="8144"/>
    <cellStyle name="Normal 9 3 2 2 3 2 2" xfId="14227"/>
    <cellStyle name="Normal 9 3 2 2 3 2 3" xfId="20504"/>
    <cellStyle name="Normal 9 3 2 2 3 3" xfId="14226"/>
    <cellStyle name="Normal 9 3 2 2 3 4" xfId="20503"/>
    <cellStyle name="Normal 9 3 2 2 4" xfId="8145"/>
    <cellStyle name="Normal 9 3 2 2 4 2" xfId="8146"/>
    <cellStyle name="Normal 9 3 2 2 4 2 2" xfId="14229"/>
    <cellStyle name="Normal 9 3 2 2 4 2 3" xfId="20506"/>
    <cellStyle name="Normal 9 3 2 2 4 3" xfId="14228"/>
    <cellStyle name="Normal 9 3 2 2 4 4" xfId="20505"/>
    <cellStyle name="Normal 9 3 2 2 5" xfId="8147"/>
    <cellStyle name="Normal 9 3 2 2 5 2" xfId="14230"/>
    <cellStyle name="Normal 9 3 2 2 5 3" xfId="20507"/>
    <cellStyle name="Normal 9 3 2 2 6" xfId="14219"/>
    <cellStyle name="Normal 9 3 2 2 7" xfId="20496"/>
    <cellStyle name="Normal 9 3 2 3" xfId="8148"/>
    <cellStyle name="Normal 9 3 2 3 2" xfId="8149"/>
    <cellStyle name="Normal 9 3 2 3 2 2" xfId="8150"/>
    <cellStyle name="Normal 9 3 2 3 2 2 2" xfId="14233"/>
    <cellStyle name="Normal 9 3 2 3 2 2 3" xfId="20510"/>
    <cellStyle name="Normal 9 3 2 3 2 3" xfId="14232"/>
    <cellStyle name="Normal 9 3 2 3 2 4" xfId="20509"/>
    <cellStyle name="Normal 9 3 2 3 3" xfId="8151"/>
    <cellStyle name="Normal 9 3 2 3 3 2" xfId="8152"/>
    <cellStyle name="Normal 9 3 2 3 3 2 2" xfId="14235"/>
    <cellStyle name="Normal 9 3 2 3 3 2 3" xfId="20512"/>
    <cellStyle name="Normal 9 3 2 3 3 3" xfId="14234"/>
    <cellStyle name="Normal 9 3 2 3 3 4" xfId="20511"/>
    <cellStyle name="Normal 9 3 2 3 4" xfId="8153"/>
    <cellStyle name="Normal 9 3 2 3 4 2" xfId="14236"/>
    <cellStyle name="Normal 9 3 2 3 4 3" xfId="20513"/>
    <cellStyle name="Normal 9 3 2 3 5" xfId="14231"/>
    <cellStyle name="Normal 9 3 2 3 6" xfId="20508"/>
    <cellStyle name="Normal 9 3 2 4" xfId="8154"/>
    <cellStyle name="Normal 9 3 2 4 2" xfId="8155"/>
    <cellStyle name="Normal 9 3 2 4 2 2" xfId="14238"/>
    <cellStyle name="Normal 9 3 2 4 2 3" xfId="20515"/>
    <cellStyle name="Normal 9 3 2 4 3" xfId="14237"/>
    <cellStyle name="Normal 9 3 2 4 4" xfId="20514"/>
    <cellStyle name="Normal 9 3 2 5" xfId="8156"/>
    <cellStyle name="Normal 9 3 2 5 2" xfId="8157"/>
    <cellStyle name="Normal 9 3 2 5 2 2" xfId="14240"/>
    <cellStyle name="Normal 9 3 2 5 2 3" xfId="20517"/>
    <cellStyle name="Normal 9 3 2 5 3" xfId="14239"/>
    <cellStyle name="Normal 9 3 2 5 4" xfId="20516"/>
    <cellStyle name="Normal 9 3 2 6" xfId="8158"/>
    <cellStyle name="Normal 9 3 2 6 2" xfId="14241"/>
    <cellStyle name="Normal 9 3 2 6 3" xfId="20518"/>
    <cellStyle name="Normal 9 3 2 7" xfId="14218"/>
    <cellStyle name="Normal 9 3 2 8" xfId="20495"/>
    <cellStyle name="Normal 9 3 3" xfId="8159"/>
    <cellStyle name="Normal 9 3 3 2" xfId="8160"/>
    <cellStyle name="Normal 9 3 3 2 2" xfId="8161"/>
    <cellStyle name="Normal 9 3 3 2 2 2" xfId="8162"/>
    <cellStyle name="Normal 9 3 3 2 2 2 2" xfId="14245"/>
    <cellStyle name="Normal 9 3 3 2 2 2 3" xfId="20522"/>
    <cellStyle name="Normal 9 3 3 2 2 3" xfId="14244"/>
    <cellStyle name="Normal 9 3 3 2 2 4" xfId="20521"/>
    <cellStyle name="Normal 9 3 3 2 3" xfId="8163"/>
    <cellStyle name="Normal 9 3 3 2 3 2" xfId="8164"/>
    <cellStyle name="Normal 9 3 3 2 3 2 2" xfId="14247"/>
    <cellStyle name="Normal 9 3 3 2 3 2 3" xfId="20524"/>
    <cellStyle name="Normal 9 3 3 2 3 3" xfId="14246"/>
    <cellStyle name="Normal 9 3 3 2 3 4" xfId="20523"/>
    <cellStyle name="Normal 9 3 3 2 4" xfId="8165"/>
    <cellStyle name="Normal 9 3 3 2 4 2" xfId="14248"/>
    <cellStyle name="Normal 9 3 3 2 4 3" xfId="20525"/>
    <cellStyle name="Normal 9 3 3 2 5" xfId="14243"/>
    <cellStyle name="Normal 9 3 3 2 6" xfId="20520"/>
    <cellStyle name="Normal 9 3 3 3" xfId="8166"/>
    <cellStyle name="Normal 9 3 3 3 2" xfId="8167"/>
    <cellStyle name="Normal 9 3 3 3 2 2" xfId="14250"/>
    <cellStyle name="Normal 9 3 3 3 2 3" xfId="20527"/>
    <cellStyle name="Normal 9 3 3 3 3" xfId="14249"/>
    <cellStyle name="Normal 9 3 3 3 4" xfId="20526"/>
    <cellStyle name="Normal 9 3 3 4" xfId="8168"/>
    <cellStyle name="Normal 9 3 3 4 2" xfId="8169"/>
    <cellStyle name="Normal 9 3 3 4 2 2" xfId="14252"/>
    <cellStyle name="Normal 9 3 3 4 2 3" xfId="20529"/>
    <cellStyle name="Normal 9 3 3 4 3" xfId="14251"/>
    <cellStyle name="Normal 9 3 3 4 4" xfId="20528"/>
    <cellStyle name="Normal 9 3 3 5" xfId="8170"/>
    <cellStyle name="Normal 9 3 3 5 2" xfId="14253"/>
    <cellStyle name="Normal 9 3 3 5 3" xfId="20530"/>
    <cellStyle name="Normal 9 3 3 6" xfId="14242"/>
    <cellStyle name="Normal 9 3 3 7" xfId="20519"/>
    <cellStyle name="Normal 9 3 4" xfId="8171"/>
    <cellStyle name="Normal 9 3 4 2" xfId="8172"/>
    <cellStyle name="Normal 9 3 4 2 2" xfId="8173"/>
    <cellStyle name="Normal 9 3 4 2 2 2" xfId="14256"/>
    <cellStyle name="Normal 9 3 4 2 2 3" xfId="20533"/>
    <cellStyle name="Normal 9 3 4 2 3" xfId="14255"/>
    <cellStyle name="Normal 9 3 4 2 4" xfId="20532"/>
    <cellStyle name="Normal 9 3 4 3" xfId="8174"/>
    <cellStyle name="Normal 9 3 4 3 2" xfId="8175"/>
    <cellStyle name="Normal 9 3 4 3 2 2" xfId="14258"/>
    <cellStyle name="Normal 9 3 4 3 2 3" xfId="20535"/>
    <cellStyle name="Normal 9 3 4 3 3" xfId="14257"/>
    <cellStyle name="Normal 9 3 4 3 4" xfId="20534"/>
    <cellStyle name="Normal 9 3 4 4" xfId="8176"/>
    <cellStyle name="Normal 9 3 4 4 2" xfId="14259"/>
    <cellStyle name="Normal 9 3 4 4 3" xfId="20536"/>
    <cellStyle name="Normal 9 3 4 5" xfId="14254"/>
    <cellStyle name="Normal 9 3 4 6" xfId="20531"/>
    <cellStyle name="Normal 9 3 5" xfId="8177"/>
    <cellStyle name="Normal 9 3 5 2" xfId="8178"/>
    <cellStyle name="Normal 9 3 5 2 2" xfId="14261"/>
    <cellStyle name="Normal 9 3 5 2 3" xfId="20538"/>
    <cellStyle name="Normal 9 3 5 3" xfId="14260"/>
    <cellStyle name="Normal 9 3 5 4" xfId="20537"/>
    <cellStyle name="Normal 9 3 6" xfId="8179"/>
    <cellStyle name="Normal 9 3 6 2" xfId="8180"/>
    <cellStyle name="Normal 9 3 6 2 2" xfId="14263"/>
    <cellStyle name="Normal 9 3 6 2 3" xfId="20540"/>
    <cellStyle name="Normal 9 3 6 3" xfId="14262"/>
    <cellStyle name="Normal 9 3 6 4" xfId="20539"/>
    <cellStyle name="Normal 9 3 7" xfId="8181"/>
    <cellStyle name="Normal 9 3 7 2" xfId="14264"/>
    <cellStyle name="Normal 9 3 7 3" xfId="20541"/>
    <cellStyle name="Normal 9 3 8" xfId="8182"/>
    <cellStyle name="Normal 9 3 8 2" xfId="20542"/>
    <cellStyle name="Normal 9 3 9" xfId="14217"/>
    <cellStyle name="Normal 9 4" xfId="8183"/>
    <cellStyle name="Normal 9 4 2" xfId="8184"/>
    <cellStyle name="Normal 9 4 2 2" xfId="8185"/>
    <cellStyle name="Normal 9 4 2 2 2" xfId="8186"/>
    <cellStyle name="Normal 9 4 2 2 2 2" xfId="8187"/>
    <cellStyle name="Normal 9 4 2 2 2 2 2" xfId="8188"/>
    <cellStyle name="Normal 9 4 2 2 2 2 2 2" xfId="14270"/>
    <cellStyle name="Normal 9 4 2 2 2 2 2 3" xfId="20548"/>
    <cellStyle name="Normal 9 4 2 2 2 2 3" xfId="14269"/>
    <cellStyle name="Normal 9 4 2 2 2 2 4" xfId="20547"/>
    <cellStyle name="Normal 9 4 2 2 2 3" xfId="8189"/>
    <cellStyle name="Normal 9 4 2 2 2 3 2" xfId="8190"/>
    <cellStyle name="Normal 9 4 2 2 2 3 2 2" xfId="14272"/>
    <cellStyle name="Normal 9 4 2 2 2 3 2 3" xfId="20550"/>
    <cellStyle name="Normal 9 4 2 2 2 3 3" xfId="14271"/>
    <cellStyle name="Normal 9 4 2 2 2 3 4" xfId="20549"/>
    <cellStyle name="Normal 9 4 2 2 2 4" xfId="8191"/>
    <cellStyle name="Normal 9 4 2 2 2 4 2" xfId="14273"/>
    <cellStyle name="Normal 9 4 2 2 2 4 3" xfId="20551"/>
    <cellStyle name="Normal 9 4 2 2 2 5" xfId="14268"/>
    <cellStyle name="Normal 9 4 2 2 2 6" xfId="20546"/>
    <cellStyle name="Normal 9 4 2 2 3" xfId="8192"/>
    <cellStyle name="Normal 9 4 2 2 3 2" xfId="8193"/>
    <cellStyle name="Normal 9 4 2 2 3 2 2" xfId="14275"/>
    <cellStyle name="Normal 9 4 2 2 3 2 3" xfId="20553"/>
    <cellStyle name="Normal 9 4 2 2 3 3" xfId="14274"/>
    <cellStyle name="Normal 9 4 2 2 3 4" xfId="20552"/>
    <cellStyle name="Normal 9 4 2 2 4" xfId="8194"/>
    <cellStyle name="Normal 9 4 2 2 4 2" xfId="8195"/>
    <cellStyle name="Normal 9 4 2 2 4 2 2" xfId="14277"/>
    <cellStyle name="Normal 9 4 2 2 4 2 3" xfId="20555"/>
    <cellStyle name="Normal 9 4 2 2 4 3" xfId="14276"/>
    <cellStyle name="Normal 9 4 2 2 4 4" xfId="20554"/>
    <cellStyle name="Normal 9 4 2 2 5" xfId="8196"/>
    <cellStyle name="Normal 9 4 2 2 5 2" xfId="14278"/>
    <cellStyle name="Normal 9 4 2 2 5 3" xfId="20556"/>
    <cellStyle name="Normal 9 4 2 2 6" xfId="14267"/>
    <cellStyle name="Normal 9 4 2 2 7" xfId="20545"/>
    <cellStyle name="Normal 9 4 2 3" xfId="8197"/>
    <cellStyle name="Normal 9 4 2 3 2" xfId="8198"/>
    <cellStyle name="Normal 9 4 2 3 2 2" xfId="8199"/>
    <cellStyle name="Normal 9 4 2 3 2 2 2" xfId="14281"/>
    <cellStyle name="Normal 9 4 2 3 2 2 3" xfId="20559"/>
    <cellStyle name="Normal 9 4 2 3 2 3" xfId="14280"/>
    <cellStyle name="Normal 9 4 2 3 2 4" xfId="20558"/>
    <cellStyle name="Normal 9 4 2 3 3" xfId="8200"/>
    <cellStyle name="Normal 9 4 2 3 3 2" xfId="8201"/>
    <cellStyle name="Normal 9 4 2 3 3 2 2" xfId="14283"/>
    <cellStyle name="Normal 9 4 2 3 3 2 3" xfId="20561"/>
    <cellStyle name="Normal 9 4 2 3 3 3" xfId="14282"/>
    <cellStyle name="Normal 9 4 2 3 3 4" xfId="20560"/>
    <cellStyle name="Normal 9 4 2 3 4" xfId="8202"/>
    <cellStyle name="Normal 9 4 2 3 4 2" xfId="14284"/>
    <cellStyle name="Normal 9 4 2 3 4 3" xfId="20562"/>
    <cellStyle name="Normal 9 4 2 3 5" xfId="14279"/>
    <cellStyle name="Normal 9 4 2 3 6" xfId="20557"/>
    <cellStyle name="Normal 9 4 2 4" xfId="8203"/>
    <cellStyle name="Normal 9 4 2 4 2" xfId="8204"/>
    <cellStyle name="Normal 9 4 2 4 2 2" xfId="14286"/>
    <cellStyle name="Normal 9 4 2 4 2 3" xfId="20564"/>
    <cellStyle name="Normal 9 4 2 4 3" xfId="14285"/>
    <cellStyle name="Normal 9 4 2 4 4" xfId="20563"/>
    <cellStyle name="Normal 9 4 2 5" xfId="8205"/>
    <cellStyle name="Normal 9 4 2 5 2" xfId="8206"/>
    <cellStyle name="Normal 9 4 2 5 2 2" xfId="14288"/>
    <cellStyle name="Normal 9 4 2 5 2 3" xfId="20566"/>
    <cellStyle name="Normal 9 4 2 5 3" xfId="14287"/>
    <cellStyle name="Normal 9 4 2 5 4" xfId="20565"/>
    <cellStyle name="Normal 9 4 2 6" xfId="8207"/>
    <cellStyle name="Normal 9 4 2 6 2" xfId="14289"/>
    <cellStyle name="Normal 9 4 2 6 3" xfId="20567"/>
    <cellStyle name="Normal 9 4 2 7" xfId="14266"/>
    <cellStyle name="Normal 9 4 2 8" xfId="20544"/>
    <cellStyle name="Normal 9 4 3" xfId="8208"/>
    <cellStyle name="Normal 9 4 3 2" xfId="8209"/>
    <cellStyle name="Normal 9 4 3 2 2" xfId="8210"/>
    <cellStyle name="Normal 9 4 3 2 2 2" xfId="8211"/>
    <cellStyle name="Normal 9 4 3 2 2 2 2" xfId="14293"/>
    <cellStyle name="Normal 9 4 3 2 2 2 3" xfId="20571"/>
    <cellStyle name="Normal 9 4 3 2 2 3" xfId="14292"/>
    <cellStyle name="Normal 9 4 3 2 2 4" xfId="20570"/>
    <cellStyle name="Normal 9 4 3 2 3" xfId="8212"/>
    <cellStyle name="Normal 9 4 3 2 3 2" xfId="8213"/>
    <cellStyle name="Normal 9 4 3 2 3 2 2" xfId="14295"/>
    <cellStyle name="Normal 9 4 3 2 3 2 3" xfId="20573"/>
    <cellStyle name="Normal 9 4 3 2 3 3" xfId="14294"/>
    <cellStyle name="Normal 9 4 3 2 3 4" xfId="20572"/>
    <cellStyle name="Normal 9 4 3 2 4" xfId="8214"/>
    <cellStyle name="Normal 9 4 3 2 4 2" xfId="14296"/>
    <cellStyle name="Normal 9 4 3 2 4 3" xfId="20574"/>
    <cellStyle name="Normal 9 4 3 2 5" xfId="14291"/>
    <cellStyle name="Normal 9 4 3 2 6" xfId="20569"/>
    <cellStyle name="Normal 9 4 3 3" xfId="8215"/>
    <cellStyle name="Normal 9 4 3 3 2" xfId="8216"/>
    <cellStyle name="Normal 9 4 3 3 2 2" xfId="14298"/>
    <cellStyle name="Normal 9 4 3 3 2 3" xfId="20576"/>
    <cellStyle name="Normal 9 4 3 3 3" xfId="14297"/>
    <cellStyle name="Normal 9 4 3 3 4" xfId="20575"/>
    <cellStyle name="Normal 9 4 3 4" xfId="8217"/>
    <cellStyle name="Normal 9 4 3 4 2" xfId="8218"/>
    <cellStyle name="Normal 9 4 3 4 2 2" xfId="14300"/>
    <cellStyle name="Normal 9 4 3 4 2 3" xfId="20578"/>
    <cellStyle name="Normal 9 4 3 4 3" xfId="14299"/>
    <cellStyle name="Normal 9 4 3 4 4" xfId="20577"/>
    <cellStyle name="Normal 9 4 3 5" xfId="8219"/>
    <cellStyle name="Normal 9 4 3 5 2" xfId="14301"/>
    <cellStyle name="Normal 9 4 3 5 3" xfId="20579"/>
    <cellStyle name="Normal 9 4 3 6" xfId="14290"/>
    <cellStyle name="Normal 9 4 3 7" xfId="20568"/>
    <cellStyle name="Normal 9 4 4" xfId="8220"/>
    <cellStyle name="Normal 9 4 4 2" xfId="8221"/>
    <cellStyle name="Normal 9 4 4 2 2" xfId="8222"/>
    <cellStyle name="Normal 9 4 4 2 2 2" xfId="14304"/>
    <cellStyle name="Normal 9 4 4 2 2 3" xfId="20582"/>
    <cellStyle name="Normal 9 4 4 2 3" xfId="14303"/>
    <cellStyle name="Normal 9 4 4 2 4" xfId="20581"/>
    <cellStyle name="Normal 9 4 4 3" xfId="8223"/>
    <cellStyle name="Normal 9 4 4 3 2" xfId="8224"/>
    <cellStyle name="Normal 9 4 4 3 2 2" xfId="14306"/>
    <cellStyle name="Normal 9 4 4 3 2 3" xfId="20584"/>
    <cellStyle name="Normal 9 4 4 3 3" xfId="14305"/>
    <cellStyle name="Normal 9 4 4 3 4" xfId="20583"/>
    <cellStyle name="Normal 9 4 4 4" xfId="8225"/>
    <cellStyle name="Normal 9 4 4 4 2" xfId="14307"/>
    <cellStyle name="Normal 9 4 4 4 3" xfId="20585"/>
    <cellStyle name="Normal 9 4 4 5" xfId="14302"/>
    <cellStyle name="Normal 9 4 4 6" xfId="20580"/>
    <cellStyle name="Normal 9 4 5" xfId="8226"/>
    <cellStyle name="Normal 9 4 5 2" xfId="8227"/>
    <cellStyle name="Normal 9 4 5 2 2" xfId="14309"/>
    <cellStyle name="Normal 9 4 5 2 3" xfId="20587"/>
    <cellStyle name="Normal 9 4 5 3" xfId="14308"/>
    <cellStyle name="Normal 9 4 5 4" xfId="20586"/>
    <cellStyle name="Normal 9 4 6" xfId="8228"/>
    <cellStyle name="Normal 9 4 6 2" xfId="8229"/>
    <cellStyle name="Normal 9 4 6 2 2" xfId="14311"/>
    <cellStyle name="Normal 9 4 6 2 3" xfId="20589"/>
    <cellStyle name="Normal 9 4 6 3" xfId="14310"/>
    <cellStyle name="Normal 9 4 6 4" xfId="20588"/>
    <cellStyle name="Normal 9 4 7" xfId="8230"/>
    <cellStyle name="Normal 9 4 7 2" xfId="14312"/>
    <cellStyle name="Normal 9 4 7 3" xfId="20590"/>
    <cellStyle name="Normal 9 4 8" xfId="14265"/>
    <cellStyle name="Normal 9 4 9" xfId="20543"/>
    <cellStyle name="Normal 9 5" xfId="8231"/>
    <cellStyle name="Normal 9 5 10" xfId="14313"/>
    <cellStyle name="Normal 9 5 11" xfId="20591"/>
    <cellStyle name="Normal 9 5 2" xfId="8232"/>
    <cellStyle name="Normal 9 5 2 2" xfId="8233"/>
    <cellStyle name="Normal 9 5 2 2 2" xfId="8234"/>
    <cellStyle name="Normal 9 5 2 2 2 2" xfId="8235"/>
    <cellStyle name="Normal 9 5 2 2 2 2 2" xfId="14317"/>
    <cellStyle name="Normal 9 5 2 2 2 2 3" xfId="20595"/>
    <cellStyle name="Normal 9 5 2 2 2 3" xfId="14316"/>
    <cellStyle name="Normal 9 5 2 2 2 4" xfId="20594"/>
    <cellStyle name="Normal 9 5 2 2 3" xfId="8236"/>
    <cellStyle name="Normal 9 5 2 2 3 2" xfId="8237"/>
    <cellStyle name="Normal 9 5 2 2 3 2 2" xfId="14319"/>
    <cellStyle name="Normal 9 5 2 2 3 2 3" xfId="20597"/>
    <cellStyle name="Normal 9 5 2 2 3 3" xfId="14318"/>
    <cellStyle name="Normal 9 5 2 2 3 4" xfId="20596"/>
    <cellStyle name="Normal 9 5 2 2 4" xfId="8238"/>
    <cellStyle name="Normal 9 5 2 2 4 2" xfId="14320"/>
    <cellStyle name="Normal 9 5 2 2 4 3" xfId="20598"/>
    <cellStyle name="Normal 9 5 2 2 5" xfId="8239"/>
    <cellStyle name="Normal 9 5 2 2 5 2" xfId="14321"/>
    <cellStyle name="Normal 9 5 2 2 5 3" xfId="20599"/>
    <cellStyle name="Normal 9 5 2 2 6" xfId="14315"/>
    <cellStyle name="Normal 9 5 2 2 7" xfId="20593"/>
    <cellStyle name="Normal 9 5 2 3" xfId="8240"/>
    <cellStyle name="Normal 9 5 2 3 2" xfId="8241"/>
    <cellStyle name="Normal 9 5 2 3 2 2" xfId="14323"/>
    <cellStyle name="Normal 9 5 2 3 2 3" xfId="20601"/>
    <cellStyle name="Normal 9 5 2 3 3" xfId="8242"/>
    <cellStyle name="Normal 9 5 2 3 3 2" xfId="14324"/>
    <cellStyle name="Normal 9 5 2 3 3 3" xfId="20602"/>
    <cellStyle name="Normal 9 5 2 3 4" xfId="14322"/>
    <cellStyle name="Normal 9 5 2 3 5" xfId="20600"/>
    <cellStyle name="Normal 9 5 2 4" xfId="8243"/>
    <cellStyle name="Normal 9 5 2 4 2" xfId="8244"/>
    <cellStyle name="Normal 9 5 2 4 2 2" xfId="14326"/>
    <cellStyle name="Normal 9 5 2 4 2 3" xfId="20604"/>
    <cellStyle name="Normal 9 5 2 4 3" xfId="8245"/>
    <cellStyle name="Normal 9 5 2 4 3 2" xfId="14327"/>
    <cellStyle name="Normal 9 5 2 4 3 3" xfId="20605"/>
    <cellStyle name="Normal 9 5 2 4 4" xfId="14325"/>
    <cellStyle name="Normal 9 5 2 4 5" xfId="20603"/>
    <cellStyle name="Normal 9 5 2 5" xfId="8246"/>
    <cellStyle name="Normal 9 5 2 5 2" xfId="14328"/>
    <cellStyle name="Normal 9 5 2 5 3" xfId="20606"/>
    <cellStyle name="Normal 9 5 2 6" xfId="8247"/>
    <cellStyle name="Normal 9 5 2 6 2" xfId="14329"/>
    <cellStyle name="Normal 9 5 2 6 3" xfId="20607"/>
    <cellStyle name="Normal 9 5 2 7" xfId="14314"/>
    <cellStyle name="Normal 9 5 2 8" xfId="20592"/>
    <cellStyle name="Normal 9 5 3" xfId="8248"/>
    <cellStyle name="Normal 9 5 3 2" xfId="8249"/>
    <cellStyle name="Normal 9 5 3 2 2" xfId="8250"/>
    <cellStyle name="Normal 9 5 3 2 2 2" xfId="8251"/>
    <cellStyle name="Normal 9 5 3 2 2 2 2" xfId="14333"/>
    <cellStyle name="Normal 9 5 3 2 2 2 3" xfId="20611"/>
    <cellStyle name="Normal 9 5 3 2 2 3" xfId="8252"/>
    <cellStyle name="Normal 9 5 3 2 2 3 2" xfId="14334"/>
    <cellStyle name="Normal 9 5 3 2 2 3 3" xfId="20612"/>
    <cellStyle name="Normal 9 5 3 2 2 4" xfId="14332"/>
    <cellStyle name="Normal 9 5 3 2 2 5" xfId="20610"/>
    <cellStyle name="Normal 9 5 3 2 3" xfId="8253"/>
    <cellStyle name="Normal 9 5 3 2 3 2" xfId="8254"/>
    <cellStyle name="Normal 9 5 3 2 3 2 2" xfId="14336"/>
    <cellStyle name="Normal 9 5 3 2 3 2 3" xfId="20614"/>
    <cellStyle name="Normal 9 5 3 2 3 3" xfId="8255"/>
    <cellStyle name="Normal 9 5 3 2 3 3 2" xfId="14337"/>
    <cellStyle name="Normal 9 5 3 2 3 3 3" xfId="20615"/>
    <cellStyle name="Normal 9 5 3 2 3 4" xfId="14335"/>
    <cellStyle name="Normal 9 5 3 2 3 5" xfId="20613"/>
    <cellStyle name="Normal 9 5 3 2 4" xfId="8256"/>
    <cellStyle name="Normal 9 5 3 2 4 2" xfId="14338"/>
    <cellStyle name="Normal 9 5 3 2 4 3" xfId="20616"/>
    <cellStyle name="Normal 9 5 3 2 5" xfId="8257"/>
    <cellStyle name="Normal 9 5 3 2 5 2" xfId="14339"/>
    <cellStyle name="Normal 9 5 3 2 5 3" xfId="20617"/>
    <cellStyle name="Normal 9 5 3 2 6" xfId="14331"/>
    <cellStyle name="Normal 9 5 3 2 7" xfId="20609"/>
    <cellStyle name="Normal 9 5 3 3" xfId="8258"/>
    <cellStyle name="Normal 9 5 3 3 2" xfId="8259"/>
    <cellStyle name="Normal 9 5 3 3 2 2" xfId="14341"/>
    <cellStyle name="Normal 9 5 3 3 2 3" xfId="20619"/>
    <cellStyle name="Normal 9 5 3 3 3" xfId="8260"/>
    <cellStyle name="Normal 9 5 3 3 3 2" xfId="14342"/>
    <cellStyle name="Normal 9 5 3 3 3 3" xfId="20620"/>
    <cellStyle name="Normal 9 5 3 3 4" xfId="8261"/>
    <cellStyle name="Normal 9 5 3 3 4 2" xfId="14343"/>
    <cellStyle name="Normal 9 5 3 3 4 3" xfId="20621"/>
    <cellStyle name="Normal 9 5 3 3 5" xfId="8262"/>
    <cellStyle name="Normal 9 5 3 3 5 2" xfId="14344"/>
    <cellStyle name="Normal 9 5 3 3 5 3" xfId="20622"/>
    <cellStyle name="Normal 9 5 3 3 6" xfId="14340"/>
    <cellStyle name="Normal 9 5 3 3 7" xfId="20618"/>
    <cellStyle name="Normal 9 5 3 4" xfId="8263"/>
    <cellStyle name="Normal 9 5 3 4 2" xfId="8264"/>
    <cellStyle name="Normal 9 5 3 4 2 2" xfId="14346"/>
    <cellStyle name="Normal 9 5 3 4 2 3" xfId="20624"/>
    <cellStyle name="Normal 9 5 3 4 3" xfId="8265"/>
    <cellStyle name="Normal 9 5 3 4 3 2" xfId="14347"/>
    <cellStyle name="Normal 9 5 3 4 3 3" xfId="20625"/>
    <cellStyle name="Normal 9 5 3 4 4" xfId="14345"/>
    <cellStyle name="Normal 9 5 3 4 5" xfId="20623"/>
    <cellStyle name="Normal 9 5 3 5" xfId="8266"/>
    <cellStyle name="Normal 9 5 3 5 2" xfId="8267"/>
    <cellStyle name="Normal 9 5 3 5 2 2" xfId="14349"/>
    <cellStyle name="Normal 9 5 3 5 2 3" xfId="20627"/>
    <cellStyle name="Normal 9 5 3 5 3" xfId="8268"/>
    <cellStyle name="Normal 9 5 3 5 3 2" xfId="14350"/>
    <cellStyle name="Normal 9 5 3 5 3 3" xfId="20628"/>
    <cellStyle name="Normal 9 5 3 5 4" xfId="14348"/>
    <cellStyle name="Normal 9 5 3 5 5" xfId="20626"/>
    <cellStyle name="Normal 9 5 3 6" xfId="8269"/>
    <cellStyle name="Normal 9 5 3 6 2" xfId="14351"/>
    <cellStyle name="Normal 9 5 3 6 3" xfId="20629"/>
    <cellStyle name="Normal 9 5 3 7" xfId="8270"/>
    <cellStyle name="Normal 9 5 3 7 2" xfId="14352"/>
    <cellStyle name="Normal 9 5 3 7 3" xfId="20630"/>
    <cellStyle name="Normal 9 5 3 8" xfId="14330"/>
    <cellStyle name="Normal 9 5 3 9" xfId="20608"/>
    <cellStyle name="Normal 9 5 4" xfId="8271"/>
    <cellStyle name="Normal 9 5 4 2" xfId="8272"/>
    <cellStyle name="Normal 9 5 4 2 2" xfId="8273"/>
    <cellStyle name="Normal 9 5 4 2 2 2" xfId="14355"/>
    <cellStyle name="Normal 9 5 4 2 2 3" xfId="20633"/>
    <cellStyle name="Normal 9 5 4 2 3" xfId="8274"/>
    <cellStyle name="Normal 9 5 4 2 3 2" xfId="14356"/>
    <cellStyle name="Normal 9 5 4 2 3 3" xfId="20634"/>
    <cellStyle name="Normal 9 5 4 2 4" xfId="14354"/>
    <cellStyle name="Normal 9 5 4 2 5" xfId="20632"/>
    <cellStyle name="Normal 9 5 4 3" xfId="8275"/>
    <cellStyle name="Normal 9 5 4 3 2" xfId="8276"/>
    <cellStyle name="Normal 9 5 4 3 2 2" xfId="14358"/>
    <cellStyle name="Normal 9 5 4 3 2 3" xfId="20636"/>
    <cellStyle name="Normal 9 5 4 3 3" xfId="8277"/>
    <cellStyle name="Normal 9 5 4 3 3 2" xfId="14359"/>
    <cellStyle name="Normal 9 5 4 3 3 3" xfId="20637"/>
    <cellStyle name="Normal 9 5 4 3 4" xfId="14357"/>
    <cellStyle name="Normal 9 5 4 3 5" xfId="20635"/>
    <cellStyle name="Normal 9 5 4 4" xfId="8278"/>
    <cellStyle name="Normal 9 5 4 4 2" xfId="14360"/>
    <cellStyle name="Normal 9 5 4 4 3" xfId="20638"/>
    <cellStyle name="Normal 9 5 4 5" xfId="8279"/>
    <cellStyle name="Normal 9 5 4 5 2" xfId="14361"/>
    <cellStyle name="Normal 9 5 4 5 3" xfId="20639"/>
    <cellStyle name="Normal 9 5 4 6" xfId="14353"/>
    <cellStyle name="Normal 9 5 4 7" xfId="20631"/>
    <cellStyle name="Normal 9 5 5" xfId="8280"/>
    <cellStyle name="Normal 9 5 5 2" xfId="8281"/>
    <cellStyle name="Normal 9 5 5 2 2" xfId="14363"/>
    <cellStyle name="Normal 9 5 5 2 3" xfId="20641"/>
    <cellStyle name="Normal 9 5 5 3" xfId="8282"/>
    <cellStyle name="Normal 9 5 5 3 2" xfId="14364"/>
    <cellStyle name="Normal 9 5 5 3 3" xfId="20642"/>
    <cellStyle name="Normal 9 5 5 4" xfId="8283"/>
    <cellStyle name="Normal 9 5 5 4 2" xfId="14365"/>
    <cellStyle name="Normal 9 5 5 4 3" xfId="20643"/>
    <cellStyle name="Normal 9 5 5 5" xfId="8284"/>
    <cellStyle name="Normal 9 5 5 5 2" xfId="14366"/>
    <cellStyle name="Normal 9 5 5 5 3" xfId="20644"/>
    <cellStyle name="Normal 9 5 5 6" xfId="14362"/>
    <cellStyle name="Normal 9 5 5 7" xfId="20640"/>
    <cellStyle name="Normal 9 5 6" xfId="8285"/>
    <cellStyle name="Normal 9 5 6 2" xfId="8286"/>
    <cellStyle name="Normal 9 5 6 2 2" xfId="14368"/>
    <cellStyle name="Normal 9 5 6 2 3" xfId="20646"/>
    <cellStyle name="Normal 9 5 6 3" xfId="8287"/>
    <cellStyle name="Normal 9 5 6 3 2" xfId="14369"/>
    <cellStyle name="Normal 9 5 6 3 3" xfId="20647"/>
    <cellStyle name="Normal 9 5 6 4" xfId="14367"/>
    <cellStyle name="Normal 9 5 6 5" xfId="20645"/>
    <cellStyle name="Normal 9 5 7" xfId="8288"/>
    <cellStyle name="Normal 9 5 7 2" xfId="8289"/>
    <cellStyle name="Normal 9 5 7 2 2" xfId="14371"/>
    <cellStyle name="Normal 9 5 7 2 3" xfId="20649"/>
    <cellStyle name="Normal 9 5 7 3" xfId="8290"/>
    <cellStyle name="Normal 9 5 7 3 2" xfId="14372"/>
    <cellStyle name="Normal 9 5 7 3 3" xfId="20650"/>
    <cellStyle name="Normal 9 5 7 4" xfId="14370"/>
    <cellStyle name="Normal 9 5 7 5" xfId="20648"/>
    <cellStyle name="Normal 9 5 8" xfId="8291"/>
    <cellStyle name="Normal 9 5 8 2" xfId="14373"/>
    <cellStyle name="Normal 9 5 8 3" xfId="20651"/>
    <cellStyle name="Normal 9 5 9" xfId="8292"/>
    <cellStyle name="Normal 9 5 9 2" xfId="14374"/>
    <cellStyle name="Normal 9 5 9 3" xfId="20652"/>
    <cellStyle name="Normal 9 5_10070" xfId="8293"/>
    <cellStyle name="Normal 9 6" xfId="8294"/>
    <cellStyle name="Normal 9 6 2" xfId="8295"/>
    <cellStyle name="Normal 9 6 2 2" xfId="8296"/>
    <cellStyle name="Normal 9 6 2 2 2" xfId="8297"/>
    <cellStyle name="Normal 9 6 2 2 2 2" xfId="14378"/>
    <cellStyle name="Normal 9 6 2 2 2 3" xfId="20656"/>
    <cellStyle name="Normal 9 6 2 2 3" xfId="14377"/>
    <cellStyle name="Normal 9 6 2 2 4" xfId="20655"/>
    <cellStyle name="Normal 9 6 2 3" xfId="8298"/>
    <cellStyle name="Normal 9 6 2 3 2" xfId="8299"/>
    <cellStyle name="Normal 9 6 2 3 2 2" xfId="14380"/>
    <cellStyle name="Normal 9 6 2 3 2 3" xfId="20658"/>
    <cellStyle name="Normal 9 6 2 3 3" xfId="14379"/>
    <cellStyle name="Normal 9 6 2 3 4" xfId="20657"/>
    <cellStyle name="Normal 9 6 2 4" xfId="8300"/>
    <cellStyle name="Normal 9 6 2 4 2" xfId="14381"/>
    <cellStyle name="Normal 9 6 2 4 3" xfId="20659"/>
    <cellStyle name="Normal 9 6 2 5" xfId="14376"/>
    <cellStyle name="Normal 9 6 2 6" xfId="20654"/>
    <cellStyle name="Normal 9 6 3" xfId="8301"/>
    <cellStyle name="Normal 9 6 3 2" xfId="8302"/>
    <cellStyle name="Normal 9 6 3 2 2" xfId="14383"/>
    <cellStyle name="Normal 9 6 3 2 3" xfId="20661"/>
    <cellStyle name="Normal 9 6 3 3" xfId="8303"/>
    <cellStyle name="Normal 9 6 3 3 2" xfId="14384"/>
    <cellStyle name="Normal 9 6 3 3 3" xfId="20662"/>
    <cellStyle name="Normal 9 6 3 4" xfId="14382"/>
    <cellStyle name="Normal 9 6 3 5" xfId="20660"/>
    <cellStyle name="Normal 9 6 4" xfId="8304"/>
    <cellStyle name="Normal 9 6 4 2" xfId="8305"/>
    <cellStyle name="Normal 9 6 4 2 2" xfId="14386"/>
    <cellStyle name="Normal 9 6 4 2 3" xfId="20664"/>
    <cellStyle name="Normal 9 6 4 3" xfId="14385"/>
    <cellStyle name="Normal 9 6 4 4" xfId="20663"/>
    <cellStyle name="Normal 9 6 5" xfId="8306"/>
    <cellStyle name="Normal 9 6 5 2" xfId="14387"/>
    <cellStyle name="Normal 9 6 5 3" xfId="20665"/>
    <cellStyle name="Normal 9 6 6" xfId="14375"/>
    <cellStyle name="Normal 9 6 7" xfId="20653"/>
    <cellStyle name="Normal 9 7" xfId="8307"/>
    <cellStyle name="Normal 9 7 2" xfId="8308"/>
    <cellStyle name="Normal 9 7 2 2" xfId="8309"/>
    <cellStyle name="Normal 9 7 2 2 2" xfId="14390"/>
    <cellStyle name="Normal 9 7 2 2 3" xfId="20668"/>
    <cellStyle name="Normal 9 7 2 3" xfId="14389"/>
    <cellStyle name="Normal 9 7 2 4" xfId="20667"/>
    <cellStyle name="Normal 9 7 3" xfId="8310"/>
    <cellStyle name="Normal 9 7 3 2" xfId="8311"/>
    <cellStyle name="Normal 9 7 3 2 2" xfId="14392"/>
    <cellStyle name="Normal 9 7 3 2 3" xfId="20670"/>
    <cellStyle name="Normal 9 7 3 3" xfId="14391"/>
    <cellStyle name="Normal 9 7 3 4" xfId="20669"/>
    <cellStyle name="Normal 9 7 4" xfId="8312"/>
    <cellStyle name="Normal 9 7 4 2" xfId="14393"/>
    <cellStyle name="Normal 9 7 4 3" xfId="20671"/>
    <cellStyle name="Normal 9 7 5" xfId="8313"/>
    <cellStyle name="Normal 9 7 5 2" xfId="14394"/>
    <cellStyle name="Normal 9 7 5 3" xfId="20672"/>
    <cellStyle name="Normal 9 7 6" xfId="14388"/>
    <cellStyle name="Normal 9 7 7" xfId="20666"/>
    <cellStyle name="Normal 9 8" xfId="8314"/>
    <cellStyle name="Normal 9 8 2" xfId="8315"/>
    <cellStyle name="Normal 9 8 2 2" xfId="14396"/>
    <cellStyle name="Normal 9 8 2 3" xfId="20674"/>
    <cellStyle name="Normal 9 8 3" xfId="8316"/>
    <cellStyle name="Normal 9 8 3 2" xfId="14397"/>
    <cellStyle name="Normal 9 8 3 3" xfId="20675"/>
    <cellStyle name="Normal 9 8 4" xfId="14395"/>
    <cellStyle name="Normal 9 8 5" xfId="20673"/>
    <cellStyle name="Normal 9 9" xfId="8317"/>
    <cellStyle name="Normal 9 9 2" xfId="8318"/>
    <cellStyle name="Normal 9 9 2 2" xfId="14399"/>
    <cellStyle name="Normal 9 9 2 3" xfId="20677"/>
    <cellStyle name="Normal 9 9 3" xfId="8319"/>
    <cellStyle name="Normal 9 9 3 2" xfId="14400"/>
    <cellStyle name="Normal 9 9 3 3" xfId="20678"/>
    <cellStyle name="Normal 9 9 4" xfId="14398"/>
    <cellStyle name="Normal 9 9 5" xfId="20676"/>
    <cellStyle name="Normal 9_2180" xfId="14401"/>
    <cellStyle name="Normal 90" xfId="8320"/>
    <cellStyle name="Normal 90 2" xfId="8321"/>
    <cellStyle name="Normal 90 2 2" xfId="14403"/>
    <cellStyle name="Normal 90 2 3" xfId="20680"/>
    <cellStyle name="Normal 90 3" xfId="8322"/>
    <cellStyle name="Normal 90 3 2" xfId="20681"/>
    <cellStyle name="Normal 90 4" xfId="14402"/>
    <cellStyle name="Normal 90 5" xfId="20679"/>
    <cellStyle name="Normal 91" xfId="8323"/>
    <cellStyle name="Normal 91 2" xfId="8324"/>
    <cellStyle name="Normal 91 2 2" xfId="20683"/>
    <cellStyle name="Normal 91 3" xfId="14404"/>
    <cellStyle name="Normal 91 4" xfId="20682"/>
    <cellStyle name="Normal 92" xfId="8325"/>
    <cellStyle name="Normal 92 2" xfId="8326"/>
    <cellStyle name="Normal 92 2 2" xfId="8327"/>
    <cellStyle name="Normal 92 2 2 2" xfId="14407"/>
    <cellStyle name="Normal 92 2 2 3" xfId="20686"/>
    <cellStyle name="Normal 92 2 3" xfId="14406"/>
    <cellStyle name="Normal 92 2 4" xfId="20685"/>
    <cellStyle name="Normal 92 3" xfId="8328"/>
    <cellStyle name="Normal 92 3 2" xfId="20687"/>
    <cellStyle name="Normal 92 4" xfId="14405"/>
    <cellStyle name="Normal 92 5" xfId="20684"/>
    <cellStyle name="Normal 93" xfId="8329"/>
    <cellStyle name="Normal 93 2" xfId="8330"/>
    <cellStyle name="Normal 93 2 2" xfId="14409"/>
    <cellStyle name="Normal 93 2 3" xfId="20689"/>
    <cellStyle name="Normal 93 3" xfId="8331"/>
    <cellStyle name="Normal 93 3 2" xfId="14410"/>
    <cellStyle name="Normal 93 3 3" xfId="20690"/>
    <cellStyle name="Normal 93 4" xfId="8332"/>
    <cellStyle name="Normal 93 4 2" xfId="20691"/>
    <cellStyle name="Normal 93 5" xfId="14408"/>
    <cellStyle name="Normal 93 6" xfId="20688"/>
    <cellStyle name="Normal 94" xfId="8333"/>
    <cellStyle name="Normal 94 2" xfId="8334"/>
    <cellStyle name="Normal 94 2 2" xfId="14412"/>
    <cellStyle name="Normal 94 2 3" xfId="20693"/>
    <cellStyle name="Normal 94 3" xfId="8335"/>
    <cellStyle name="Normal 94 3 2" xfId="14413"/>
    <cellStyle name="Normal 94 3 3" xfId="20694"/>
    <cellStyle name="Normal 94 4" xfId="8336"/>
    <cellStyle name="Normal 94 4 2" xfId="20695"/>
    <cellStyle name="Normal 94 5" xfId="14411"/>
    <cellStyle name="Normal 94 6" xfId="20692"/>
    <cellStyle name="Normal 95" xfId="8337"/>
    <cellStyle name="Normal 95 2" xfId="8338"/>
    <cellStyle name="Normal 95 2 2" xfId="14415"/>
    <cellStyle name="Normal 95 2 3" xfId="20697"/>
    <cellStyle name="Normal 95 3" xfId="8339"/>
    <cellStyle name="Normal 95 3 2" xfId="14416"/>
    <cellStyle name="Normal 95 3 3" xfId="20698"/>
    <cellStyle name="Normal 95 4" xfId="8340"/>
    <cellStyle name="Normal 95 4 2" xfId="20699"/>
    <cellStyle name="Normal 95 5" xfId="14414"/>
    <cellStyle name="Normal 95 6" xfId="20696"/>
    <cellStyle name="Normal 96" xfId="8341"/>
    <cellStyle name="Normal 96 2" xfId="8342"/>
    <cellStyle name="Normal 96 2 2" xfId="14418"/>
    <cellStyle name="Normal 96 2 3" xfId="20701"/>
    <cellStyle name="Normal 96 3" xfId="8343"/>
    <cellStyle name="Normal 96 3 2" xfId="14419"/>
    <cellStyle name="Normal 96 3 3" xfId="20702"/>
    <cellStyle name="Normal 96 4" xfId="8344"/>
    <cellStyle name="Normal 96 4 2" xfId="20703"/>
    <cellStyle name="Normal 96 5" xfId="14417"/>
    <cellStyle name="Normal 96 6" xfId="20700"/>
    <cellStyle name="Normal 97" xfId="8345"/>
    <cellStyle name="Normal 97 2" xfId="8346"/>
    <cellStyle name="Normal 97 2 2" xfId="14421"/>
    <cellStyle name="Normal 97 2 3" xfId="20705"/>
    <cellStyle name="Normal 97 3" xfId="8347"/>
    <cellStyle name="Normal 97 3 2" xfId="14422"/>
    <cellStyle name="Normal 97 3 3" xfId="20706"/>
    <cellStyle name="Normal 97 4" xfId="8348"/>
    <cellStyle name="Normal 97 4 2" xfId="20707"/>
    <cellStyle name="Normal 97 5" xfId="14420"/>
    <cellStyle name="Normal 97 6" xfId="20704"/>
    <cellStyle name="Normal 98" xfId="8349"/>
    <cellStyle name="Normal 98 2" xfId="8350"/>
    <cellStyle name="Normal 98 2 2" xfId="8351"/>
    <cellStyle name="Normal 98 2 2 2" xfId="14425"/>
    <cellStyle name="Normal 98 2 2 3" xfId="20710"/>
    <cellStyle name="Normal 98 2 3" xfId="14424"/>
    <cellStyle name="Normal 98 2 4" xfId="20709"/>
    <cellStyle name="Normal 98 3" xfId="8352"/>
    <cellStyle name="Normal 98 3 2" xfId="20711"/>
    <cellStyle name="Normal 98 4" xfId="14423"/>
    <cellStyle name="Normal 98 5" xfId="20708"/>
    <cellStyle name="Normal 99" xfId="8353"/>
    <cellStyle name="Normal 99 2" xfId="8354"/>
    <cellStyle name="Normal 99 2 2" xfId="14427"/>
    <cellStyle name="Normal 99 2 3" xfId="20713"/>
    <cellStyle name="Normal 99 3" xfId="8355"/>
    <cellStyle name="Normal 99 3 2" xfId="14428"/>
    <cellStyle name="Normal 99 3 3" xfId="20714"/>
    <cellStyle name="Normal 99 4" xfId="8356"/>
    <cellStyle name="Normal 99 4 2" xfId="14429"/>
    <cellStyle name="Normal 99 4 3" xfId="20715"/>
    <cellStyle name="Normal 99 5" xfId="8357"/>
    <cellStyle name="Normal 99 5 2" xfId="20716"/>
    <cellStyle name="Normal 99 6" xfId="14426"/>
    <cellStyle name="Normal 99 7" xfId="20712"/>
    <cellStyle name="Normal_Depr 2144 3-31-12" xfId="23019"/>
    <cellStyle name="Normal_Report" xfId="23022"/>
    <cellStyle name="Note 2" xfId="8358"/>
    <cellStyle name="Note 2 2" xfId="8359"/>
    <cellStyle name="Note 2 2 2" xfId="8360"/>
    <cellStyle name="Note 2 2 2 2" xfId="8361"/>
    <cellStyle name="Note 2 2 2 2 2" xfId="14433"/>
    <cellStyle name="Note 2 2 2 2 3" xfId="20720"/>
    <cellStyle name="Note 2 2 2 3" xfId="8362"/>
    <cellStyle name="Note 2 2 2 3 2" xfId="14434"/>
    <cellStyle name="Note 2 2 2 3 3" xfId="20721"/>
    <cellStyle name="Note 2 2 2 4" xfId="8363"/>
    <cellStyle name="Note 2 2 2 4 2" xfId="14435"/>
    <cellStyle name="Note 2 2 2 4 3" xfId="20722"/>
    <cellStyle name="Note 2 2 2 5" xfId="8364"/>
    <cellStyle name="Note 2 2 2 5 2" xfId="14436"/>
    <cellStyle name="Note 2 2 2 5 3" xfId="20723"/>
    <cellStyle name="Note 2 2 2 6" xfId="14432"/>
    <cellStyle name="Note 2 2 2 7" xfId="20719"/>
    <cellStyle name="Note 2 2 3" xfId="8365"/>
    <cellStyle name="Note 2 2 3 2" xfId="8366"/>
    <cellStyle name="Note 2 2 3 2 2" xfId="14438"/>
    <cellStyle name="Note 2 2 3 2 3" xfId="20725"/>
    <cellStyle name="Note 2 2 3 3" xfId="8367"/>
    <cellStyle name="Note 2 2 3 3 2" xfId="14439"/>
    <cellStyle name="Note 2 2 3 3 3" xfId="20726"/>
    <cellStyle name="Note 2 2 3 4" xfId="8368"/>
    <cellStyle name="Note 2 2 3 4 2" xfId="14440"/>
    <cellStyle name="Note 2 2 3 4 3" xfId="20727"/>
    <cellStyle name="Note 2 2 3 5" xfId="8369"/>
    <cellStyle name="Note 2 2 3 5 2" xfId="14441"/>
    <cellStyle name="Note 2 2 3 5 3" xfId="20728"/>
    <cellStyle name="Note 2 2 3 6" xfId="14437"/>
    <cellStyle name="Note 2 2 3 7" xfId="20724"/>
    <cellStyle name="Note 2 2 4" xfId="8370"/>
    <cellStyle name="Note 2 2 4 2" xfId="20729"/>
    <cellStyle name="Note 2 2 5" xfId="14431"/>
    <cellStyle name="Note 2 2 6" xfId="20718"/>
    <cellStyle name="Note 2 3" xfId="8371"/>
    <cellStyle name="Note 2 3 2" xfId="8372"/>
    <cellStyle name="Note 2 3 2 2" xfId="8373"/>
    <cellStyle name="Note 2 3 2 2 2" xfId="14444"/>
    <cellStyle name="Note 2 3 2 2 3" xfId="20732"/>
    <cellStyle name="Note 2 3 2 3" xfId="8374"/>
    <cellStyle name="Note 2 3 2 3 2" xfId="14445"/>
    <cellStyle name="Note 2 3 2 3 3" xfId="20733"/>
    <cellStyle name="Note 2 3 2 4" xfId="8375"/>
    <cellStyle name="Note 2 3 2 4 2" xfId="14446"/>
    <cellStyle name="Note 2 3 2 4 3" xfId="20734"/>
    <cellStyle name="Note 2 3 2 5" xfId="8376"/>
    <cellStyle name="Note 2 3 2 5 2" xfId="14447"/>
    <cellStyle name="Note 2 3 2 5 3" xfId="20735"/>
    <cellStyle name="Note 2 3 2 6" xfId="14443"/>
    <cellStyle name="Note 2 3 2 7" xfId="20731"/>
    <cellStyle name="Note 2 3 3" xfId="8377"/>
    <cellStyle name="Note 2 3 3 2" xfId="14448"/>
    <cellStyle name="Note 2 3 3 3" xfId="20736"/>
    <cellStyle name="Note 2 3 4" xfId="8378"/>
    <cellStyle name="Note 2 3 4 2" xfId="20737"/>
    <cellStyle name="Note 2 3 5" xfId="14442"/>
    <cellStyle name="Note 2 3 6" xfId="20730"/>
    <cellStyle name="Note 2 4" xfId="8379"/>
    <cellStyle name="Note 2 4 2" xfId="8380"/>
    <cellStyle name="Note 2 4 2 2" xfId="8381"/>
    <cellStyle name="Note 2 4 2 2 2" xfId="14451"/>
    <cellStyle name="Note 2 4 2 2 3" xfId="20740"/>
    <cellStyle name="Note 2 4 2 3" xfId="8382"/>
    <cellStyle name="Note 2 4 2 3 2" xfId="14452"/>
    <cellStyle name="Note 2 4 2 3 3" xfId="20741"/>
    <cellStyle name="Note 2 4 2 4" xfId="8383"/>
    <cellStyle name="Note 2 4 2 4 2" xfId="14453"/>
    <cellStyle name="Note 2 4 2 4 3" xfId="20742"/>
    <cellStyle name="Note 2 4 2 5" xfId="8384"/>
    <cellStyle name="Note 2 4 2 5 2" xfId="14454"/>
    <cellStyle name="Note 2 4 2 5 3" xfId="20743"/>
    <cellStyle name="Note 2 4 2 6" xfId="14450"/>
    <cellStyle name="Note 2 4 2 7" xfId="20739"/>
    <cellStyle name="Note 2 4 3" xfId="8385"/>
    <cellStyle name="Note 2 4 3 2" xfId="14455"/>
    <cellStyle name="Note 2 4 3 3" xfId="20744"/>
    <cellStyle name="Note 2 4 4" xfId="8386"/>
    <cellStyle name="Note 2 4 4 2" xfId="20745"/>
    <cellStyle name="Note 2 4 5" xfId="14449"/>
    <cellStyle name="Note 2 4 6" xfId="20738"/>
    <cellStyle name="Note 2 5" xfId="8387"/>
    <cellStyle name="Note 2 5 2" xfId="8388"/>
    <cellStyle name="Note 2 5 2 2" xfId="14457"/>
    <cellStyle name="Note 2 5 2 3" xfId="20747"/>
    <cellStyle name="Note 2 5 3" xfId="8389"/>
    <cellStyle name="Note 2 5 3 2" xfId="14458"/>
    <cellStyle name="Note 2 5 3 3" xfId="20748"/>
    <cellStyle name="Note 2 5 4" xfId="8390"/>
    <cellStyle name="Note 2 5 4 2" xfId="14459"/>
    <cellStyle name="Note 2 5 4 3" xfId="20749"/>
    <cellStyle name="Note 2 5 5" xfId="8391"/>
    <cellStyle name="Note 2 5 5 2" xfId="14460"/>
    <cellStyle name="Note 2 5 5 3" xfId="20750"/>
    <cellStyle name="Note 2 5 6" xfId="14456"/>
    <cellStyle name="Note 2 5 7" xfId="20746"/>
    <cellStyle name="Note 2 6" xfId="8392"/>
    <cellStyle name="Note 2 6 2" xfId="14461"/>
    <cellStyle name="Note 2 6 3" xfId="20751"/>
    <cellStyle name="Note 2 7" xfId="8393"/>
    <cellStyle name="Note 2 7 2" xfId="20752"/>
    <cellStyle name="Note 2 8" xfId="14430"/>
    <cellStyle name="Note 2 9" xfId="20717"/>
    <cellStyle name="Note 3" xfId="8394"/>
    <cellStyle name="Note 3 2" xfId="8395"/>
    <cellStyle name="Note 3 2 2" xfId="8396"/>
    <cellStyle name="Note 3 2 2 2" xfId="8397"/>
    <cellStyle name="Note 3 2 2 2 2" xfId="14465"/>
    <cellStyle name="Note 3 2 2 2 3" xfId="20756"/>
    <cellStyle name="Note 3 2 2 3" xfId="8398"/>
    <cellStyle name="Note 3 2 2 3 2" xfId="14466"/>
    <cellStyle name="Note 3 2 2 3 3" xfId="20757"/>
    <cellStyle name="Note 3 2 2 4" xfId="8399"/>
    <cellStyle name="Note 3 2 2 4 2" xfId="14467"/>
    <cellStyle name="Note 3 2 2 4 3" xfId="20758"/>
    <cellStyle name="Note 3 2 2 5" xfId="8400"/>
    <cellStyle name="Note 3 2 2 5 2" xfId="14468"/>
    <cellStyle name="Note 3 2 2 5 3" xfId="20759"/>
    <cellStyle name="Note 3 2 2 6" xfId="14464"/>
    <cellStyle name="Note 3 2 2 7" xfId="20755"/>
    <cellStyle name="Note 3 2 3" xfId="8401"/>
    <cellStyle name="Note 3 2 3 2" xfId="8402"/>
    <cellStyle name="Note 3 2 3 2 2" xfId="14470"/>
    <cellStyle name="Note 3 2 3 2 3" xfId="20761"/>
    <cellStyle name="Note 3 2 3 3" xfId="8403"/>
    <cellStyle name="Note 3 2 3 3 2" xfId="14471"/>
    <cellStyle name="Note 3 2 3 3 3" xfId="20762"/>
    <cellStyle name="Note 3 2 3 4" xfId="8404"/>
    <cellStyle name="Note 3 2 3 4 2" xfId="14472"/>
    <cellStyle name="Note 3 2 3 4 3" xfId="20763"/>
    <cellStyle name="Note 3 2 3 5" xfId="8405"/>
    <cellStyle name="Note 3 2 3 5 2" xfId="14473"/>
    <cellStyle name="Note 3 2 3 5 3" xfId="20764"/>
    <cellStyle name="Note 3 2 3 6" xfId="14469"/>
    <cellStyle name="Note 3 2 3 7" xfId="20760"/>
    <cellStyle name="Note 3 2 4" xfId="8406"/>
    <cellStyle name="Note 3 2 4 2" xfId="20765"/>
    <cellStyle name="Note 3 2 5" xfId="14463"/>
    <cellStyle name="Note 3 2 6" xfId="20754"/>
    <cellStyle name="Note 3 3" xfId="8407"/>
    <cellStyle name="Note 3 3 2" xfId="8408"/>
    <cellStyle name="Note 3 3 2 2" xfId="8409"/>
    <cellStyle name="Note 3 3 2 2 2" xfId="14476"/>
    <cellStyle name="Note 3 3 2 2 3" xfId="20768"/>
    <cellStyle name="Note 3 3 2 3" xfId="8410"/>
    <cellStyle name="Note 3 3 2 3 2" xfId="14477"/>
    <cellStyle name="Note 3 3 2 3 3" xfId="20769"/>
    <cellStyle name="Note 3 3 2 4" xfId="8411"/>
    <cellStyle name="Note 3 3 2 4 2" xfId="14478"/>
    <cellStyle name="Note 3 3 2 4 3" xfId="20770"/>
    <cellStyle name="Note 3 3 2 5" xfId="8412"/>
    <cellStyle name="Note 3 3 2 5 2" xfId="14479"/>
    <cellStyle name="Note 3 3 2 5 3" xfId="20771"/>
    <cellStyle name="Note 3 3 2 6" xfId="14475"/>
    <cellStyle name="Note 3 3 2 7" xfId="20767"/>
    <cellStyle name="Note 3 3 3" xfId="8413"/>
    <cellStyle name="Note 3 3 3 2" xfId="14480"/>
    <cellStyle name="Note 3 3 3 3" xfId="20772"/>
    <cellStyle name="Note 3 3 4" xfId="8414"/>
    <cellStyle name="Note 3 3 4 2" xfId="20773"/>
    <cellStyle name="Note 3 3 5" xfId="14474"/>
    <cellStyle name="Note 3 3 6" xfId="20766"/>
    <cellStyle name="Note 3 4" xfId="8415"/>
    <cellStyle name="Note 3 4 2" xfId="8416"/>
    <cellStyle name="Note 3 4 2 2" xfId="8417"/>
    <cellStyle name="Note 3 4 2 2 2" xfId="14483"/>
    <cellStyle name="Note 3 4 2 2 3" xfId="20776"/>
    <cellStyle name="Note 3 4 2 3" xfId="8418"/>
    <cellStyle name="Note 3 4 2 3 2" xfId="14484"/>
    <cellStyle name="Note 3 4 2 3 3" xfId="20777"/>
    <cellStyle name="Note 3 4 2 4" xfId="8419"/>
    <cellStyle name="Note 3 4 2 4 2" xfId="14485"/>
    <cellStyle name="Note 3 4 2 4 3" xfId="20778"/>
    <cellStyle name="Note 3 4 2 5" xfId="8420"/>
    <cellStyle name="Note 3 4 2 5 2" xfId="14486"/>
    <cellStyle name="Note 3 4 2 5 3" xfId="20779"/>
    <cellStyle name="Note 3 4 2 6" xfId="14482"/>
    <cellStyle name="Note 3 4 2 7" xfId="20775"/>
    <cellStyle name="Note 3 4 3" xfId="8421"/>
    <cellStyle name="Note 3 4 3 2" xfId="14487"/>
    <cellStyle name="Note 3 4 3 3" xfId="20780"/>
    <cellStyle name="Note 3 4 4" xfId="8422"/>
    <cellStyle name="Note 3 4 4 2" xfId="20781"/>
    <cellStyle name="Note 3 4 5" xfId="14481"/>
    <cellStyle name="Note 3 4 6" xfId="20774"/>
    <cellStyle name="Note 3 5" xfId="8423"/>
    <cellStyle name="Note 3 5 2" xfId="8424"/>
    <cellStyle name="Note 3 5 2 2" xfId="14489"/>
    <cellStyle name="Note 3 5 2 3" xfId="20783"/>
    <cellStyle name="Note 3 5 3" xfId="8425"/>
    <cellStyle name="Note 3 5 3 2" xfId="14490"/>
    <cellStyle name="Note 3 5 3 3" xfId="20784"/>
    <cellStyle name="Note 3 5 4" xfId="8426"/>
    <cellStyle name="Note 3 5 4 2" xfId="14491"/>
    <cellStyle name="Note 3 5 4 3" xfId="20785"/>
    <cellStyle name="Note 3 5 5" xfId="8427"/>
    <cellStyle name="Note 3 5 5 2" xfId="14492"/>
    <cellStyle name="Note 3 5 5 3" xfId="20786"/>
    <cellStyle name="Note 3 5 6" xfId="14488"/>
    <cellStyle name="Note 3 5 7" xfId="20782"/>
    <cellStyle name="Note 3 6" xfId="8428"/>
    <cellStyle name="Note 3 6 2" xfId="14493"/>
    <cellStyle name="Note 3 6 3" xfId="20787"/>
    <cellStyle name="Note 3 7" xfId="8429"/>
    <cellStyle name="Note 3 7 2" xfId="20788"/>
    <cellStyle name="Note 3 8" xfId="14462"/>
    <cellStyle name="Note 3 9" xfId="20753"/>
    <cellStyle name="Note 4" xfId="8430"/>
    <cellStyle name="Note 4 2" xfId="8431"/>
    <cellStyle name="Note 4 2 2" xfId="14495"/>
    <cellStyle name="Note 4 2 3" xfId="20790"/>
    <cellStyle name="Note 4 3" xfId="8432"/>
    <cellStyle name="Note 4 3 2" xfId="8433"/>
    <cellStyle name="Note 4 3 2 2" xfId="14497"/>
    <cellStyle name="Note 4 3 2 3" xfId="20792"/>
    <cellStyle name="Note 4 3 3" xfId="8434"/>
    <cellStyle name="Note 4 3 3 2" xfId="14498"/>
    <cellStyle name="Note 4 3 3 3" xfId="20793"/>
    <cellStyle name="Note 4 3 4" xfId="8435"/>
    <cellStyle name="Note 4 3 4 2" xfId="14499"/>
    <cellStyle name="Note 4 3 4 3" xfId="20794"/>
    <cellStyle name="Note 4 3 5" xfId="8436"/>
    <cellStyle name="Note 4 3 5 2" xfId="14500"/>
    <cellStyle name="Note 4 3 5 3" xfId="20795"/>
    <cellStyle name="Note 4 3 6" xfId="14496"/>
    <cellStyle name="Note 4 3 7" xfId="20791"/>
    <cellStyle name="Note 4 4" xfId="8437"/>
    <cellStyle name="Note 4 4 2" xfId="14501"/>
    <cellStyle name="Note 4 4 3" xfId="20796"/>
    <cellStyle name="Note 4 5" xfId="8438"/>
    <cellStyle name="Note 4 5 2" xfId="14502"/>
    <cellStyle name="Note 4 5 3" xfId="20797"/>
    <cellStyle name="Note 4 6" xfId="8439"/>
    <cellStyle name="Note 4 6 2" xfId="20798"/>
    <cellStyle name="Note 4 7" xfId="14494"/>
    <cellStyle name="Note 4 8" xfId="20789"/>
    <cellStyle name="Note 5" xfId="8440"/>
    <cellStyle name="Note 5 2" xfId="8441"/>
    <cellStyle name="Note 5 2 2" xfId="8442"/>
    <cellStyle name="Note 5 2 2 2" xfId="14505"/>
    <cellStyle name="Note 5 2 2 3" xfId="20801"/>
    <cellStyle name="Note 5 2 3" xfId="8443"/>
    <cellStyle name="Note 5 2 3 2" xfId="14506"/>
    <cellStyle name="Note 5 2 3 3" xfId="20802"/>
    <cellStyle name="Note 5 2 4" xfId="8444"/>
    <cellStyle name="Note 5 2 4 2" xfId="14507"/>
    <cellStyle name="Note 5 2 4 3" xfId="20803"/>
    <cellStyle name="Note 5 2 5" xfId="8445"/>
    <cellStyle name="Note 5 2 5 2" xfId="14508"/>
    <cellStyle name="Note 5 2 5 3" xfId="20804"/>
    <cellStyle name="Note 5 2 6" xfId="14504"/>
    <cellStyle name="Note 5 2 7" xfId="20800"/>
    <cellStyle name="Note 5 3" xfId="14503"/>
    <cellStyle name="Note 5 4" xfId="20799"/>
    <cellStyle name="Note 6" xfId="8446"/>
    <cellStyle name="Note 6 2" xfId="14509"/>
    <cellStyle name="Note 6 3" xfId="20805"/>
    <cellStyle name="Notes" xfId="8447"/>
    <cellStyle name="Notes 2" xfId="8448"/>
    <cellStyle name="Notes 2 2" xfId="20807"/>
    <cellStyle name="Notes 3" xfId="14510"/>
    <cellStyle name="Notes 4" xfId="20806"/>
    <cellStyle name="Output 2" xfId="8449"/>
    <cellStyle name="Output 2 2" xfId="8450"/>
    <cellStyle name="Output 2 2 2" xfId="8451"/>
    <cellStyle name="Output 2 2 2 2" xfId="8452"/>
    <cellStyle name="Output 2 2 2 2 2" xfId="8453"/>
    <cellStyle name="Output 2 2 2 2 2 2" xfId="14516"/>
    <cellStyle name="Output 2 2 2 2 2 3" xfId="20812"/>
    <cellStyle name="Output 2 2 2 2 3" xfId="8454"/>
    <cellStyle name="Output 2 2 2 2 3 2" xfId="14517"/>
    <cellStyle name="Output 2 2 2 2 3 3" xfId="20813"/>
    <cellStyle name="Output 2 2 2 2 4" xfId="8455"/>
    <cellStyle name="Output 2 2 2 2 4 2" xfId="14518"/>
    <cellStyle name="Output 2 2 2 2 4 3" xfId="20814"/>
    <cellStyle name="Output 2 2 2 2 5" xfId="8456"/>
    <cellStyle name="Output 2 2 2 2 5 2" xfId="14519"/>
    <cellStyle name="Output 2 2 2 2 5 3" xfId="20815"/>
    <cellStyle name="Output 2 2 2 2 6" xfId="14515"/>
    <cellStyle name="Output 2 2 2 2 7" xfId="20811"/>
    <cellStyle name="Output 2 2 2 3" xfId="8457"/>
    <cellStyle name="Output 2 2 2 3 2" xfId="14520"/>
    <cellStyle name="Output 2 2 2 3 3" xfId="20816"/>
    <cellStyle name="Output 2 2 2 4" xfId="14514"/>
    <cellStyle name="Output 2 2 2 5" xfId="20810"/>
    <cellStyle name="Output 2 2 3" xfId="8458"/>
    <cellStyle name="Output 2 2 3 2" xfId="8459"/>
    <cellStyle name="Output 2 2 3 2 2" xfId="14522"/>
    <cellStyle name="Output 2 2 3 2 3" xfId="20818"/>
    <cellStyle name="Output 2 2 3 3" xfId="8460"/>
    <cellStyle name="Output 2 2 3 3 2" xfId="14523"/>
    <cellStyle name="Output 2 2 3 3 3" xfId="20819"/>
    <cellStyle name="Output 2 2 3 4" xfId="8461"/>
    <cellStyle name="Output 2 2 3 4 2" xfId="14524"/>
    <cellStyle name="Output 2 2 3 4 3" xfId="20820"/>
    <cellStyle name="Output 2 2 3 5" xfId="8462"/>
    <cellStyle name="Output 2 2 3 5 2" xfId="14525"/>
    <cellStyle name="Output 2 2 3 5 3" xfId="20821"/>
    <cellStyle name="Output 2 2 3 6" xfId="14521"/>
    <cellStyle name="Output 2 2 3 7" xfId="20817"/>
    <cellStyle name="Output 2 2 4" xfId="8463"/>
    <cellStyle name="Output 2 2 4 2" xfId="14526"/>
    <cellStyle name="Output 2 2 4 3" xfId="20822"/>
    <cellStyle name="Output 2 2 5" xfId="8464"/>
    <cellStyle name="Output 2 2 5 2" xfId="20823"/>
    <cellStyle name="Output 2 2 6" xfId="14513"/>
    <cellStyle name="Output 2 2 7" xfId="20809"/>
    <cellStyle name="Output 2 3" xfId="8465"/>
    <cellStyle name="Output 2 3 2" xfId="8466"/>
    <cellStyle name="Output 2 3 2 2" xfId="8467"/>
    <cellStyle name="Output 2 3 2 2 2" xfId="14529"/>
    <cellStyle name="Output 2 3 2 2 3" xfId="20826"/>
    <cellStyle name="Output 2 3 2 3" xfId="8468"/>
    <cellStyle name="Output 2 3 2 3 2" xfId="14530"/>
    <cellStyle name="Output 2 3 2 3 3" xfId="20827"/>
    <cellStyle name="Output 2 3 2 4" xfId="8469"/>
    <cellStyle name="Output 2 3 2 4 2" xfId="14531"/>
    <cellStyle name="Output 2 3 2 4 3" xfId="20828"/>
    <cellStyle name="Output 2 3 2 5" xfId="8470"/>
    <cellStyle name="Output 2 3 2 5 2" xfId="14532"/>
    <cellStyle name="Output 2 3 2 5 3" xfId="20829"/>
    <cellStyle name="Output 2 3 2 6" xfId="14528"/>
    <cellStyle name="Output 2 3 2 7" xfId="20825"/>
    <cellStyle name="Output 2 3 3" xfId="8471"/>
    <cellStyle name="Output 2 3 3 2" xfId="14533"/>
    <cellStyle name="Output 2 3 3 3" xfId="20830"/>
    <cellStyle name="Output 2 3 4" xfId="8472"/>
    <cellStyle name="Output 2 3 4 2" xfId="20831"/>
    <cellStyle name="Output 2 3 5" xfId="14527"/>
    <cellStyle name="Output 2 3 6" xfId="20824"/>
    <cellStyle name="Output 2 4" xfId="8473"/>
    <cellStyle name="Output 2 4 2" xfId="8474"/>
    <cellStyle name="Output 2 4 2 2" xfId="14535"/>
    <cellStyle name="Output 2 4 2 3" xfId="20833"/>
    <cellStyle name="Output 2 4 3" xfId="8475"/>
    <cellStyle name="Output 2 4 3 2" xfId="14536"/>
    <cellStyle name="Output 2 4 3 3" xfId="20834"/>
    <cellStyle name="Output 2 4 4" xfId="8476"/>
    <cellStyle name="Output 2 4 4 2" xfId="14537"/>
    <cellStyle name="Output 2 4 4 3" xfId="20835"/>
    <cellStyle name="Output 2 4 5" xfId="8477"/>
    <cellStyle name="Output 2 4 5 2" xfId="14538"/>
    <cellStyle name="Output 2 4 5 3" xfId="20836"/>
    <cellStyle name="Output 2 4 6" xfId="14534"/>
    <cellStyle name="Output 2 4 7" xfId="20832"/>
    <cellStyle name="Output 2 5" xfId="8478"/>
    <cellStyle name="Output 2 5 2" xfId="14539"/>
    <cellStyle name="Output 2 5 3" xfId="20837"/>
    <cellStyle name="Output 2 6" xfId="8479"/>
    <cellStyle name="Output 2 6 2" xfId="20838"/>
    <cellStyle name="Output 2 7" xfId="14512"/>
    <cellStyle name="Output 2 8" xfId="20808"/>
    <cellStyle name="Output 3" xfId="8480"/>
    <cellStyle name="Output 3 2" xfId="8481"/>
    <cellStyle name="Output 3 2 2" xfId="8482"/>
    <cellStyle name="Output 3 2 2 2" xfId="8483"/>
    <cellStyle name="Output 3 2 2 2 2" xfId="14543"/>
    <cellStyle name="Output 3 2 2 2 3" xfId="20842"/>
    <cellStyle name="Output 3 2 2 3" xfId="8484"/>
    <cellStyle name="Output 3 2 2 3 2" xfId="14544"/>
    <cellStyle name="Output 3 2 2 3 3" xfId="20843"/>
    <cellStyle name="Output 3 2 2 4" xfId="8485"/>
    <cellStyle name="Output 3 2 2 4 2" xfId="14545"/>
    <cellStyle name="Output 3 2 2 4 3" xfId="20844"/>
    <cellStyle name="Output 3 2 2 5" xfId="8486"/>
    <cellStyle name="Output 3 2 2 5 2" xfId="14546"/>
    <cellStyle name="Output 3 2 2 5 3" xfId="20845"/>
    <cellStyle name="Output 3 2 2 6" xfId="14542"/>
    <cellStyle name="Output 3 2 2 7" xfId="20841"/>
    <cellStyle name="Output 3 2 3" xfId="8487"/>
    <cellStyle name="Output 3 2 3 2" xfId="14547"/>
    <cellStyle name="Output 3 2 3 3" xfId="20846"/>
    <cellStyle name="Output 3 2 4" xfId="8488"/>
    <cellStyle name="Output 3 2 4 2" xfId="20847"/>
    <cellStyle name="Output 3 2 5" xfId="14541"/>
    <cellStyle name="Output 3 2 6" xfId="20840"/>
    <cellStyle name="Output 3 3" xfId="8489"/>
    <cellStyle name="Output 3 3 2" xfId="8490"/>
    <cellStyle name="Output 3 3 2 2" xfId="14549"/>
    <cellStyle name="Output 3 3 2 3" xfId="20849"/>
    <cellStyle name="Output 3 3 3" xfId="8491"/>
    <cellStyle name="Output 3 3 3 2" xfId="14550"/>
    <cellStyle name="Output 3 3 3 3" xfId="20850"/>
    <cellStyle name="Output 3 3 4" xfId="8492"/>
    <cellStyle name="Output 3 3 4 2" xfId="14551"/>
    <cellStyle name="Output 3 3 4 3" xfId="20851"/>
    <cellStyle name="Output 3 3 5" xfId="8493"/>
    <cellStyle name="Output 3 3 5 2" xfId="14552"/>
    <cellStyle name="Output 3 3 5 3" xfId="20852"/>
    <cellStyle name="Output 3 3 6" xfId="8494"/>
    <cellStyle name="Output 3 3 6 2" xfId="20853"/>
    <cellStyle name="Output 3 3 7" xfId="14548"/>
    <cellStyle name="Output 3 3 8" xfId="20848"/>
    <cellStyle name="Output 3 4" xfId="8495"/>
    <cellStyle name="Output 3 4 2" xfId="8496"/>
    <cellStyle name="Output 3 4 2 2" xfId="14554"/>
    <cellStyle name="Output 3 4 2 3" xfId="20855"/>
    <cellStyle name="Output 3 4 3" xfId="8497"/>
    <cellStyle name="Output 3 4 3 2" xfId="14555"/>
    <cellStyle name="Output 3 4 3 3" xfId="20856"/>
    <cellStyle name="Output 3 4 4" xfId="8498"/>
    <cellStyle name="Output 3 4 4 2" xfId="14556"/>
    <cellStyle name="Output 3 4 4 3" xfId="20857"/>
    <cellStyle name="Output 3 4 5" xfId="8499"/>
    <cellStyle name="Output 3 4 5 2" xfId="14557"/>
    <cellStyle name="Output 3 4 5 3" xfId="20858"/>
    <cellStyle name="Output 3 4 6" xfId="14553"/>
    <cellStyle name="Output 3 4 7" xfId="20854"/>
    <cellStyle name="Output 3 5" xfId="8500"/>
    <cellStyle name="Output 3 5 2" xfId="14558"/>
    <cellStyle name="Output 3 5 3" xfId="20859"/>
    <cellStyle name="Output 3 6" xfId="8501"/>
    <cellStyle name="Output 3 6 2" xfId="20860"/>
    <cellStyle name="Output 3 7" xfId="14540"/>
    <cellStyle name="Output 3 8" xfId="20839"/>
    <cellStyle name="Output 4" xfId="8502"/>
    <cellStyle name="Output 4 2" xfId="14559"/>
    <cellStyle name="Output 4 3" xfId="20861"/>
    <cellStyle name="Output 5" xfId="8503"/>
    <cellStyle name="Output 5 2" xfId="20862"/>
    <cellStyle name="Output 6" xfId="14511"/>
    <cellStyle name="Percent" xfId="15197" builtinId="5"/>
    <cellStyle name="Percent 10" xfId="8504"/>
    <cellStyle name="Percent 10 2" xfId="8505"/>
    <cellStyle name="Percent 10 2 2" xfId="14561"/>
    <cellStyle name="Percent 10 2 3" xfId="20864"/>
    <cellStyle name="Percent 10 3" xfId="8506"/>
    <cellStyle name="Percent 10 3 2" xfId="14562"/>
    <cellStyle name="Percent 10 3 3" xfId="20865"/>
    <cellStyle name="Percent 10 4" xfId="8507"/>
    <cellStyle name="Percent 10 4 2" xfId="14563"/>
    <cellStyle name="Percent 10 4 3" xfId="20866"/>
    <cellStyle name="Percent 10 5" xfId="8508"/>
    <cellStyle name="Percent 10 5 2" xfId="20867"/>
    <cellStyle name="Percent 10 6" xfId="14560"/>
    <cellStyle name="Percent 10 7" xfId="20863"/>
    <cellStyle name="Percent 11" xfId="8509"/>
    <cellStyle name="Percent 11 2" xfId="8510"/>
    <cellStyle name="Percent 11 2 2" xfId="8511"/>
    <cellStyle name="Percent 11 2 2 2" xfId="14566"/>
    <cellStyle name="Percent 11 2 2 3" xfId="20870"/>
    <cellStyle name="Percent 11 2 3" xfId="14565"/>
    <cellStyle name="Percent 11 2 4" xfId="20869"/>
    <cellStyle name="Percent 11 3" xfId="8512"/>
    <cellStyle name="Percent 11 3 2" xfId="8513"/>
    <cellStyle name="Percent 11 3 2 2" xfId="14568"/>
    <cellStyle name="Percent 11 3 2 3" xfId="20872"/>
    <cellStyle name="Percent 11 3 3" xfId="14567"/>
    <cellStyle name="Percent 11 3 4" xfId="20871"/>
    <cellStyle name="Percent 11 4" xfId="8514"/>
    <cellStyle name="Percent 11 4 2" xfId="14569"/>
    <cellStyle name="Percent 11 4 3" xfId="20873"/>
    <cellStyle name="Percent 11 5" xfId="14564"/>
    <cellStyle name="Percent 11 6" xfId="20868"/>
    <cellStyle name="Percent 12" xfId="8515"/>
    <cellStyle name="Percent 12 2" xfId="14570"/>
    <cellStyle name="Percent 12 3" xfId="20874"/>
    <cellStyle name="Percent 13" xfId="8516"/>
    <cellStyle name="Percent 13 2" xfId="14571"/>
    <cellStyle name="Percent 13 3" xfId="20875"/>
    <cellStyle name="Percent 14" xfId="8517"/>
    <cellStyle name="Percent 14 2" xfId="8518"/>
    <cellStyle name="Percent 14 2 2" xfId="8519"/>
    <cellStyle name="Percent 14 2 2 2" xfId="14574"/>
    <cellStyle name="Percent 14 2 2 3" xfId="20878"/>
    <cellStyle name="Percent 14 2 3" xfId="14573"/>
    <cellStyle name="Percent 14 2 4" xfId="20877"/>
    <cellStyle name="Percent 14 3" xfId="14572"/>
    <cellStyle name="Percent 14 4" xfId="20876"/>
    <cellStyle name="Percent 15" xfId="8520"/>
    <cellStyle name="Percent 15 2" xfId="20879"/>
    <cellStyle name="Percent 16" xfId="15196"/>
    <cellStyle name="Percent 16 2" xfId="8521"/>
    <cellStyle name="Percent 16 2 2" xfId="8522"/>
    <cellStyle name="Percent 16 2 2 2" xfId="14576"/>
    <cellStyle name="Percent 16 2 2 3" xfId="20881"/>
    <cellStyle name="Percent 16 2 3" xfId="14575"/>
    <cellStyle name="Percent 16 2 4" xfId="20880"/>
    <cellStyle name="Percent 17" xfId="22829"/>
    <cellStyle name="Percent 2" xfId="8523"/>
    <cellStyle name="Percent 2 2" xfId="8524"/>
    <cellStyle name="Percent 2 2 2" xfId="8525"/>
    <cellStyle name="Percent 2 2 2 2" xfId="8526"/>
    <cellStyle name="Percent 2 2 2 2 2" xfId="20885"/>
    <cellStyle name="Percent 2 2 2 3" xfId="14579"/>
    <cellStyle name="Percent 2 2 2 4" xfId="20884"/>
    <cellStyle name="Percent 2 2 3" xfId="8527"/>
    <cellStyle name="Percent 2 2 3 2" xfId="8528"/>
    <cellStyle name="Percent 2 2 3 2 2" xfId="14581"/>
    <cellStyle name="Percent 2 2 3 2 3" xfId="20887"/>
    <cellStyle name="Percent 2 2 3 3" xfId="8529"/>
    <cellStyle name="Percent 2 2 3 3 2" xfId="20888"/>
    <cellStyle name="Percent 2 2 3 4" xfId="14580"/>
    <cellStyle name="Percent 2 2 3 5" xfId="20886"/>
    <cellStyle name="Percent 2 2 4" xfId="8530"/>
    <cellStyle name="Percent 2 2 4 2" xfId="20889"/>
    <cellStyle name="Percent 2 2 5" xfId="14578"/>
    <cellStyle name="Percent 2 2 6" xfId="20883"/>
    <cellStyle name="Percent 2 3" xfId="8531"/>
    <cellStyle name="Percent 2 3 2" xfId="8532"/>
    <cellStyle name="Percent 2 3 2 2" xfId="14583"/>
    <cellStyle name="Percent 2 3 2 3" xfId="20891"/>
    <cellStyle name="Percent 2 3 3" xfId="8533"/>
    <cellStyle name="Percent 2 3 3 2" xfId="14584"/>
    <cellStyle name="Percent 2 3 3 3" xfId="20892"/>
    <cellStyle name="Percent 2 3 4" xfId="8534"/>
    <cellStyle name="Percent 2 3 4 2" xfId="20893"/>
    <cellStyle name="Percent 2 3 5" xfId="14582"/>
    <cellStyle name="Percent 2 3 6" xfId="20890"/>
    <cellStyle name="Percent 2 4" xfId="8535"/>
    <cellStyle name="Percent 2 4 2" xfId="8536"/>
    <cellStyle name="Percent 2 4 2 2" xfId="14586"/>
    <cellStyle name="Percent 2 4 2 3" xfId="20895"/>
    <cellStyle name="Percent 2 4 3" xfId="8537"/>
    <cellStyle name="Percent 2 4 3 2" xfId="14587"/>
    <cellStyle name="Percent 2 4 3 3" xfId="20896"/>
    <cellStyle name="Percent 2 4 4" xfId="8538"/>
    <cellStyle name="Percent 2 4 4 2" xfId="20897"/>
    <cellStyle name="Percent 2 4 5" xfId="14585"/>
    <cellStyle name="Percent 2 4 6" xfId="20894"/>
    <cellStyle name="Percent 2 5" xfId="8539"/>
    <cellStyle name="Percent 2 5 2" xfId="14588"/>
    <cellStyle name="Percent 2 5 3" xfId="20898"/>
    <cellStyle name="Percent 2 6" xfId="8540"/>
    <cellStyle name="Percent 2 6 2" xfId="8541"/>
    <cellStyle name="Percent 2 6 2 2" xfId="20900"/>
    <cellStyle name="Percent 2 6 3" xfId="14589"/>
    <cellStyle name="Percent 2 6 4" xfId="20899"/>
    <cellStyle name="Percent 2 7" xfId="8542"/>
    <cellStyle name="Percent 2 7 2" xfId="20901"/>
    <cellStyle name="Percent 2 8" xfId="14577"/>
    <cellStyle name="Percent 2 9" xfId="20882"/>
    <cellStyle name="Percent 3" xfId="8543"/>
    <cellStyle name="Percent 3 10" xfId="8544"/>
    <cellStyle name="Percent 3 10 2" xfId="14591"/>
    <cellStyle name="Percent 3 10 3" xfId="20903"/>
    <cellStyle name="Percent 3 11" xfId="8545"/>
    <cellStyle name="Percent 3 11 2" xfId="20904"/>
    <cellStyle name="Percent 3 12" xfId="14590"/>
    <cellStyle name="Percent 3 13" xfId="20902"/>
    <cellStyle name="Percent 3 2" xfId="8546"/>
    <cellStyle name="Percent 3 2 10" xfId="14592"/>
    <cellStyle name="Percent 3 2 11" xfId="20905"/>
    <cellStyle name="Percent 3 2 2" xfId="8547"/>
    <cellStyle name="Percent 3 2 2 10" xfId="20906"/>
    <cellStyle name="Percent 3 2 2 2" xfId="8548"/>
    <cellStyle name="Percent 3 2 2 2 2" xfId="8549"/>
    <cellStyle name="Percent 3 2 2 2 2 2" xfId="8550"/>
    <cellStyle name="Percent 3 2 2 2 2 2 2" xfId="8551"/>
    <cellStyle name="Percent 3 2 2 2 2 2 2 2" xfId="8552"/>
    <cellStyle name="Percent 3 2 2 2 2 2 2 2 2" xfId="14598"/>
    <cellStyle name="Percent 3 2 2 2 2 2 2 2 3" xfId="20911"/>
    <cellStyle name="Percent 3 2 2 2 2 2 2 3" xfId="14597"/>
    <cellStyle name="Percent 3 2 2 2 2 2 2 4" xfId="20910"/>
    <cellStyle name="Percent 3 2 2 2 2 2 3" xfId="8553"/>
    <cellStyle name="Percent 3 2 2 2 2 2 3 2" xfId="8554"/>
    <cellStyle name="Percent 3 2 2 2 2 2 3 2 2" xfId="14600"/>
    <cellStyle name="Percent 3 2 2 2 2 2 3 2 3" xfId="20913"/>
    <cellStyle name="Percent 3 2 2 2 2 2 3 3" xfId="14599"/>
    <cellStyle name="Percent 3 2 2 2 2 2 3 4" xfId="20912"/>
    <cellStyle name="Percent 3 2 2 2 2 2 4" xfId="8555"/>
    <cellStyle name="Percent 3 2 2 2 2 2 4 2" xfId="14601"/>
    <cellStyle name="Percent 3 2 2 2 2 2 4 3" xfId="20914"/>
    <cellStyle name="Percent 3 2 2 2 2 2 5" xfId="14596"/>
    <cellStyle name="Percent 3 2 2 2 2 2 6" xfId="20909"/>
    <cellStyle name="Percent 3 2 2 2 2 3" xfId="8556"/>
    <cellStyle name="Percent 3 2 2 2 2 3 2" xfId="8557"/>
    <cellStyle name="Percent 3 2 2 2 2 3 2 2" xfId="14603"/>
    <cellStyle name="Percent 3 2 2 2 2 3 2 3" xfId="20916"/>
    <cellStyle name="Percent 3 2 2 2 2 3 3" xfId="14602"/>
    <cellStyle name="Percent 3 2 2 2 2 3 4" xfId="20915"/>
    <cellStyle name="Percent 3 2 2 2 2 4" xfId="8558"/>
    <cellStyle name="Percent 3 2 2 2 2 4 2" xfId="8559"/>
    <cellStyle name="Percent 3 2 2 2 2 4 2 2" xfId="14605"/>
    <cellStyle name="Percent 3 2 2 2 2 4 2 3" xfId="20918"/>
    <cellStyle name="Percent 3 2 2 2 2 4 3" xfId="14604"/>
    <cellStyle name="Percent 3 2 2 2 2 4 4" xfId="20917"/>
    <cellStyle name="Percent 3 2 2 2 2 5" xfId="8560"/>
    <cellStyle name="Percent 3 2 2 2 2 5 2" xfId="14606"/>
    <cellStyle name="Percent 3 2 2 2 2 5 3" xfId="20919"/>
    <cellStyle name="Percent 3 2 2 2 2 6" xfId="14595"/>
    <cellStyle name="Percent 3 2 2 2 2 7" xfId="20908"/>
    <cellStyle name="Percent 3 2 2 2 3" xfId="8561"/>
    <cellStyle name="Percent 3 2 2 2 3 2" xfId="8562"/>
    <cellStyle name="Percent 3 2 2 2 3 2 2" xfId="8563"/>
    <cellStyle name="Percent 3 2 2 2 3 2 2 2" xfId="14609"/>
    <cellStyle name="Percent 3 2 2 2 3 2 2 3" xfId="20922"/>
    <cellStyle name="Percent 3 2 2 2 3 2 3" xfId="14608"/>
    <cellStyle name="Percent 3 2 2 2 3 2 4" xfId="20921"/>
    <cellStyle name="Percent 3 2 2 2 3 3" xfId="8564"/>
    <cellStyle name="Percent 3 2 2 2 3 3 2" xfId="8565"/>
    <cellStyle name="Percent 3 2 2 2 3 3 2 2" xfId="14611"/>
    <cellStyle name="Percent 3 2 2 2 3 3 2 3" xfId="20924"/>
    <cellStyle name="Percent 3 2 2 2 3 3 3" xfId="14610"/>
    <cellStyle name="Percent 3 2 2 2 3 3 4" xfId="20923"/>
    <cellStyle name="Percent 3 2 2 2 3 4" xfId="8566"/>
    <cellStyle name="Percent 3 2 2 2 3 4 2" xfId="14612"/>
    <cellStyle name="Percent 3 2 2 2 3 4 3" xfId="20925"/>
    <cellStyle name="Percent 3 2 2 2 3 5" xfId="14607"/>
    <cellStyle name="Percent 3 2 2 2 3 6" xfId="20920"/>
    <cellStyle name="Percent 3 2 2 2 4" xfId="8567"/>
    <cellStyle name="Percent 3 2 2 2 4 2" xfId="8568"/>
    <cellStyle name="Percent 3 2 2 2 4 2 2" xfId="14614"/>
    <cellStyle name="Percent 3 2 2 2 4 2 3" xfId="20927"/>
    <cellStyle name="Percent 3 2 2 2 4 3" xfId="14613"/>
    <cellStyle name="Percent 3 2 2 2 4 4" xfId="20926"/>
    <cellStyle name="Percent 3 2 2 2 5" xfId="8569"/>
    <cellStyle name="Percent 3 2 2 2 5 2" xfId="8570"/>
    <cellStyle name="Percent 3 2 2 2 5 2 2" xfId="14616"/>
    <cellStyle name="Percent 3 2 2 2 5 2 3" xfId="20929"/>
    <cellStyle name="Percent 3 2 2 2 5 3" xfId="14615"/>
    <cellStyle name="Percent 3 2 2 2 5 4" xfId="20928"/>
    <cellStyle name="Percent 3 2 2 2 6" xfId="8571"/>
    <cellStyle name="Percent 3 2 2 2 6 2" xfId="14617"/>
    <cellStyle name="Percent 3 2 2 2 6 3" xfId="20930"/>
    <cellStyle name="Percent 3 2 2 2 7" xfId="14594"/>
    <cellStyle name="Percent 3 2 2 2 8" xfId="20907"/>
    <cellStyle name="Percent 3 2 2 3" xfId="8572"/>
    <cellStyle name="Percent 3 2 2 3 2" xfId="8573"/>
    <cellStyle name="Percent 3 2 2 3 2 2" xfId="8574"/>
    <cellStyle name="Percent 3 2 2 3 2 2 2" xfId="8575"/>
    <cellStyle name="Percent 3 2 2 3 2 2 2 2" xfId="14621"/>
    <cellStyle name="Percent 3 2 2 3 2 2 2 3" xfId="20934"/>
    <cellStyle name="Percent 3 2 2 3 2 2 3" xfId="14620"/>
    <cellStyle name="Percent 3 2 2 3 2 2 4" xfId="20933"/>
    <cellStyle name="Percent 3 2 2 3 2 3" xfId="8576"/>
    <cellStyle name="Percent 3 2 2 3 2 3 2" xfId="8577"/>
    <cellStyle name="Percent 3 2 2 3 2 3 2 2" xfId="14623"/>
    <cellStyle name="Percent 3 2 2 3 2 3 2 3" xfId="20936"/>
    <cellStyle name="Percent 3 2 2 3 2 3 3" xfId="14622"/>
    <cellStyle name="Percent 3 2 2 3 2 3 4" xfId="20935"/>
    <cellStyle name="Percent 3 2 2 3 2 4" xfId="8578"/>
    <cellStyle name="Percent 3 2 2 3 2 4 2" xfId="14624"/>
    <cellStyle name="Percent 3 2 2 3 2 4 3" xfId="20937"/>
    <cellStyle name="Percent 3 2 2 3 2 5" xfId="14619"/>
    <cellStyle name="Percent 3 2 2 3 2 6" xfId="20932"/>
    <cellStyle name="Percent 3 2 2 3 3" xfId="8579"/>
    <cellStyle name="Percent 3 2 2 3 3 2" xfId="8580"/>
    <cellStyle name="Percent 3 2 2 3 3 2 2" xfId="14626"/>
    <cellStyle name="Percent 3 2 2 3 3 2 3" xfId="20939"/>
    <cellStyle name="Percent 3 2 2 3 3 3" xfId="14625"/>
    <cellStyle name="Percent 3 2 2 3 3 4" xfId="20938"/>
    <cellStyle name="Percent 3 2 2 3 4" xfId="8581"/>
    <cellStyle name="Percent 3 2 2 3 4 2" xfId="8582"/>
    <cellStyle name="Percent 3 2 2 3 4 2 2" xfId="14628"/>
    <cellStyle name="Percent 3 2 2 3 4 2 3" xfId="20941"/>
    <cellStyle name="Percent 3 2 2 3 4 3" xfId="14627"/>
    <cellStyle name="Percent 3 2 2 3 4 4" xfId="20940"/>
    <cellStyle name="Percent 3 2 2 3 5" xfId="8583"/>
    <cellStyle name="Percent 3 2 2 3 5 2" xfId="14629"/>
    <cellStyle name="Percent 3 2 2 3 5 3" xfId="20942"/>
    <cellStyle name="Percent 3 2 2 3 6" xfId="14618"/>
    <cellStyle name="Percent 3 2 2 3 7" xfId="20931"/>
    <cellStyle name="Percent 3 2 2 4" xfId="8584"/>
    <cellStyle name="Percent 3 2 2 4 2" xfId="8585"/>
    <cellStyle name="Percent 3 2 2 4 2 2" xfId="8586"/>
    <cellStyle name="Percent 3 2 2 4 2 2 2" xfId="14632"/>
    <cellStyle name="Percent 3 2 2 4 2 2 3" xfId="20945"/>
    <cellStyle name="Percent 3 2 2 4 2 3" xfId="14631"/>
    <cellStyle name="Percent 3 2 2 4 2 4" xfId="20944"/>
    <cellStyle name="Percent 3 2 2 4 3" xfId="8587"/>
    <cellStyle name="Percent 3 2 2 4 3 2" xfId="8588"/>
    <cellStyle name="Percent 3 2 2 4 3 2 2" xfId="14634"/>
    <cellStyle name="Percent 3 2 2 4 3 2 3" xfId="20947"/>
    <cellStyle name="Percent 3 2 2 4 3 3" xfId="14633"/>
    <cellStyle name="Percent 3 2 2 4 3 4" xfId="20946"/>
    <cellStyle name="Percent 3 2 2 4 4" xfId="8589"/>
    <cellStyle name="Percent 3 2 2 4 4 2" xfId="14635"/>
    <cellStyle name="Percent 3 2 2 4 4 3" xfId="20948"/>
    <cellStyle name="Percent 3 2 2 4 5" xfId="14630"/>
    <cellStyle name="Percent 3 2 2 4 6" xfId="20943"/>
    <cellStyle name="Percent 3 2 2 5" xfId="8590"/>
    <cellStyle name="Percent 3 2 2 5 2" xfId="8591"/>
    <cellStyle name="Percent 3 2 2 5 2 2" xfId="14637"/>
    <cellStyle name="Percent 3 2 2 5 2 3" xfId="20950"/>
    <cellStyle name="Percent 3 2 2 5 3" xfId="14636"/>
    <cellStyle name="Percent 3 2 2 5 4" xfId="20949"/>
    <cellStyle name="Percent 3 2 2 6" xfId="8592"/>
    <cellStyle name="Percent 3 2 2 6 2" xfId="8593"/>
    <cellStyle name="Percent 3 2 2 6 2 2" xfId="14639"/>
    <cellStyle name="Percent 3 2 2 6 2 3" xfId="20952"/>
    <cellStyle name="Percent 3 2 2 6 3" xfId="14638"/>
    <cellStyle name="Percent 3 2 2 6 4" xfId="20951"/>
    <cellStyle name="Percent 3 2 2 7" xfId="8594"/>
    <cellStyle name="Percent 3 2 2 7 2" xfId="14640"/>
    <cellStyle name="Percent 3 2 2 7 3" xfId="20953"/>
    <cellStyle name="Percent 3 2 2 8" xfId="8595"/>
    <cellStyle name="Percent 3 2 2 8 2" xfId="20954"/>
    <cellStyle name="Percent 3 2 2 9" xfId="14593"/>
    <cellStyle name="Percent 3 2 3" xfId="8596"/>
    <cellStyle name="Percent 3 2 3 2" xfId="8597"/>
    <cellStyle name="Percent 3 2 3 2 2" xfId="8598"/>
    <cellStyle name="Percent 3 2 3 2 2 2" xfId="8599"/>
    <cellStyle name="Percent 3 2 3 2 2 2 2" xfId="8600"/>
    <cellStyle name="Percent 3 2 3 2 2 2 2 2" xfId="14645"/>
    <cellStyle name="Percent 3 2 3 2 2 2 2 3" xfId="20959"/>
    <cellStyle name="Percent 3 2 3 2 2 2 3" xfId="14644"/>
    <cellStyle name="Percent 3 2 3 2 2 2 4" xfId="20958"/>
    <cellStyle name="Percent 3 2 3 2 2 3" xfId="8601"/>
    <cellStyle name="Percent 3 2 3 2 2 3 2" xfId="8602"/>
    <cellStyle name="Percent 3 2 3 2 2 3 2 2" xfId="14647"/>
    <cellStyle name="Percent 3 2 3 2 2 3 2 3" xfId="20961"/>
    <cellStyle name="Percent 3 2 3 2 2 3 3" xfId="14646"/>
    <cellStyle name="Percent 3 2 3 2 2 3 4" xfId="20960"/>
    <cellStyle name="Percent 3 2 3 2 2 4" xfId="8603"/>
    <cellStyle name="Percent 3 2 3 2 2 4 2" xfId="14648"/>
    <cellStyle name="Percent 3 2 3 2 2 4 3" xfId="20962"/>
    <cellStyle name="Percent 3 2 3 2 2 5" xfId="14643"/>
    <cellStyle name="Percent 3 2 3 2 2 6" xfId="20957"/>
    <cellStyle name="Percent 3 2 3 2 3" xfId="8604"/>
    <cellStyle name="Percent 3 2 3 2 3 2" xfId="8605"/>
    <cellStyle name="Percent 3 2 3 2 3 2 2" xfId="14650"/>
    <cellStyle name="Percent 3 2 3 2 3 2 3" xfId="20964"/>
    <cellStyle name="Percent 3 2 3 2 3 3" xfId="14649"/>
    <cellStyle name="Percent 3 2 3 2 3 4" xfId="20963"/>
    <cellStyle name="Percent 3 2 3 2 4" xfId="8606"/>
    <cellStyle name="Percent 3 2 3 2 4 2" xfId="8607"/>
    <cellStyle name="Percent 3 2 3 2 4 2 2" xfId="14652"/>
    <cellStyle name="Percent 3 2 3 2 4 2 3" xfId="20966"/>
    <cellStyle name="Percent 3 2 3 2 4 3" xfId="14651"/>
    <cellStyle name="Percent 3 2 3 2 4 4" xfId="20965"/>
    <cellStyle name="Percent 3 2 3 2 5" xfId="8608"/>
    <cellStyle name="Percent 3 2 3 2 5 2" xfId="14653"/>
    <cellStyle name="Percent 3 2 3 2 5 3" xfId="20967"/>
    <cellStyle name="Percent 3 2 3 2 6" xfId="14642"/>
    <cellStyle name="Percent 3 2 3 2 7" xfId="20956"/>
    <cellStyle name="Percent 3 2 3 3" xfId="8609"/>
    <cellStyle name="Percent 3 2 3 3 2" xfId="8610"/>
    <cellStyle name="Percent 3 2 3 3 2 2" xfId="8611"/>
    <cellStyle name="Percent 3 2 3 3 2 2 2" xfId="14656"/>
    <cellStyle name="Percent 3 2 3 3 2 2 3" xfId="20970"/>
    <cellStyle name="Percent 3 2 3 3 2 3" xfId="14655"/>
    <cellStyle name="Percent 3 2 3 3 2 4" xfId="20969"/>
    <cellStyle name="Percent 3 2 3 3 3" xfId="8612"/>
    <cellStyle name="Percent 3 2 3 3 3 2" xfId="8613"/>
    <cellStyle name="Percent 3 2 3 3 3 2 2" xfId="14658"/>
    <cellStyle name="Percent 3 2 3 3 3 2 3" xfId="20972"/>
    <cellStyle name="Percent 3 2 3 3 3 3" xfId="14657"/>
    <cellStyle name="Percent 3 2 3 3 3 4" xfId="20971"/>
    <cellStyle name="Percent 3 2 3 3 4" xfId="8614"/>
    <cellStyle name="Percent 3 2 3 3 4 2" xfId="14659"/>
    <cellStyle name="Percent 3 2 3 3 4 3" xfId="20973"/>
    <cellStyle name="Percent 3 2 3 3 5" xfId="14654"/>
    <cellStyle name="Percent 3 2 3 3 6" xfId="20968"/>
    <cellStyle name="Percent 3 2 3 4" xfId="8615"/>
    <cellStyle name="Percent 3 2 3 4 2" xfId="8616"/>
    <cellStyle name="Percent 3 2 3 4 2 2" xfId="14661"/>
    <cellStyle name="Percent 3 2 3 4 2 3" xfId="20975"/>
    <cellStyle name="Percent 3 2 3 4 3" xfId="14660"/>
    <cellStyle name="Percent 3 2 3 4 4" xfId="20974"/>
    <cellStyle name="Percent 3 2 3 5" xfId="8617"/>
    <cellStyle name="Percent 3 2 3 5 2" xfId="8618"/>
    <cellStyle name="Percent 3 2 3 5 2 2" xfId="14663"/>
    <cellStyle name="Percent 3 2 3 5 2 3" xfId="20977"/>
    <cellStyle name="Percent 3 2 3 5 3" xfId="14662"/>
    <cellStyle name="Percent 3 2 3 5 4" xfId="20976"/>
    <cellStyle name="Percent 3 2 3 6" xfId="8619"/>
    <cellStyle name="Percent 3 2 3 6 2" xfId="14664"/>
    <cellStyle name="Percent 3 2 3 6 3" xfId="20978"/>
    <cellStyle name="Percent 3 2 3 7" xfId="14641"/>
    <cellStyle name="Percent 3 2 3 8" xfId="20955"/>
    <cellStyle name="Percent 3 2 4" xfId="8620"/>
    <cellStyle name="Percent 3 2 4 2" xfId="8621"/>
    <cellStyle name="Percent 3 2 4 2 2" xfId="8622"/>
    <cellStyle name="Percent 3 2 4 2 2 2" xfId="8623"/>
    <cellStyle name="Percent 3 2 4 2 2 2 2" xfId="14668"/>
    <cellStyle name="Percent 3 2 4 2 2 2 3" xfId="20982"/>
    <cellStyle name="Percent 3 2 4 2 2 3" xfId="14667"/>
    <cellStyle name="Percent 3 2 4 2 2 4" xfId="20981"/>
    <cellStyle name="Percent 3 2 4 2 3" xfId="8624"/>
    <cellStyle name="Percent 3 2 4 2 3 2" xfId="8625"/>
    <cellStyle name="Percent 3 2 4 2 3 2 2" xfId="14670"/>
    <cellStyle name="Percent 3 2 4 2 3 2 3" xfId="20984"/>
    <cellStyle name="Percent 3 2 4 2 3 3" xfId="14669"/>
    <cellStyle name="Percent 3 2 4 2 3 4" xfId="20983"/>
    <cellStyle name="Percent 3 2 4 2 4" xfId="8626"/>
    <cellStyle name="Percent 3 2 4 2 4 2" xfId="14671"/>
    <cellStyle name="Percent 3 2 4 2 4 3" xfId="20985"/>
    <cellStyle name="Percent 3 2 4 2 5" xfId="14666"/>
    <cellStyle name="Percent 3 2 4 2 6" xfId="20980"/>
    <cellStyle name="Percent 3 2 4 3" xfId="8627"/>
    <cellStyle name="Percent 3 2 4 3 2" xfId="8628"/>
    <cellStyle name="Percent 3 2 4 3 2 2" xfId="14673"/>
    <cellStyle name="Percent 3 2 4 3 2 3" xfId="20987"/>
    <cellStyle name="Percent 3 2 4 3 3" xfId="14672"/>
    <cellStyle name="Percent 3 2 4 3 4" xfId="20986"/>
    <cellStyle name="Percent 3 2 4 4" xfId="8629"/>
    <cellStyle name="Percent 3 2 4 4 2" xfId="8630"/>
    <cellStyle name="Percent 3 2 4 4 2 2" xfId="14675"/>
    <cellStyle name="Percent 3 2 4 4 2 3" xfId="20989"/>
    <cellStyle name="Percent 3 2 4 4 3" xfId="14674"/>
    <cellStyle name="Percent 3 2 4 4 4" xfId="20988"/>
    <cellStyle name="Percent 3 2 4 5" xfId="8631"/>
    <cellStyle name="Percent 3 2 4 5 2" xfId="14676"/>
    <cellStyle name="Percent 3 2 4 5 3" xfId="20990"/>
    <cellStyle name="Percent 3 2 4 6" xfId="14665"/>
    <cellStyle name="Percent 3 2 4 7" xfId="20979"/>
    <cellStyle name="Percent 3 2 5" xfId="8632"/>
    <cellStyle name="Percent 3 2 5 2" xfId="8633"/>
    <cellStyle name="Percent 3 2 5 2 2" xfId="8634"/>
    <cellStyle name="Percent 3 2 5 2 2 2" xfId="14679"/>
    <cellStyle name="Percent 3 2 5 2 2 3" xfId="20993"/>
    <cellStyle name="Percent 3 2 5 2 3" xfId="14678"/>
    <cellStyle name="Percent 3 2 5 2 4" xfId="20992"/>
    <cellStyle name="Percent 3 2 5 3" xfId="8635"/>
    <cellStyle name="Percent 3 2 5 3 2" xfId="8636"/>
    <cellStyle name="Percent 3 2 5 3 2 2" xfId="14681"/>
    <cellStyle name="Percent 3 2 5 3 2 3" xfId="20995"/>
    <cellStyle name="Percent 3 2 5 3 3" xfId="14680"/>
    <cellStyle name="Percent 3 2 5 3 4" xfId="20994"/>
    <cellStyle name="Percent 3 2 5 4" xfId="8637"/>
    <cellStyle name="Percent 3 2 5 4 2" xfId="14682"/>
    <cellStyle name="Percent 3 2 5 4 3" xfId="20996"/>
    <cellStyle name="Percent 3 2 5 5" xfId="14677"/>
    <cellStyle name="Percent 3 2 5 6" xfId="20991"/>
    <cellStyle name="Percent 3 2 6" xfId="8638"/>
    <cellStyle name="Percent 3 2 6 2" xfId="8639"/>
    <cellStyle name="Percent 3 2 6 2 2" xfId="14684"/>
    <cellStyle name="Percent 3 2 6 2 3" xfId="20998"/>
    <cellStyle name="Percent 3 2 6 3" xfId="14683"/>
    <cellStyle name="Percent 3 2 6 4" xfId="20997"/>
    <cellStyle name="Percent 3 2 7" xfId="8640"/>
    <cellStyle name="Percent 3 2 7 2" xfId="8641"/>
    <cellStyle name="Percent 3 2 7 2 2" xfId="14686"/>
    <cellStyle name="Percent 3 2 7 2 3" xfId="21000"/>
    <cellStyle name="Percent 3 2 7 3" xfId="14685"/>
    <cellStyle name="Percent 3 2 7 4" xfId="20999"/>
    <cellStyle name="Percent 3 2 8" xfId="8642"/>
    <cellStyle name="Percent 3 2 8 2" xfId="14687"/>
    <cellStyle name="Percent 3 2 8 3" xfId="21001"/>
    <cellStyle name="Percent 3 2 9" xfId="8643"/>
    <cellStyle name="Percent 3 2 9 2" xfId="21002"/>
    <cellStyle name="Percent 3 3" xfId="8644"/>
    <cellStyle name="Percent 3 3 10" xfId="21003"/>
    <cellStyle name="Percent 3 3 2" xfId="8645"/>
    <cellStyle name="Percent 3 3 2 2" xfId="8646"/>
    <cellStyle name="Percent 3 3 2 2 2" xfId="8647"/>
    <cellStyle name="Percent 3 3 2 2 2 2" xfId="8648"/>
    <cellStyle name="Percent 3 3 2 2 2 2 2" xfId="8649"/>
    <cellStyle name="Percent 3 3 2 2 2 2 2 2" xfId="14693"/>
    <cellStyle name="Percent 3 3 2 2 2 2 2 3" xfId="21008"/>
    <cellStyle name="Percent 3 3 2 2 2 2 3" xfId="14692"/>
    <cellStyle name="Percent 3 3 2 2 2 2 4" xfId="21007"/>
    <cellStyle name="Percent 3 3 2 2 2 3" xfId="8650"/>
    <cellStyle name="Percent 3 3 2 2 2 3 2" xfId="8651"/>
    <cellStyle name="Percent 3 3 2 2 2 3 2 2" xfId="14695"/>
    <cellStyle name="Percent 3 3 2 2 2 3 2 3" xfId="21010"/>
    <cellStyle name="Percent 3 3 2 2 2 3 3" xfId="14694"/>
    <cellStyle name="Percent 3 3 2 2 2 3 4" xfId="21009"/>
    <cellStyle name="Percent 3 3 2 2 2 4" xfId="8652"/>
    <cellStyle name="Percent 3 3 2 2 2 4 2" xfId="14696"/>
    <cellStyle name="Percent 3 3 2 2 2 4 3" xfId="21011"/>
    <cellStyle name="Percent 3 3 2 2 2 5" xfId="14691"/>
    <cellStyle name="Percent 3 3 2 2 2 6" xfId="21006"/>
    <cellStyle name="Percent 3 3 2 2 3" xfId="8653"/>
    <cellStyle name="Percent 3 3 2 2 3 2" xfId="8654"/>
    <cellStyle name="Percent 3 3 2 2 3 2 2" xfId="14698"/>
    <cellStyle name="Percent 3 3 2 2 3 2 3" xfId="21013"/>
    <cellStyle name="Percent 3 3 2 2 3 3" xfId="14697"/>
    <cellStyle name="Percent 3 3 2 2 3 4" xfId="21012"/>
    <cellStyle name="Percent 3 3 2 2 4" xfId="8655"/>
    <cellStyle name="Percent 3 3 2 2 4 2" xfId="8656"/>
    <cellStyle name="Percent 3 3 2 2 4 2 2" xfId="14700"/>
    <cellStyle name="Percent 3 3 2 2 4 2 3" xfId="21015"/>
    <cellStyle name="Percent 3 3 2 2 4 3" xfId="14699"/>
    <cellStyle name="Percent 3 3 2 2 4 4" xfId="21014"/>
    <cellStyle name="Percent 3 3 2 2 5" xfId="8657"/>
    <cellStyle name="Percent 3 3 2 2 5 2" xfId="14701"/>
    <cellStyle name="Percent 3 3 2 2 5 3" xfId="21016"/>
    <cellStyle name="Percent 3 3 2 2 6" xfId="14690"/>
    <cellStyle name="Percent 3 3 2 2 7" xfId="21005"/>
    <cellStyle name="Percent 3 3 2 3" xfId="8658"/>
    <cellStyle name="Percent 3 3 2 3 2" xfId="8659"/>
    <cellStyle name="Percent 3 3 2 3 2 2" xfId="8660"/>
    <cellStyle name="Percent 3 3 2 3 2 2 2" xfId="14704"/>
    <cellStyle name="Percent 3 3 2 3 2 2 3" xfId="21019"/>
    <cellStyle name="Percent 3 3 2 3 2 3" xfId="14703"/>
    <cellStyle name="Percent 3 3 2 3 2 4" xfId="21018"/>
    <cellStyle name="Percent 3 3 2 3 3" xfId="8661"/>
    <cellStyle name="Percent 3 3 2 3 3 2" xfId="8662"/>
    <cellStyle name="Percent 3 3 2 3 3 2 2" xfId="14706"/>
    <cellStyle name="Percent 3 3 2 3 3 2 3" xfId="21021"/>
    <cellStyle name="Percent 3 3 2 3 3 3" xfId="14705"/>
    <cellStyle name="Percent 3 3 2 3 3 4" xfId="21020"/>
    <cellStyle name="Percent 3 3 2 3 4" xfId="8663"/>
    <cellStyle name="Percent 3 3 2 3 4 2" xfId="14707"/>
    <cellStyle name="Percent 3 3 2 3 4 3" xfId="21022"/>
    <cellStyle name="Percent 3 3 2 3 5" xfId="14702"/>
    <cellStyle name="Percent 3 3 2 3 6" xfId="21017"/>
    <cellStyle name="Percent 3 3 2 4" xfId="8664"/>
    <cellStyle name="Percent 3 3 2 4 2" xfId="8665"/>
    <cellStyle name="Percent 3 3 2 4 2 2" xfId="14709"/>
    <cellStyle name="Percent 3 3 2 4 2 3" xfId="21024"/>
    <cellStyle name="Percent 3 3 2 4 3" xfId="14708"/>
    <cellStyle name="Percent 3 3 2 4 4" xfId="21023"/>
    <cellStyle name="Percent 3 3 2 5" xfId="8666"/>
    <cellStyle name="Percent 3 3 2 5 2" xfId="8667"/>
    <cellStyle name="Percent 3 3 2 5 2 2" xfId="14711"/>
    <cellStyle name="Percent 3 3 2 5 2 3" xfId="21026"/>
    <cellStyle name="Percent 3 3 2 5 3" xfId="14710"/>
    <cellStyle name="Percent 3 3 2 5 4" xfId="21025"/>
    <cellStyle name="Percent 3 3 2 6" xfId="8668"/>
    <cellStyle name="Percent 3 3 2 6 2" xfId="14712"/>
    <cellStyle name="Percent 3 3 2 6 3" xfId="21027"/>
    <cellStyle name="Percent 3 3 2 7" xfId="14689"/>
    <cellStyle name="Percent 3 3 2 8" xfId="21004"/>
    <cellStyle name="Percent 3 3 3" xfId="8669"/>
    <cellStyle name="Percent 3 3 3 2" xfId="8670"/>
    <cellStyle name="Percent 3 3 3 2 2" xfId="8671"/>
    <cellStyle name="Percent 3 3 3 2 2 2" xfId="8672"/>
    <cellStyle name="Percent 3 3 3 2 2 2 2" xfId="14716"/>
    <cellStyle name="Percent 3 3 3 2 2 2 3" xfId="21031"/>
    <cellStyle name="Percent 3 3 3 2 2 3" xfId="14715"/>
    <cellStyle name="Percent 3 3 3 2 2 4" xfId="21030"/>
    <cellStyle name="Percent 3 3 3 2 3" xfId="8673"/>
    <cellStyle name="Percent 3 3 3 2 3 2" xfId="8674"/>
    <cellStyle name="Percent 3 3 3 2 3 2 2" xfId="14718"/>
    <cellStyle name="Percent 3 3 3 2 3 2 3" xfId="21033"/>
    <cellStyle name="Percent 3 3 3 2 3 3" xfId="14717"/>
    <cellStyle name="Percent 3 3 3 2 3 4" xfId="21032"/>
    <cellStyle name="Percent 3 3 3 2 4" xfId="8675"/>
    <cellStyle name="Percent 3 3 3 2 4 2" xfId="14719"/>
    <cellStyle name="Percent 3 3 3 2 4 3" xfId="21034"/>
    <cellStyle name="Percent 3 3 3 2 5" xfId="14714"/>
    <cellStyle name="Percent 3 3 3 2 6" xfId="21029"/>
    <cellStyle name="Percent 3 3 3 3" xfId="8676"/>
    <cellStyle name="Percent 3 3 3 3 2" xfId="8677"/>
    <cellStyle name="Percent 3 3 3 3 2 2" xfId="14721"/>
    <cellStyle name="Percent 3 3 3 3 2 3" xfId="21036"/>
    <cellStyle name="Percent 3 3 3 3 3" xfId="14720"/>
    <cellStyle name="Percent 3 3 3 3 4" xfId="21035"/>
    <cellStyle name="Percent 3 3 3 4" xfId="8678"/>
    <cellStyle name="Percent 3 3 3 4 2" xfId="8679"/>
    <cellStyle name="Percent 3 3 3 4 2 2" xfId="14723"/>
    <cellStyle name="Percent 3 3 3 4 2 3" xfId="21038"/>
    <cellStyle name="Percent 3 3 3 4 3" xfId="14722"/>
    <cellStyle name="Percent 3 3 3 4 4" xfId="21037"/>
    <cellStyle name="Percent 3 3 3 5" xfId="8680"/>
    <cellStyle name="Percent 3 3 3 5 2" xfId="14724"/>
    <cellStyle name="Percent 3 3 3 5 3" xfId="21039"/>
    <cellStyle name="Percent 3 3 3 6" xfId="14713"/>
    <cellStyle name="Percent 3 3 3 7" xfId="21028"/>
    <cellStyle name="Percent 3 3 4" xfId="8681"/>
    <cellStyle name="Percent 3 3 4 2" xfId="8682"/>
    <cellStyle name="Percent 3 3 4 2 2" xfId="8683"/>
    <cellStyle name="Percent 3 3 4 2 2 2" xfId="14727"/>
    <cellStyle name="Percent 3 3 4 2 2 3" xfId="21042"/>
    <cellStyle name="Percent 3 3 4 2 3" xfId="14726"/>
    <cellStyle name="Percent 3 3 4 2 4" xfId="21041"/>
    <cellStyle name="Percent 3 3 4 3" xfId="8684"/>
    <cellStyle name="Percent 3 3 4 3 2" xfId="8685"/>
    <cellStyle name="Percent 3 3 4 3 2 2" xfId="14729"/>
    <cellStyle name="Percent 3 3 4 3 2 3" xfId="21044"/>
    <cellStyle name="Percent 3 3 4 3 3" xfId="14728"/>
    <cellStyle name="Percent 3 3 4 3 4" xfId="21043"/>
    <cellStyle name="Percent 3 3 4 4" xfId="8686"/>
    <cellStyle name="Percent 3 3 4 4 2" xfId="14730"/>
    <cellStyle name="Percent 3 3 4 4 3" xfId="21045"/>
    <cellStyle name="Percent 3 3 4 5" xfId="14725"/>
    <cellStyle name="Percent 3 3 4 6" xfId="21040"/>
    <cellStyle name="Percent 3 3 5" xfId="8687"/>
    <cellStyle name="Percent 3 3 5 2" xfId="8688"/>
    <cellStyle name="Percent 3 3 5 2 2" xfId="14732"/>
    <cellStyle name="Percent 3 3 5 2 3" xfId="21047"/>
    <cellStyle name="Percent 3 3 5 3" xfId="14731"/>
    <cellStyle name="Percent 3 3 5 4" xfId="21046"/>
    <cellStyle name="Percent 3 3 6" xfId="8689"/>
    <cellStyle name="Percent 3 3 6 2" xfId="8690"/>
    <cellStyle name="Percent 3 3 6 2 2" xfId="14734"/>
    <cellStyle name="Percent 3 3 6 2 3" xfId="21049"/>
    <cellStyle name="Percent 3 3 6 3" xfId="14733"/>
    <cellStyle name="Percent 3 3 6 4" xfId="21048"/>
    <cellStyle name="Percent 3 3 7" xfId="8691"/>
    <cellStyle name="Percent 3 3 7 2" xfId="14735"/>
    <cellStyle name="Percent 3 3 7 3" xfId="21050"/>
    <cellStyle name="Percent 3 3 8" xfId="8692"/>
    <cellStyle name="Percent 3 3 8 2" xfId="21051"/>
    <cellStyle name="Percent 3 3 9" xfId="14688"/>
    <cellStyle name="Percent 3 4" xfId="8693"/>
    <cellStyle name="Percent 3 4 2" xfId="8694"/>
    <cellStyle name="Percent 3 4 2 2" xfId="8695"/>
    <cellStyle name="Percent 3 4 2 2 2" xfId="8696"/>
    <cellStyle name="Percent 3 4 2 2 2 2" xfId="8697"/>
    <cellStyle name="Percent 3 4 2 2 2 2 2" xfId="8698"/>
    <cellStyle name="Percent 3 4 2 2 2 2 2 2" xfId="14741"/>
    <cellStyle name="Percent 3 4 2 2 2 2 2 3" xfId="21057"/>
    <cellStyle name="Percent 3 4 2 2 2 2 3" xfId="14740"/>
    <cellStyle name="Percent 3 4 2 2 2 2 4" xfId="21056"/>
    <cellStyle name="Percent 3 4 2 2 2 3" xfId="8699"/>
    <cellStyle name="Percent 3 4 2 2 2 3 2" xfId="8700"/>
    <cellStyle name="Percent 3 4 2 2 2 3 2 2" xfId="14743"/>
    <cellStyle name="Percent 3 4 2 2 2 3 2 3" xfId="21059"/>
    <cellStyle name="Percent 3 4 2 2 2 3 3" xfId="14742"/>
    <cellStyle name="Percent 3 4 2 2 2 3 4" xfId="21058"/>
    <cellStyle name="Percent 3 4 2 2 2 4" xfId="8701"/>
    <cellStyle name="Percent 3 4 2 2 2 4 2" xfId="14744"/>
    <cellStyle name="Percent 3 4 2 2 2 4 3" xfId="21060"/>
    <cellStyle name="Percent 3 4 2 2 2 5" xfId="14739"/>
    <cellStyle name="Percent 3 4 2 2 2 6" xfId="21055"/>
    <cellStyle name="Percent 3 4 2 2 3" xfId="8702"/>
    <cellStyle name="Percent 3 4 2 2 3 2" xfId="8703"/>
    <cellStyle name="Percent 3 4 2 2 3 2 2" xfId="14746"/>
    <cellStyle name="Percent 3 4 2 2 3 2 3" xfId="21062"/>
    <cellStyle name="Percent 3 4 2 2 3 3" xfId="14745"/>
    <cellStyle name="Percent 3 4 2 2 3 4" xfId="21061"/>
    <cellStyle name="Percent 3 4 2 2 4" xfId="8704"/>
    <cellStyle name="Percent 3 4 2 2 4 2" xfId="8705"/>
    <cellStyle name="Percent 3 4 2 2 4 2 2" xfId="14748"/>
    <cellStyle name="Percent 3 4 2 2 4 2 3" xfId="21064"/>
    <cellStyle name="Percent 3 4 2 2 4 3" xfId="14747"/>
    <cellStyle name="Percent 3 4 2 2 4 4" xfId="21063"/>
    <cellStyle name="Percent 3 4 2 2 5" xfId="8706"/>
    <cellStyle name="Percent 3 4 2 2 5 2" xfId="14749"/>
    <cellStyle name="Percent 3 4 2 2 5 3" xfId="21065"/>
    <cellStyle name="Percent 3 4 2 2 6" xfId="14738"/>
    <cellStyle name="Percent 3 4 2 2 7" xfId="21054"/>
    <cellStyle name="Percent 3 4 2 3" xfId="8707"/>
    <cellStyle name="Percent 3 4 2 3 2" xfId="8708"/>
    <cellStyle name="Percent 3 4 2 3 2 2" xfId="8709"/>
    <cellStyle name="Percent 3 4 2 3 2 2 2" xfId="14752"/>
    <cellStyle name="Percent 3 4 2 3 2 2 3" xfId="21068"/>
    <cellStyle name="Percent 3 4 2 3 2 3" xfId="14751"/>
    <cellStyle name="Percent 3 4 2 3 2 4" xfId="21067"/>
    <cellStyle name="Percent 3 4 2 3 3" xfId="8710"/>
    <cellStyle name="Percent 3 4 2 3 3 2" xfId="8711"/>
    <cellStyle name="Percent 3 4 2 3 3 2 2" xfId="14754"/>
    <cellStyle name="Percent 3 4 2 3 3 2 3" xfId="21070"/>
    <cellStyle name="Percent 3 4 2 3 3 3" xfId="14753"/>
    <cellStyle name="Percent 3 4 2 3 3 4" xfId="21069"/>
    <cellStyle name="Percent 3 4 2 3 4" xfId="8712"/>
    <cellStyle name="Percent 3 4 2 3 4 2" xfId="14755"/>
    <cellStyle name="Percent 3 4 2 3 4 3" xfId="21071"/>
    <cellStyle name="Percent 3 4 2 3 5" xfId="14750"/>
    <cellStyle name="Percent 3 4 2 3 6" xfId="21066"/>
    <cellStyle name="Percent 3 4 2 4" xfId="8713"/>
    <cellStyle name="Percent 3 4 2 4 2" xfId="8714"/>
    <cellStyle name="Percent 3 4 2 4 2 2" xfId="14757"/>
    <cellStyle name="Percent 3 4 2 4 2 3" xfId="21073"/>
    <cellStyle name="Percent 3 4 2 4 3" xfId="14756"/>
    <cellStyle name="Percent 3 4 2 4 4" xfId="21072"/>
    <cellStyle name="Percent 3 4 2 5" xfId="8715"/>
    <cellStyle name="Percent 3 4 2 5 2" xfId="8716"/>
    <cellStyle name="Percent 3 4 2 5 2 2" xfId="14759"/>
    <cellStyle name="Percent 3 4 2 5 2 3" xfId="21075"/>
    <cellStyle name="Percent 3 4 2 5 3" xfId="14758"/>
    <cellStyle name="Percent 3 4 2 5 4" xfId="21074"/>
    <cellStyle name="Percent 3 4 2 6" xfId="8717"/>
    <cellStyle name="Percent 3 4 2 6 2" xfId="14760"/>
    <cellStyle name="Percent 3 4 2 6 3" xfId="21076"/>
    <cellStyle name="Percent 3 4 2 7" xfId="14737"/>
    <cellStyle name="Percent 3 4 2 8" xfId="21053"/>
    <cellStyle name="Percent 3 4 3" xfId="8718"/>
    <cellStyle name="Percent 3 4 3 2" xfId="8719"/>
    <cellStyle name="Percent 3 4 3 2 2" xfId="8720"/>
    <cellStyle name="Percent 3 4 3 2 2 2" xfId="8721"/>
    <cellStyle name="Percent 3 4 3 2 2 2 2" xfId="14764"/>
    <cellStyle name="Percent 3 4 3 2 2 2 3" xfId="21080"/>
    <cellStyle name="Percent 3 4 3 2 2 3" xfId="14763"/>
    <cellStyle name="Percent 3 4 3 2 2 4" xfId="21079"/>
    <cellStyle name="Percent 3 4 3 2 3" xfId="8722"/>
    <cellStyle name="Percent 3 4 3 2 3 2" xfId="8723"/>
    <cellStyle name="Percent 3 4 3 2 3 2 2" xfId="14766"/>
    <cellStyle name="Percent 3 4 3 2 3 2 3" xfId="21082"/>
    <cellStyle name="Percent 3 4 3 2 3 3" xfId="14765"/>
    <cellStyle name="Percent 3 4 3 2 3 4" xfId="21081"/>
    <cellStyle name="Percent 3 4 3 2 4" xfId="8724"/>
    <cellStyle name="Percent 3 4 3 2 4 2" xfId="14767"/>
    <cellStyle name="Percent 3 4 3 2 4 3" xfId="21083"/>
    <cellStyle name="Percent 3 4 3 2 5" xfId="14762"/>
    <cellStyle name="Percent 3 4 3 2 6" xfId="21078"/>
    <cellStyle name="Percent 3 4 3 3" xfId="8725"/>
    <cellStyle name="Percent 3 4 3 3 2" xfId="8726"/>
    <cellStyle name="Percent 3 4 3 3 2 2" xfId="14769"/>
    <cellStyle name="Percent 3 4 3 3 2 3" xfId="21085"/>
    <cellStyle name="Percent 3 4 3 3 3" xfId="14768"/>
    <cellStyle name="Percent 3 4 3 3 4" xfId="21084"/>
    <cellStyle name="Percent 3 4 3 4" xfId="8727"/>
    <cellStyle name="Percent 3 4 3 4 2" xfId="8728"/>
    <cellStyle name="Percent 3 4 3 4 2 2" xfId="14771"/>
    <cellStyle name="Percent 3 4 3 4 2 3" xfId="21087"/>
    <cellStyle name="Percent 3 4 3 4 3" xfId="14770"/>
    <cellStyle name="Percent 3 4 3 4 4" xfId="21086"/>
    <cellStyle name="Percent 3 4 3 5" xfId="8729"/>
    <cellStyle name="Percent 3 4 3 5 2" xfId="14772"/>
    <cellStyle name="Percent 3 4 3 5 3" xfId="21088"/>
    <cellStyle name="Percent 3 4 3 6" xfId="14761"/>
    <cellStyle name="Percent 3 4 3 7" xfId="21077"/>
    <cellStyle name="Percent 3 4 4" xfId="8730"/>
    <cellStyle name="Percent 3 4 4 2" xfId="8731"/>
    <cellStyle name="Percent 3 4 4 2 2" xfId="8732"/>
    <cellStyle name="Percent 3 4 4 2 2 2" xfId="14775"/>
    <cellStyle name="Percent 3 4 4 2 2 3" xfId="21091"/>
    <cellStyle name="Percent 3 4 4 2 3" xfId="14774"/>
    <cellStyle name="Percent 3 4 4 2 4" xfId="21090"/>
    <cellStyle name="Percent 3 4 4 3" xfId="8733"/>
    <cellStyle name="Percent 3 4 4 3 2" xfId="8734"/>
    <cellStyle name="Percent 3 4 4 3 2 2" xfId="14777"/>
    <cellStyle name="Percent 3 4 4 3 2 3" xfId="21093"/>
    <cellStyle name="Percent 3 4 4 3 3" xfId="14776"/>
    <cellStyle name="Percent 3 4 4 3 4" xfId="21092"/>
    <cellStyle name="Percent 3 4 4 4" xfId="8735"/>
    <cellStyle name="Percent 3 4 4 4 2" xfId="14778"/>
    <cellStyle name="Percent 3 4 4 4 3" xfId="21094"/>
    <cellStyle name="Percent 3 4 4 5" xfId="14773"/>
    <cellStyle name="Percent 3 4 4 6" xfId="21089"/>
    <cellStyle name="Percent 3 4 5" xfId="8736"/>
    <cellStyle name="Percent 3 4 5 2" xfId="8737"/>
    <cellStyle name="Percent 3 4 5 2 2" xfId="14780"/>
    <cellStyle name="Percent 3 4 5 2 3" xfId="21096"/>
    <cellStyle name="Percent 3 4 5 3" xfId="14779"/>
    <cellStyle name="Percent 3 4 5 4" xfId="21095"/>
    <cellStyle name="Percent 3 4 6" xfId="8738"/>
    <cellStyle name="Percent 3 4 6 2" xfId="8739"/>
    <cellStyle name="Percent 3 4 6 2 2" xfId="14782"/>
    <cellStyle name="Percent 3 4 6 2 3" xfId="21098"/>
    <cellStyle name="Percent 3 4 6 3" xfId="14781"/>
    <cellStyle name="Percent 3 4 6 4" xfId="21097"/>
    <cellStyle name="Percent 3 4 7" xfId="8740"/>
    <cellStyle name="Percent 3 4 7 2" xfId="14783"/>
    <cellStyle name="Percent 3 4 7 3" xfId="21099"/>
    <cellStyle name="Percent 3 4 8" xfId="14736"/>
    <cellStyle name="Percent 3 4 9" xfId="21052"/>
    <cellStyle name="Percent 3 5" xfId="8741"/>
    <cellStyle name="Percent 3 5 2" xfId="8742"/>
    <cellStyle name="Percent 3 5 2 2" xfId="14785"/>
    <cellStyle name="Percent 3 5 2 3" xfId="21101"/>
    <cellStyle name="Percent 3 5 3" xfId="14784"/>
    <cellStyle name="Percent 3 5 4" xfId="21100"/>
    <cellStyle name="Percent 3 6" xfId="8743"/>
    <cellStyle name="Percent 3 6 2" xfId="8744"/>
    <cellStyle name="Percent 3 6 2 2" xfId="8745"/>
    <cellStyle name="Percent 3 6 2 2 2" xfId="8746"/>
    <cellStyle name="Percent 3 6 2 2 2 2" xfId="14789"/>
    <cellStyle name="Percent 3 6 2 2 2 3" xfId="21105"/>
    <cellStyle name="Percent 3 6 2 2 3" xfId="14788"/>
    <cellStyle name="Percent 3 6 2 2 4" xfId="21104"/>
    <cellStyle name="Percent 3 6 2 3" xfId="8747"/>
    <cellStyle name="Percent 3 6 2 3 2" xfId="8748"/>
    <cellStyle name="Percent 3 6 2 3 2 2" xfId="14791"/>
    <cellStyle name="Percent 3 6 2 3 2 3" xfId="21107"/>
    <cellStyle name="Percent 3 6 2 3 3" xfId="14790"/>
    <cellStyle name="Percent 3 6 2 3 4" xfId="21106"/>
    <cellStyle name="Percent 3 6 2 4" xfId="8749"/>
    <cellStyle name="Percent 3 6 2 4 2" xfId="14792"/>
    <cellStyle name="Percent 3 6 2 4 3" xfId="21108"/>
    <cellStyle name="Percent 3 6 2 5" xfId="14787"/>
    <cellStyle name="Percent 3 6 2 6" xfId="21103"/>
    <cellStyle name="Percent 3 6 3" xfId="8750"/>
    <cellStyle name="Percent 3 6 3 2" xfId="8751"/>
    <cellStyle name="Percent 3 6 3 2 2" xfId="14794"/>
    <cellStyle name="Percent 3 6 3 2 3" xfId="21110"/>
    <cellStyle name="Percent 3 6 3 3" xfId="14793"/>
    <cellStyle name="Percent 3 6 3 4" xfId="21109"/>
    <cellStyle name="Percent 3 6 4" xfId="8752"/>
    <cellStyle name="Percent 3 6 4 2" xfId="8753"/>
    <cellStyle name="Percent 3 6 4 2 2" xfId="14796"/>
    <cellStyle name="Percent 3 6 4 2 3" xfId="21112"/>
    <cellStyle name="Percent 3 6 4 3" xfId="14795"/>
    <cellStyle name="Percent 3 6 4 4" xfId="21111"/>
    <cellStyle name="Percent 3 6 5" xfId="8754"/>
    <cellStyle name="Percent 3 6 5 2" xfId="14797"/>
    <cellStyle name="Percent 3 6 5 3" xfId="21113"/>
    <cellStyle name="Percent 3 6 6" xfId="14786"/>
    <cellStyle name="Percent 3 6 7" xfId="21102"/>
    <cellStyle name="Percent 3 7" xfId="8755"/>
    <cellStyle name="Percent 3 7 2" xfId="8756"/>
    <cellStyle name="Percent 3 7 2 2" xfId="8757"/>
    <cellStyle name="Percent 3 7 2 2 2" xfId="14800"/>
    <cellStyle name="Percent 3 7 2 2 3" xfId="21116"/>
    <cellStyle name="Percent 3 7 2 3" xfId="14799"/>
    <cellStyle name="Percent 3 7 2 4" xfId="21115"/>
    <cellStyle name="Percent 3 7 3" xfId="8758"/>
    <cellStyle name="Percent 3 7 3 2" xfId="8759"/>
    <cellStyle name="Percent 3 7 3 2 2" xfId="14802"/>
    <cellStyle name="Percent 3 7 3 2 3" xfId="21118"/>
    <cellStyle name="Percent 3 7 3 3" xfId="14801"/>
    <cellStyle name="Percent 3 7 3 4" xfId="21117"/>
    <cellStyle name="Percent 3 7 4" xfId="8760"/>
    <cellStyle name="Percent 3 7 4 2" xfId="14803"/>
    <cellStyle name="Percent 3 7 4 3" xfId="21119"/>
    <cellStyle name="Percent 3 7 5" xfId="14798"/>
    <cellStyle name="Percent 3 7 6" xfId="21114"/>
    <cellStyle name="Percent 3 8" xfId="8761"/>
    <cellStyle name="Percent 3 8 2" xfId="8762"/>
    <cellStyle name="Percent 3 8 2 2" xfId="14805"/>
    <cellStyle name="Percent 3 8 2 3" xfId="21121"/>
    <cellStyle name="Percent 3 8 3" xfId="14804"/>
    <cellStyle name="Percent 3 8 4" xfId="21120"/>
    <cellStyle name="Percent 3 9" xfId="8763"/>
    <cellStyle name="Percent 3 9 2" xfId="8764"/>
    <cellStyle name="Percent 3 9 2 2" xfId="14807"/>
    <cellStyle name="Percent 3 9 2 3" xfId="21123"/>
    <cellStyle name="Percent 3 9 3" xfId="14806"/>
    <cellStyle name="Percent 3 9 4" xfId="21122"/>
    <cellStyle name="Percent 4" xfId="8765"/>
    <cellStyle name="Percent 4 2" xfId="8766"/>
    <cellStyle name="Percent 4 2 2" xfId="8767"/>
    <cellStyle name="Percent 4 2 2 2" xfId="14810"/>
    <cellStyle name="Percent 4 2 2 3" xfId="21126"/>
    <cellStyle name="Percent 4 2 3" xfId="8768"/>
    <cellStyle name="Percent 4 2 3 2" xfId="21127"/>
    <cellStyle name="Percent 4 2 4" xfId="14809"/>
    <cellStyle name="Percent 4 2 5" xfId="21125"/>
    <cellStyle name="Percent 4 3" xfId="8769"/>
    <cellStyle name="Percent 4 3 2" xfId="8770"/>
    <cellStyle name="Percent 4 3 2 2" xfId="14812"/>
    <cellStyle name="Percent 4 3 2 3" xfId="21129"/>
    <cellStyle name="Percent 4 3 3" xfId="8771"/>
    <cellStyle name="Percent 4 3 3 2" xfId="21130"/>
    <cellStyle name="Percent 4 3 4" xfId="14811"/>
    <cellStyle name="Percent 4 3 5" xfId="21128"/>
    <cellStyle name="Percent 4 4" xfId="8772"/>
    <cellStyle name="Percent 4 4 2" xfId="8773"/>
    <cellStyle name="Percent 4 4 2 2" xfId="8774"/>
    <cellStyle name="Percent 4 4 2 2 2" xfId="14815"/>
    <cellStyle name="Percent 4 4 2 2 3" xfId="21133"/>
    <cellStyle name="Percent 4 4 2 3" xfId="14814"/>
    <cellStyle name="Percent 4 4 2 4" xfId="21132"/>
    <cellStyle name="Percent 4 4 3" xfId="8775"/>
    <cellStyle name="Percent 4 4 3 2" xfId="14816"/>
    <cellStyle name="Percent 4 4 3 3" xfId="21134"/>
    <cellStyle name="Percent 4 4 4" xfId="8776"/>
    <cellStyle name="Percent 4 4 4 2" xfId="21135"/>
    <cellStyle name="Percent 4 4 5" xfId="14813"/>
    <cellStyle name="Percent 4 4 6" xfId="21131"/>
    <cellStyle name="Percent 4 5" xfId="8777"/>
    <cellStyle name="Percent 4 5 2" xfId="14817"/>
    <cellStyle name="Percent 4 5 3" xfId="21136"/>
    <cellStyle name="Percent 4 6" xfId="8778"/>
    <cellStyle name="Percent 4 6 2" xfId="21137"/>
    <cellStyle name="Percent 4 7" xfId="14808"/>
    <cellStyle name="Percent 4 8" xfId="21124"/>
    <cellStyle name="Percent 5" xfId="8779"/>
    <cellStyle name="Percent 5 10" xfId="14818"/>
    <cellStyle name="Percent 5 11" xfId="21138"/>
    <cellStyle name="Percent 5 2" xfId="8780"/>
    <cellStyle name="Percent 5 2 10" xfId="21139"/>
    <cellStyle name="Percent 5 2 2" xfId="8781"/>
    <cellStyle name="Percent 5 2 2 2" xfId="8782"/>
    <cellStyle name="Percent 5 2 2 2 2" xfId="8783"/>
    <cellStyle name="Percent 5 2 2 2 2 2" xfId="8784"/>
    <cellStyle name="Percent 5 2 2 2 2 2 2" xfId="8785"/>
    <cellStyle name="Percent 5 2 2 2 2 2 2 2" xfId="14824"/>
    <cellStyle name="Percent 5 2 2 2 2 2 2 3" xfId="21144"/>
    <cellStyle name="Percent 5 2 2 2 2 2 3" xfId="14823"/>
    <cellStyle name="Percent 5 2 2 2 2 2 4" xfId="21143"/>
    <cellStyle name="Percent 5 2 2 2 2 3" xfId="8786"/>
    <cellStyle name="Percent 5 2 2 2 2 3 2" xfId="8787"/>
    <cellStyle name="Percent 5 2 2 2 2 3 2 2" xfId="14826"/>
    <cellStyle name="Percent 5 2 2 2 2 3 2 3" xfId="21146"/>
    <cellStyle name="Percent 5 2 2 2 2 3 3" xfId="14825"/>
    <cellStyle name="Percent 5 2 2 2 2 3 4" xfId="21145"/>
    <cellStyle name="Percent 5 2 2 2 2 4" xfId="8788"/>
    <cellStyle name="Percent 5 2 2 2 2 4 2" xfId="14827"/>
    <cellStyle name="Percent 5 2 2 2 2 4 3" xfId="21147"/>
    <cellStyle name="Percent 5 2 2 2 2 5" xfId="14822"/>
    <cellStyle name="Percent 5 2 2 2 2 6" xfId="21142"/>
    <cellStyle name="Percent 5 2 2 2 3" xfId="8789"/>
    <cellStyle name="Percent 5 2 2 2 3 2" xfId="8790"/>
    <cellStyle name="Percent 5 2 2 2 3 2 2" xfId="14829"/>
    <cellStyle name="Percent 5 2 2 2 3 2 3" xfId="21149"/>
    <cellStyle name="Percent 5 2 2 2 3 3" xfId="14828"/>
    <cellStyle name="Percent 5 2 2 2 3 4" xfId="21148"/>
    <cellStyle name="Percent 5 2 2 2 4" xfId="8791"/>
    <cellStyle name="Percent 5 2 2 2 4 2" xfId="8792"/>
    <cellStyle name="Percent 5 2 2 2 4 2 2" xfId="14831"/>
    <cellStyle name="Percent 5 2 2 2 4 2 3" xfId="21151"/>
    <cellStyle name="Percent 5 2 2 2 4 3" xfId="14830"/>
    <cellStyle name="Percent 5 2 2 2 4 4" xfId="21150"/>
    <cellStyle name="Percent 5 2 2 2 5" xfId="8793"/>
    <cellStyle name="Percent 5 2 2 2 5 2" xfId="14832"/>
    <cellStyle name="Percent 5 2 2 2 5 3" xfId="21152"/>
    <cellStyle name="Percent 5 2 2 2 6" xfId="14821"/>
    <cellStyle name="Percent 5 2 2 2 7" xfId="21141"/>
    <cellStyle name="Percent 5 2 2 3" xfId="8794"/>
    <cellStyle name="Percent 5 2 2 3 2" xfId="8795"/>
    <cellStyle name="Percent 5 2 2 3 2 2" xfId="8796"/>
    <cellStyle name="Percent 5 2 2 3 2 2 2" xfId="14835"/>
    <cellStyle name="Percent 5 2 2 3 2 2 3" xfId="21155"/>
    <cellStyle name="Percent 5 2 2 3 2 3" xfId="14834"/>
    <cellStyle name="Percent 5 2 2 3 2 4" xfId="21154"/>
    <cellStyle name="Percent 5 2 2 3 3" xfId="8797"/>
    <cellStyle name="Percent 5 2 2 3 3 2" xfId="8798"/>
    <cellStyle name="Percent 5 2 2 3 3 2 2" xfId="14837"/>
    <cellStyle name="Percent 5 2 2 3 3 2 3" xfId="21157"/>
    <cellStyle name="Percent 5 2 2 3 3 3" xfId="14836"/>
    <cellStyle name="Percent 5 2 2 3 3 4" xfId="21156"/>
    <cellStyle name="Percent 5 2 2 3 4" xfId="8799"/>
    <cellStyle name="Percent 5 2 2 3 4 2" xfId="14838"/>
    <cellStyle name="Percent 5 2 2 3 4 3" xfId="21158"/>
    <cellStyle name="Percent 5 2 2 3 5" xfId="14833"/>
    <cellStyle name="Percent 5 2 2 3 6" xfId="21153"/>
    <cellStyle name="Percent 5 2 2 4" xfId="8800"/>
    <cellStyle name="Percent 5 2 2 4 2" xfId="8801"/>
    <cellStyle name="Percent 5 2 2 4 2 2" xfId="14840"/>
    <cellStyle name="Percent 5 2 2 4 2 3" xfId="21160"/>
    <cellStyle name="Percent 5 2 2 4 3" xfId="14839"/>
    <cellStyle name="Percent 5 2 2 4 4" xfId="21159"/>
    <cellStyle name="Percent 5 2 2 5" xfId="8802"/>
    <cellStyle name="Percent 5 2 2 5 2" xfId="8803"/>
    <cellStyle name="Percent 5 2 2 5 2 2" xfId="14842"/>
    <cellStyle name="Percent 5 2 2 5 2 3" xfId="21162"/>
    <cellStyle name="Percent 5 2 2 5 3" xfId="14841"/>
    <cellStyle name="Percent 5 2 2 5 4" xfId="21161"/>
    <cellStyle name="Percent 5 2 2 6" xfId="8804"/>
    <cellStyle name="Percent 5 2 2 6 2" xfId="14843"/>
    <cellStyle name="Percent 5 2 2 6 3" xfId="21163"/>
    <cellStyle name="Percent 5 2 2 7" xfId="14820"/>
    <cellStyle name="Percent 5 2 2 8" xfId="21140"/>
    <cellStyle name="Percent 5 2 3" xfId="8805"/>
    <cellStyle name="Percent 5 2 3 2" xfId="8806"/>
    <cellStyle name="Percent 5 2 3 2 2" xfId="8807"/>
    <cellStyle name="Percent 5 2 3 2 2 2" xfId="8808"/>
    <cellStyle name="Percent 5 2 3 2 2 2 2" xfId="14847"/>
    <cellStyle name="Percent 5 2 3 2 2 2 3" xfId="21167"/>
    <cellStyle name="Percent 5 2 3 2 2 3" xfId="14846"/>
    <cellStyle name="Percent 5 2 3 2 2 4" xfId="21166"/>
    <cellStyle name="Percent 5 2 3 2 3" xfId="8809"/>
    <cellStyle name="Percent 5 2 3 2 3 2" xfId="8810"/>
    <cellStyle name="Percent 5 2 3 2 3 2 2" xfId="14849"/>
    <cellStyle name="Percent 5 2 3 2 3 2 3" xfId="21169"/>
    <cellStyle name="Percent 5 2 3 2 3 3" xfId="14848"/>
    <cellStyle name="Percent 5 2 3 2 3 4" xfId="21168"/>
    <cellStyle name="Percent 5 2 3 2 4" xfId="8811"/>
    <cellStyle name="Percent 5 2 3 2 4 2" xfId="14850"/>
    <cellStyle name="Percent 5 2 3 2 4 3" xfId="21170"/>
    <cellStyle name="Percent 5 2 3 2 5" xfId="14845"/>
    <cellStyle name="Percent 5 2 3 2 6" xfId="21165"/>
    <cellStyle name="Percent 5 2 3 3" xfId="8812"/>
    <cellStyle name="Percent 5 2 3 3 2" xfId="8813"/>
    <cellStyle name="Percent 5 2 3 3 2 2" xfId="14852"/>
    <cellStyle name="Percent 5 2 3 3 2 3" xfId="21172"/>
    <cellStyle name="Percent 5 2 3 3 3" xfId="14851"/>
    <cellStyle name="Percent 5 2 3 3 4" xfId="21171"/>
    <cellStyle name="Percent 5 2 3 4" xfId="8814"/>
    <cellStyle name="Percent 5 2 3 4 2" xfId="8815"/>
    <cellStyle name="Percent 5 2 3 4 2 2" xfId="14854"/>
    <cellStyle name="Percent 5 2 3 4 2 3" xfId="21174"/>
    <cellStyle name="Percent 5 2 3 4 3" xfId="14853"/>
    <cellStyle name="Percent 5 2 3 4 4" xfId="21173"/>
    <cellStyle name="Percent 5 2 3 5" xfId="8816"/>
    <cellStyle name="Percent 5 2 3 5 2" xfId="14855"/>
    <cellStyle name="Percent 5 2 3 5 3" xfId="21175"/>
    <cellStyle name="Percent 5 2 3 6" xfId="14844"/>
    <cellStyle name="Percent 5 2 3 7" xfId="21164"/>
    <cellStyle name="Percent 5 2 4" xfId="8817"/>
    <cellStyle name="Percent 5 2 4 2" xfId="8818"/>
    <cellStyle name="Percent 5 2 4 2 2" xfId="8819"/>
    <cellStyle name="Percent 5 2 4 2 2 2" xfId="14858"/>
    <cellStyle name="Percent 5 2 4 2 2 3" xfId="21178"/>
    <cellStyle name="Percent 5 2 4 2 3" xfId="14857"/>
    <cellStyle name="Percent 5 2 4 2 4" xfId="21177"/>
    <cellStyle name="Percent 5 2 4 3" xfId="8820"/>
    <cellStyle name="Percent 5 2 4 3 2" xfId="8821"/>
    <cellStyle name="Percent 5 2 4 3 2 2" xfId="14860"/>
    <cellStyle name="Percent 5 2 4 3 2 3" xfId="21180"/>
    <cellStyle name="Percent 5 2 4 3 3" xfId="14859"/>
    <cellStyle name="Percent 5 2 4 3 4" xfId="21179"/>
    <cellStyle name="Percent 5 2 4 4" xfId="8822"/>
    <cellStyle name="Percent 5 2 4 4 2" xfId="14861"/>
    <cellStyle name="Percent 5 2 4 4 3" xfId="21181"/>
    <cellStyle name="Percent 5 2 4 5" xfId="14856"/>
    <cellStyle name="Percent 5 2 4 6" xfId="21176"/>
    <cellStyle name="Percent 5 2 5" xfId="8823"/>
    <cellStyle name="Percent 5 2 5 2" xfId="8824"/>
    <cellStyle name="Percent 5 2 5 2 2" xfId="14863"/>
    <cellStyle name="Percent 5 2 5 2 3" xfId="21183"/>
    <cellStyle name="Percent 5 2 5 3" xfId="14862"/>
    <cellStyle name="Percent 5 2 5 4" xfId="21182"/>
    <cellStyle name="Percent 5 2 6" xfId="8825"/>
    <cellStyle name="Percent 5 2 6 2" xfId="8826"/>
    <cellStyle name="Percent 5 2 6 2 2" xfId="14865"/>
    <cellStyle name="Percent 5 2 6 2 3" xfId="21185"/>
    <cellStyle name="Percent 5 2 6 3" xfId="14864"/>
    <cellStyle name="Percent 5 2 6 4" xfId="21184"/>
    <cellStyle name="Percent 5 2 7" xfId="8827"/>
    <cellStyle name="Percent 5 2 7 2" xfId="14866"/>
    <cellStyle name="Percent 5 2 7 3" xfId="21186"/>
    <cellStyle name="Percent 5 2 8" xfId="8828"/>
    <cellStyle name="Percent 5 2 8 2" xfId="21187"/>
    <cellStyle name="Percent 5 2 9" xfId="14819"/>
    <cellStyle name="Percent 5 3" xfId="8829"/>
    <cellStyle name="Percent 5 3 2" xfId="8830"/>
    <cellStyle name="Percent 5 3 2 2" xfId="8831"/>
    <cellStyle name="Percent 5 3 2 2 2" xfId="8832"/>
    <cellStyle name="Percent 5 3 2 2 2 2" xfId="8833"/>
    <cellStyle name="Percent 5 3 2 2 2 2 2" xfId="14871"/>
    <cellStyle name="Percent 5 3 2 2 2 2 3" xfId="21192"/>
    <cellStyle name="Percent 5 3 2 2 2 3" xfId="14870"/>
    <cellStyle name="Percent 5 3 2 2 2 4" xfId="21191"/>
    <cellStyle name="Percent 5 3 2 2 3" xfId="8834"/>
    <cellStyle name="Percent 5 3 2 2 3 2" xfId="8835"/>
    <cellStyle name="Percent 5 3 2 2 3 2 2" xfId="14873"/>
    <cellStyle name="Percent 5 3 2 2 3 2 3" xfId="21194"/>
    <cellStyle name="Percent 5 3 2 2 3 3" xfId="14872"/>
    <cellStyle name="Percent 5 3 2 2 3 4" xfId="21193"/>
    <cellStyle name="Percent 5 3 2 2 4" xfId="8836"/>
    <cellStyle name="Percent 5 3 2 2 4 2" xfId="14874"/>
    <cellStyle name="Percent 5 3 2 2 4 3" xfId="21195"/>
    <cellStyle name="Percent 5 3 2 2 5" xfId="14869"/>
    <cellStyle name="Percent 5 3 2 2 6" xfId="21190"/>
    <cellStyle name="Percent 5 3 2 3" xfId="8837"/>
    <cellStyle name="Percent 5 3 2 3 2" xfId="8838"/>
    <cellStyle name="Percent 5 3 2 3 2 2" xfId="14876"/>
    <cellStyle name="Percent 5 3 2 3 2 3" xfId="21197"/>
    <cellStyle name="Percent 5 3 2 3 3" xfId="14875"/>
    <cellStyle name="Percent 5 3 2 3 4" xfId="21196"/>
    <cellStyle name="Percent 5 3 2 4" xfId="8839"/>
    <cellStyle name="Percent 5 3 2 4 2" xfId="8840"/>
    <cellStyle name="Percent 5 3 2 4 2 2" xfId="14878"/>
    <cellStyle name="Percent 5 3 2 4 2 3" xfId="21199"/>
    <cellStyle name="Percent 5 3 2 4 3" xfId="14877"/>
    <cellStyle name="Percent 5 3 2 4 4" xfId="21198"/>
    <cellStyle name="Percent 5 3 2 5" xfId="8841"/>
    <cellStyle name="Percent 5 3 2 5 2" xfId="14879"/>
    <cellStyle name="Percent 5 3 2 5 3" xfId="21200"/>
    <cellStyle name="Percent 5 3 2 6" xfId="14868"/>
    <cellStyle name="Percent 5 3 2 7" xfId="21189"/>
    <cellStyle name="Percent 5 3 3" xfId="8842"/>
    <cellStyle name="Percent 5 3 3 2" xfId="8843"/>
    <cellStyle name="Percent 5 3 3 2 2" xfId="8844"/>
    <cellStyle name="Percent 5 3 3 2 2 2" xfId="14882"/>
    <cellStyle name="Percent 5 3 3 2 2 3" xfId="21203"/>
    <cellStyle name="Percent 5 3 3 2 3" xfId="14881"/>
    <cellStyle name="Percent 5 3 3 2 4" xfId="21202"/>
    <cellStyle name="Percent 5 3 3 3" xfId="8845"/>
    <cellStyle name="Percent 5 3 3 3 2" xfId="8846"/>
    <cellStyle name="Percent 5 3 3 3 2 2" xfId="14884"/>
    <cellStyle name="Percent 5 3 3 3 2 3" xfId="21205"/>
    <cellStyle name="Percent 5 3 3 3 3" xfId="14883"/>
    <cellStyle name="Percent 5 3 3 3 4" xfId="21204"/>
    <cellStyle name="Percent 5 3 3 4" xfId="8847"/>
    <cellStyle name="Percent 5 3 3 4 2" xfId="14885"/>
    <cellStyle name="Percent 5 3 3 4 3" xfId="21206"/>
    <cellStyle name="Percent 5 3 3 5" xfId="14880"/>
    <cellStyle name="Percent 5 3 3 6" xfId="21201"/>
    <cellStyle name="Percent 5 3 4" xfId="8848"/>
    <cellStyle name="Percent 5 3 4 2" xfId="8849"/>
    <cellStyle name="Percent 5 3 4 2 2" xfId="14887"/>
    <cellStyle name="Percent 5 3 4 2 3" xfId="21208"/>
    <cellStyle name="Percent 5 3 4 3" xfId="14886"/>
    <cellStyle name="Percent 5 3 4 4" xfId="21207"/>
    <cellStyle name="Percent 5 3 5" xfId="8850"/>
    <cellStyle name="Percent 5 3 5 2" xfId="8851"/>
    <cellStyle name="Percent 5 3 5 2 2" xfId="14889"/>
    <cellStyle name="Percent 5 3 5 2 3" xfId="21210"/>
    <cellStyle name="Percent 5 3 5 3" xfId="14888"/>
    <cellStyle name="Percent 5 3 5 4" xfId="21209"/>
    <cellStyle name="Percent 5 3 6" xfId="8852"/>
    <cellStyle name="Percent 5 3 6 2" xfId="14890"/>
    <cellStyle name="Percent 5 3 6 3" xfId="21211"/>
    <cellStyle name="Percent 5 3 7" xfId="14867"/>
    <cellStyle name="Percent 5 3 8" xfId="21188"/>
    <cellStyle name="Percent 5 4" xfId="8853"/>
    <cellStyle name="Percent 5 4 2" xfId="8854"/>
    <cellStyle name="Percent 5 4 2 2" xfId="8855"/>
    <cellStyle name="Percent 5 4 2 2 2" xfId="8856"/>
    <cellStyle name="Percent 5 4 2 2 2 2" xfId="14894"/>
    <cellStyle name="Percent 5 4 2 2 2 3" xfId="21215"/>
    <cellStyle name="Percent 5 4 2 2 3" xfId="14893"/>
    <cellStyle name="Percent 5 4 2 2 4" xfId="21214"/>
    <cellStyle name="Percent 5 4 2 3" xfId="8857"/>
    <cellStyle name="Percent 5 4 2 3 2" xfId="8858"/>
    <cellStyle name="Percent 5 4 2 3 2 2" xfId="14896"/>
    <cellStyle name="Percent 5 4 2 3 2 3" xfId="21217"/>
    <cellStyle name="Percent 5 4 2 3 3" xfId="14895"/>
    <cellStyle name="Percent 5 4 2 3 4" xfId="21216"/>
    <cellStyle name="Percent 5 4 2 4" xfId="8859"/>
    <cellStyle name="Percent 5 4 2 4 2" xfId="14897"/>
    <cellStyle name="Percent 5 4 2 4 3" xfId="21218"/>
    <cellStyle name="Percent 5 4 2 5" xfId="14892"/>
    <cellStyle name="Percent 5 4 2 6" xfId="21213"/>
    <cellStyle name="Percent 5 4 3" xfId="8860"/>
    <cellStyle name="Percent 5 4 3 2" xfId="8861"/>
    <cellStyle name="Percent 5 4 3 2 2" xfId="14899"/>
    <cellStyle name="Percent 5 4 3 2 3" xfId="21220"/>
    <cellStyle name="Percent 5 4 3 3" xfId="14898"/>
    <cellStyle name="Percent 5 4 3 4" xfId="21219"/>
    <cellStyle name="Percent 5 4 4" xfId="8862"/>
    <cellStyle name="Percent 5 4 4 2" xfId="8863"/>
    <cellStyle name="Percent 5 4 4 2 2" xfId="14901"/>
    <cellStyle name="Percent 5 4 4 2 3" xfId="21222"/>
    <cellStyle name="Percent 5 4 4 3" xfId="14900"/>
    <cellStyle name="Percent 5 4 4 4" xfId="21221"/>
    <cellStyle name="Percent 5 4 5" xfId="8864"/>
    <cellStyle name="Percent 5 4 5 2" xfId="14902"/>
    <cellStyle name="Percent 5 4 5 3" xfId="21223"/>
    <cellStyle name="Percent 5 4 6" xfId="14891"/>
    <cellStyle name="Percent 5 4 7" xfId="21212"/>
    <cellStyle name="Percent 5 5" xfId="8865"/>
    <cellStyle name="Percent 5 5 2" xfId="8866"/>
    <cellStyle name="Percent 5 5 2 2" xfId="8867"/>
    <cellStyle name="Percent 5 5 2 2 2" xfId="14905"/>
    <cellStyle name="Percent 5 5 2 2 3" xfId="21226"/>
    <cellStyle name="Percent 5 5 2 3" xfId="14904"/>
    <cellStyle name="Percent 5 5 2 4" xfId="21225"/>
    <cellStyle name="Percent 5 5 3" xfId="8868"/>
    <cellStyle name="Percent 5 5 3 2" xfId="8869"/>
    <cellStyle name="Percent 5 5 3 2 2" xfId="14907"/>
    <cellStyle name="Percent 5 5 3 2 3" xfId="21228"/>
    <cellStyle name="Percent 5 5 3 3" xfId="14906"/>
    <cellStyle name="Percent 5 5 3 4" xfId="21227"/>
    <cellStyle name="Percent 5 5 4" xfId="8870"/>
    <cellStyle name="Percent 5 5 4 2" xfId="14908"/>
    <cellStyle name="Percent 5 5 4 3" xfId="21229"/>
    <cellStyle name="Percent 5 5 5" xfId="14903"/>
    <cellStyle name="Percent 5 5 6" xfId="21224"/>
    <cellStyle name="Percent 5 6" xfId="8871"/>
    <cellStyle name="Percent 5 6 2" xfId="8872"/>
    <cellStyle name="Percent 5 6 2 2" xfId="14910"/>
    <cellStyle name="Percent 5 6 2 3" xfId="21231"/>
    <cellStyle name="Percent 5 6 3" xfId="14909"/>
    <cellStyle name="Percent 5 6 4" xfId="21230"/>
    <cellStyle name="Percent 5 7" xfId="8873"/>
    <cellStyle name="Percent 5 7 2" xfId="8874"/>
    <cellStyle name="Percent 5 7 2 2" xfId="14912"/>
    <cellStyle name="Percent 5 7 2 3" xfId="21233"/>
    <cellStyle name="Percent 5 7 3" xfId="14911"/>
    <cellStyle name="Percent 5 7 4" xfId="21232"/>
    <cellStyle name="Percent 5 8" xfId="8875"/>
    <cellStyle name="Percent 5 8 2" xfId="14913"/>
    <cellStyle name="Percent 5 8 3" xfId="21234"/>
    <cellStyle name="Percent 5 9" xfId="8876"/>
    <cellStyle name="Percent 5 9 2" xfId="21235"/>
    <cellStyle name="Percent 6" xfId="8877"/>
    <cellStyle name="Percent 6 10" xfId="21236"/>
    <cellStyle name="Percent 6 2" xfId="8878"/>
    <cellStyle name="Percent 6 2 2" xfId="8879"/>
    <cellStyle name="Percent 6 2 2 2" xfId="8880"/>
    <cellStyle name="Percent 6 2 2 2 2" xfId="8881"/>
    <cellStyle name="Percent 6 2 2 2 2 2" xfId="8882"/>
    <cellStyle name="Percent 6 2 2 2 2 2 2" xfId="14919"/>
    <cellStyle name="Percent 6 2 2 2 2 2 3" xfId="21241"/>
    <cellStyle name="Percent 6 2 2 2 2 3" xfId="14918"/>
    <cellStyle name="Percent 6 2 2 2 2 4" xfId="21240"/>
    <cellStyle name="Percent 6 2 2 2 3" xfId="8883"/>
    <cellStyle name="Percent 6 2 2 2 3 2" xfId="8884"/>
    <cellStyle name="Percent 6 2 2 2 3 2 2" xfId="14921"/>
    <cellStyle name="Percent 6 2 2 2 3 2 3" xfId="21243"/>
    <cellStyle name="Percent 6 2 2 2 3 3" xfId="14920"/>
    <cellStyle name="Percent 6 2 2 2 3 4" xfId="21242"/>
    <cellStyle name="Percent 6 2 2 2 4" xfId="8885"/>
    <cellStyle name="Percent 6 2 2 2 4 2" xfId="14922"/>
    <cellStyle name="Percent 6 2 2 2 4 3" xfId="21244"/>
    <cellStyle name="Percent 6 2 2 2 5" xfId="14917"/>
    <cellStyle name="Percent 6 2 2 2 6" xfId="21239"/>
    <cellStyle name="Percent 6 2 2 3" xfId="8886"/>
    <cellStyle name="Percent 6 2 2 3 2" xfId="8887"/>
    <cellStyle name="Percent 6 2 2 3 2 2" xfId="14924"/>
    <cellStyle name="Percent 6 2 2 3 2 3" xfId="21246"/>
    <cellStyle name="Percent 6 2 2 3 3" xfId="14923"/>
    <cellStyle name="Percent 6 2 2 3 4" xfId="21245"/>
    <cellStyle name="Percent 6 2 2 4" xfId="8888"/>
    <cellStyle name="Percent 6 2 2 4 2" xfId="8889"/>
    <cellStyle name="Percent 6 2 2 4 2 2" xfId="14926"/>
    <cellStyle name="Percent 6 2 2 4 2 3" xfId="21248"/>
    <cellStyle name="Percent 6 2 2 4 3" xfId="14925"/>
    <cellStyle name="Percent 6 2 2 4 4" xfId="21247"/>
    <cellStyle name="Percent 6 2 2 5" xfId="8890"/>
    <cellStyle name="Percent 6 2 2 5 2" xfId="14927"/>
    <cellStyle name="Percent 6 2 2 5 3" xfId="21249"/>
    <cellStyle name="Percent 6 2 2 6" xfId="14916"/>
    <cellStyle name="Percent 6 2 2 7" xfId="21238"/>
    <cellStyle name="Percent 6 2 3" xfId="8891"/>
    <cellStyle name="Percent 6 2 3 2" xfId="8892"/>
    <cellStyle name="Percent 6 2 3 2 2" xfId="8893"/>
    <cellStyle name="Percent 6 2 3 2 2 2" xfId="14930"/>
    <cellStyle name="Percent 6 2 3 2 2 3" xfId="21252"/>
    <cellStyle name="Percent 6 2 3 2 3" xfId="14929"/>
    <cellStyle name="Percent 6 2 3 2 4" xfId="21251"/>
    <cellStyle name="Percent 6 2 3 3" xfId="8894"/>
    <cellStyle name="Percent 6 2 3 3 2" xfId="8895"/>
    <cellStyle name="Percent 6 2 3 3 2 2" xfId="14932"/>
    <cellStyle name="Percent 6 2 3 3 2 3" xfId="21254"/>
    <cellStyle name="Percent 6 2 3 3 3" xfId="14931"/>
    <cellStyle name="Percent 6 2 3 3 4" xfId="21253"/>
    <cellStyle name="Percent 6 2 3 4" xfId="8896"/>
    <cellStyle name="Percent 6 2 3 4 2" xfId="14933"/>
    <cellStyle name="Percent 6 2 3 4 3" xfId="21255"/>
    <cellStyle name="Percent 6 2 3 5" xfId="14928"/>
    <cellStyle name="Percent 6 2 3 6" xfId="21250"/>
    <cellStyle name="Percent 6 2 4" xfId="8897"/>
    <cellStyle name="Percent 6 2 4 2" xfId="8898"/>
    <cellStyle name="Percent 6 2 4 2 2" xfId="14935"/>
    <cellStyle name="Percent 6 2 4 2 3" xfId="21257"/>
    <cellStyle name="Percent 6 2 4 3" xfId="14934"/>
    <cellStyle name="Percent 6 2 4 4" xfId="21256"/>
    <cellStyle name="Percent 6 2 5" xfId="8899"/>
    <cellStyle name="Percent 6 2 5 2" xfId="8900"/>
    <cellStyle name="Percent 6 2 5 2 2" xfId="14937"/>
    <cellStyle name="Percent 6 2 5 2 3" xfId="21259"/>
    <cellStyle name="Percent 6 2 5 3" xfId="14936"/>
    <cellStyle name="Percent 6 2 5 4" xfId="21258"/>
    <cellStyle name="Percent 6 2 6" xfId="8901"/>
    <cellStyle name="Percent 6 2 6 2" xfId="14938"/>
    <cellStyle name="Percent 6 2 6 3" xfId="21260"/>
    <cellStyle name="Percent 6 2 7" xfId="8902"/>
    <cellStyle name="Percent 6 2 7 2" xfId="21261"/>
    <cellStyle name="Percent 6 2 8" xfId="14915"/>
    <cellStyle name="Percent 6 2 9" xfId="21237"/>
    <cellStyle name="Percent 6 3" xfId="8903"/>
    <cellStyle name="Percent 6 3 2" xfId="8904"/>
    <cellStyle name="Percent 6 3 2 2" xfId="8905"/>
    <cellStyle name="Percent 6 3 2 2 2" xfId="8906"/>
    <cellStyle name="Percent 6 3 2 2 2 2" xfId="14942"/>
    <cellStyle name="Percent 6 3 2 2 2 3" xfId="21265"/>
    <cellStyle name="Percent 6 3 2 2 3" xfId="14941"/>
    <cellStyle name="Percent 6 3 2 2 4" xfId="21264"/>
    <cellStyle name="Percent 6 3 2 3" xfId="8907"/>
    <cellStyle name="Percent 6 3 2 3 2" xfId="8908"/>
    <cellStyle name="Percent 6 3 2 3 2 2" xfId="14944"/>
    <cellStyle name="Percent 6 3 2 3 2 3" xfId="21267"/>
    <cellStyle name="Percent 6 3 2 3 3" xfId="14943"/>
    <cellStyle name="Percent 6 3 2 3 4" xfId="21266"/>
    <cellStyle name="Percent 6 3 2 4" xfId="8909"/>
    <cellStyle name="Percent 6 3 2 4 2" xfId="14945"/>
    <cellStyle name="Percent 6 3 2 4 3" xfId="21268"/>
    <cellStyle name="Percent 6 3 2 5" xfId="14940"/>
    <cellStyle name="Percent 6 3 2 6" xfId="21263"/>
    <cellStyle name="Percent 6 3 3" xfId="8910"/>
    <cellStyle name="Percent 6 3 3 2" xfId="8911"/>
    <cellStyle name="Percent 6 3 3 2 2" xfId="14947"/>
    <cellStyle name="Percent 6 3 3 2 3" xfId="21270"/>
    <cellStyle name="Percent 6 3 3 3" xfId="14946"/>
    <cellStyle name="Percent 6 3 3 4" xfId="21269"/>
    <cellStyle name="Percent 6 3 4" xfId="8912"/>
    <cellStyle name="Percent 6 3 4 2" xfId="8913"/>
    <cellStyle name="Percent 6 3 4 2 2" xfId="14949"/>
    <cellStyle name="Percent 6 3 4 2 3" xfId="21272"/>
    <cellStyle name="Percent 6 3 4 3" xfId="14948"/>
    <cellStyle name="Percent 6 3 4 4" xfId="21271"/>
    <cellStyle name="Percent 6 3 5" xfId="8914"/>
    <cellStyle name="Percent 6 3 5 2" xfId="14950"/>
    <cellStyle name="Percent 6 3 5 3" xfId="21273"/>
    <cellStyle name="Percent 6 3 6" xfId="14939"/>
    <cellStyle name="Percent 6 3 7" xfId="21262"/>
    <cellStyle name="Percent 6 4" xfId="8915"/>
    <cellStyle name="Percent 6 4 2" xfId="8916"/>
    <cellStyle name="Percent 6 4 2 2" xfId="8917"/>
    <cellStyle name="Percent 6 4 2 2 2" xfId="14953"/>
    <cellStyle name="Percent 6 4 2 2 3" xfId="21276"/>
    <cellStyle name="Percent 6 4 2 3" xfId="14952"/>
    <cellStyle name="Percent 6 4 2 4" xfId="21275"/>
    <cellStyle name="Percent 6 4 3" xfId="8918"/>
    <cellStyle name="Percent 6 4 3 2" xfId="8919"/>
    <cellStyle name="Percent 6 4 3 2 2" xfId="14955"/>
    <cellStyle name="Percent 6 4 3 2 3" xfId="21278"/>
    <cellStyle name="Percent 6 4 3 3" xfId="14954"/>
    <cellStyle name="Percent 6 4 3 4" xfId="21277"/>
    <cellStyle name="Percent 6 4 4" xfId="8920"/>
    <cellStyle name="Percent 6 4 4 2" xfId="14956"/>
    <cellStyle name="Percent 6 4 4 3" xfId="21279"/>
    <cellStyle name="Percent 6 4 5" xfId="14951"/>
    <cellStyle name="Percent 6 4 6" xfId="21274"/>
    <cellStyle name="Percent 6 5" xfId="8921"/>
    <cellStyle name="Percent 6 5 2" xfId="8922"/>
    <cellStyle name="Percent 6 5 2 2" xfId="14958"/>
    <cellStyle name="Percent 6 5 2 3" xfId="21281"/>
    <cellStyle name="Percent 6 5 3" xfId="14957"/>
    <cellStyle name="Percent 6 5 4" xfId="21280"/>
    <cellStyle name="Percent 6 6" xfId="8923"/>
    <cellStyle name="Percent 6 6 2" xfId="8924"/>
    <cellStyle name="Percent 6 6 2 2" xfId="14960"/>
    <cellStyle name="Percent 6 6 2 3" xfId="21283"/>
    <cellStyle name="Percent 6 6 3" xfId="14959"/>
    <cellStyle name="Percent 6 6 4" xfId="21282"/>
    <cellStyle name="Percent 6 7" xfId="8925"/>
    <cellStyle name="Percent 6 7 2" xfId="14961"/>
    <cellStyle name="Percent 6 7 3" xfId="21284"/>
    <cellStyle name="Percent 6 8" xfId="8926"/>
    <cellStyle name="Percent 6 8 2" xfId="21285"/>
    <cellStyle name="Percent 6 9" xfId="14914"/>
    <cellStyle name="Percent 7" xfId="8927"/>
    <cellStyle name="Percent 7 10" xfId="21286"/>
    <cellStyle name="Percent 7 2" xfId="8928"/>
    <cellStyle name="Percent 7 2 2" xfId="8929"/>
    <cellStyle name="Percent 7 2 2 2" xfId="8930"/>
    <cellStyle name="Percent 7 2 2 2 2" xfId="8931"/>
    <cellStyle name="Percent 7 2 2 2 2 2" xfId="8932"/>
    <cellStyle name="Percent 7 2 2 2 2 2 2" xfId="14967"/>
    <cellStyle name="Percent 7 2 2 2 2 2 3" xfId="21291"/>
    <cellStyle name="Percent 7 2 2 2 2 3" xfId="14966"/>
    <cellStyle name="Percent 7 2 2 2 2 4" xfId="21290"/>
    <cellStyle name="Percent 7 2 2 2 3" xfId="8933"/>
    <cellStyle name="Percent 7 2 2 2 3 2" xfId="8934"/>
    <cellStyle name="Percent 7 2 2 2 3 2 2" xfId="14969"/>
    <cellStyle name="Percent 7 2 2 2 3 2 3" xfId="21293"/>
    <cellStyle name="Percent 7 2 2 2 3 3" xfId="14968"/>
    <cellStyle name="Percent 7 2 2 2 3 4" xfId="21292"/>
    <cellStyle name="Percent 7 2 2 2 4" xfId="8935"/>
    <cellStyle name="Percent 7 2 2 2 4 2" xfId="14970"/>
    <cellStyle name="Percent 7 2 2 2 4 3" xfId="21294"/>
    <cellStyle name="Percent 7 2 2 2 5" xfId="14965"/>
    <cellStyle name="Percent 7 2 2 2 6" xfId="21289"/>
    <cellStyle name="Percent 7 2 2 3" xfId="8936"/>
    <cellStyle name="Percent 7 2 2 3 2" xfId="8937"/>
    <cellStyle name="Percent 7 2 2 3 2 2" xfId="14972"/>
    <cellStyle name="Percent 7 2 2 3 2 3" xfId="21296"/>
    <cellStyle name="Percent 7 2 2 3 3" xfId="14971"/>
    <cellStyle name="Percent 7 2 2 3 4" xfId="21295"/>
    <cellStyle name="Percent 7 2 2 4" xfId="8938"/>
    <cellStyle name="Percent 7 2 2 4 2" xfId="8939"/>
    <cellStyle name="Percent 7 2 2 4 2 2" xfId="14974"/>
    <cellStyle name="Percent 7 2 2 4 2 3" xfId="21298"/>
    <cellStyle name="Percent 7 2 2 4 3" xfId="14973"/>
    <cellStyle name="Percent 7 2 2 4 4" xfId="21297"/>
    <cellStyle name="Percent 7 2 2 5" xfId="8940"/>
    <cellStyle name="Percent 7 2 2 5 2" xfId="14975"/>
    <cellStyle name="Percent 7 2 2 5 3" xfId="21299"/>
    <cellStyle name="Percent 7 2 2 6" xfId="14964"/>
    <cellStyle name="Percent 7 2 2 7" xfId="21288"/>
    <cellStyle name="Percent 7 2 3" xfId="8941"/>
    <cellStyle name="Percent 7 2 3 2" xfId="8942"/>
    <cellStyle name="Percent 7 2 3 2 2" xfId="8943"/>
    <cellStyle name="Percent 7 2 3 2 2 2" xfId="14978"/>
    <cellStyle name="Percent 7 2 3 2 2 3" xfId="21302"/>
    <cellStyle name="Percent 7 2 3 2 3" xfId="14977"/>
    <cellStyle name="Percent 7 2 3 2 4" xfId="21301"/>
    <cellStyle name="Percent 7 2 3 3" xfId="8944"/>
    <cellStyle name="Percent 7 2 3 3 2" xfId="8945"/>
    <cellStyle name="Percent 7 2 3 3 2 2" xfId="14980"/>
    <cellStyle name="Percent 7 2 3 3 2 3" xfId="21304"/>
    <cellStyle name="Percent 7 2 3 3 3" xfId="14979"/>
    <cellStyle name="Percent 7 2 3 3 4" xfId="21303"/>
    <cellStyle name="Percent 7 2 3 4" xfId="8946"/>
    <cellStyle name="Percent 7 2 3 4 2" xfId="14981"/>
    <cellStyle name="Percent 7 2 3 4 3" xfId="21305"/>
    <cellStyle name="Percent 7 2 3 5" xfId="14976"/>
    <cellStyle name="Percent 7 2 3 6" xfId="21300"/>
    <cellStyle name="Percent 7 2 4" xfId="8947"/>
    <cellStyle name="Percent 7 2 4 2" xfId="8948"/>
    <cellStyle name="Percent 7 2 4 2 2" xfId="14983"/>
    <cellStyle name="Percent 7 2 4 2 3" xfId="21307"/>
    <cellStyle name="Percent 7 2 4 3" xfId="14982"/>
    <cellStyle name="Percent 7 2 4 4" xfId="21306"/>
    <cellStyle name="Percent 7 2 5" xfId="8949"/>
    <cellStyle name="Percent 7 2 5 2" xfId="8950"/>
    <cellStyle name="Percent 7 2 5 2 2" xfId="14985"/>
    <cellStyle name="Percent 7 2 5 2 3" xfId="21309"/>
    <cellStyle name="Percent 7 2 5 3" xfId="14984"/>
    <cellStyle name="Percent 7 2 5 4" xfId="21308"/>
    <cellStyle name="Percent 7 2 6" xfId="8951"/>
    <cellStyle name="Percent 7 2 6 2" xfId="14986"/>
    <cellStyle name="Percent 7 2 6 3" xfId="21310"/>
    <cellStyle name="Percent 7 2 7" xfId="8952"/>
    <cellStyle name="Percent 7 2 7 2" xfId="21311"/>
    <cellStyle name="Percent 7 2 8" xfId="14963"/>
    <cellStyle name="Percent 7 2 9" xfId="21287"/>
    <cellStyle name="Percent 7 3" xfId="8953"/>
    <cellStyle name="Percent 7 3 2" xfId="8954"/>
    <cellStyle name="Percent 7 3 2 2" xfId="8955"/>
    <cellStyle name="Percent 7 3 2 2 2" xfId="8956"/>
    <cellStyle name="Percent 7 3 2 2 2 2" xfId="14990"/>
    <cellStyle name="Percent 7 3 2 2 2 3" xfId="21315"/>
    <cellStyle name="Percent 7 3 2 2 3" xfId="14989"/>
    <cellStyle name="Percent 7 3 2 2 4" xfId="21314"/>
    <cellStyle name="Percent 7 3 2 3" xfId="8957"/>
    <cellStyle name="Percent 7 3 2 3 2" xfId="8958"/>
    <cellStyle name="Percent 7 3 2 3 2 2" xfId="14992"/>
    <cellStyle name="Percent 7 3 2 3 2 3" xfId="21317"/>
    <cellStyle name="Percent 7 3 2 3 3" xfId="14991"/>
    <cellStyle name="Percent 7 3 2 3 4" xfId="21316"/>
    <cellStyle name="Percent 7 3 2 4" xfId="8959"/>
    <cellStyle name="Percent 7 3 2 4 2" xfId="14993"/>
    <cellStyle name="Percent 7 3 2 4 3" xfId="21318"/>
    <cellStyle name="Percent 7 3 2 5" xfId="14988"/>
    <cellStyle name="Percent 7 3 2 6" xfId="21313"/>
    <cellStyle name="Percent 7 3 3" xfId="8960"/>
    <cellStyle name="Percent 7 3 3 2" xfId="8961"/>
    <cellStyle name="Percent 7 3 3 2 2" xfId="14995"/>
    <cellStyle name="Percent 7 3 3 2 3" xfId="21320"/>
    <cellStyle name="Percent 7 3 3 3" xfId="14994"/>
    <cellStyle name="Percent 7 3 3 4" xfId="21319"/>
    <cellStyle name="Percent 7 3 4" xfId="8962"/>
    <cellStyle name="Percent 7 3 4 2" xfId="8963"/>
    <cellStyle name="Percent 7 3 4 2 2" xfId="14997"/>
    <cellStyle name="Percent 7 3 4 2 3" xfId="21322"/>
    <cellStyle name="Percent 7 3 4 3" xfId="14996"/>
    <cellStyle name="Percent 7 3 4 4" xfId="21321"/>
    <cellStyle name="Percent 7 3 5" xfId="8964"/>
    <cellStyle name="Percent 7 3 5 2" xfId="14998"/>
    <cellStyle name="Percent 7 3 5 3" xfId="21323"/>
    <cellStyle name="Percent 7 3 6" xfId="8965"/>
    <cellStyle name="Percent 7 3 6 2" xfId="21324"/>
    <cellStyle name="Percent 7 3 7" xfId="14987"/>
    <cellStyle name="Percent 7 3 8" xfId="21312"/>
    <cellStyle name="Percent 7 4" xfId="8966"/>
    <cellStyle name="Percent 7 4 2" xfId="8967"/>
    <cellStyle name="Percent 7 4 2 2" xfId="8968"/>
    <cellStyle name="Percent 7 4 2 2 2" xfId="15001"/>
    <cellStyle name="Percent 7 4 2 2 3" xfId="21327"/>
    <cellStyle name="Percent 7 4 2 3" xfId="15000"/>
    <cellStyle name="Percent 7 4 2 4" xfId="21326"/>
    <cellStyle name="Percent 7 4 3" xfId="8969"/>
    <cellStyle name="Percent 7 4 3 2" xfId="8970"/>
    <cellStyle name="Percent 7 4 3 2 2" xfId="15003"/>
    <cellStyle name="Percent 7 4 3 2 3" xfId="21329"/>
    <cellStyle name="Percent 7 4 3 3" xfId="15002"/>
    <cellStyle name="Percent 7 4 3 4" xfId="21328"/>
    <cellStyle name="Percent 7 4 4" xfId="8971"/>
    <cellStyle name="Percent 7 4 4 2" xfId="15004"/>
    <cellStyle name="Percent 7 4 4 3" xfId="21330"/>
    <cellStyle name="Percent 7 4 5" xfId="14999"/>
    <cellStyle name="Percent 7 4 6" xfId="21325"/>
    <cellStyle name="Percent 7 5" xfId="8972"/>
    <cellStyle name="Percent 7 5 2" xfId="8973"/>
    <cellStyle name="Percent 7 5 2 2" xfId="15006"/>
    <cellStyle name="Percent 7 5 2 3" xfId="21332"/>
    <cellStyle name="Percent 7 5 3" xfId="15005"/>
    <cellStyle name="Percent 7 5 4" xfId="21331"/>
    <cellStyle name="Percent 7 6" xfId="8974"/>
    <cellStyle name="Percent 7 6 2" xfId="8975"/>
    <cellStyle name="Percent 7 6 2 2" xfId="15008"/>
    <cellStyle name="Percent 7 6 2 3" xfId="21334"/>
    <cellStyle name="Percent 7 6 3" xfId="15007"/>
    <cellStyle name="Percent 7 6 4" xfId="21333"/>
    <cellStyle name="Percent 7 7" xfId="8976"/>
    <cellStyle name="Percent 7 7 2" xfId="15009"/>
    <cellStyle name="Percent 7 7 3" xfId="21335"/>
    <cellStyle name="Percent 7 8" xfId="8977"/>
    <cellStyle name="Percent 7 8 2" xfId="21336"/>
    <cellStyle name="Percent 7 9" xfId="14962"/>
    <cellStyle name="Percent 8" xfId="8978"/>
    <cellStyle name="Percent 8 10" xfId="21337"/>
    <cellStyle name="Percent 8 2" xfId="8979"/>
    <cellStyle name="Percent 8 2 2" xfId="8980"/>
    <cellStyle name="Percent 8 2 2 2" xfId="8981"/>
    <cellStyle name="Percent 8 2 2 2 2" xfId="8982"/>
    <cellStyle name="Percent 8 2 2 2 2 2" xfId="15014"/>
    <cellStyle name="Percent 8 2 2 2 2 3" xfId="21341"/>
    <cellStyle name="Percent 8 2 2 2 3" xfId="15013"/>
    <cellStyle name="Percent 8 2 2 2 4" xfId="21340"/>
    <cellStyle name="Percent 8 2 2 3" xfId="8983"/>
    <cellStyle name="Percent 8 2 2 3 2" xfId="8984"/>
    <cellStyle name="Percent 8 2 2 3 2 2" xfId="15016"/>
    <cellStyle name="Percent 8 2 2 3 2 3" xfId="21343"/>
    <cellStyle name="Percent 8 2 2 3 3" xfId="15015"/>
    <cellStyle name="Percent 8 2 2 3 4" xfId="21342"/>
    <cellStyle name="Percent 8 2 2 4" xfId="8985"/>
    <cellStyle name="Percent 8 2 2 4 2" xfId="15017"/>
    <cellStyle name="Percent 8 2 2 4 3" xfId="21344"/>
    <cellStyle name="Percent 8 2 2 5" xfId="15012"/>
    <cellStyle name="Percent 8 2 2 6" xfId="21339"/>
    <cellStyle name="Percent 8 2 3" xfId="8986"/>
    <cellStyle name="Percent 8 2 3 2" xfId="8987"/>
    <cellStyle name="Percent 8 2 3 2 2" xfId="15019"/>
    <cellStyle name="Percent 8 2 3 2 3" xfId="21346"/>
    <cellStyle name="Percent 8 2 3 3" xfId="15018"/>
    <cellStyle name="Percent 8 2 3 4" xfId="21345"/>
    <cellStyle name="Percent 8 2 4" xfId="8988"/>
    <cellStyle name="Percent 8 2 4 2" xfId="8989"/>
    <cellStyle name="Percent 8 2 4 2 2" xfId="15021"/>
    <cellStyle name="Percent 8 2 4 2 3" xfId="21348"/>
    <cellStyle name="Percent 8 2 4 3" xfId="15020"/>
    <cellStyle name="Percent 8 2 4 4" xfId="21347"/>
    <cellStyle name="Percent 8 2 5" xfId="8990"/>
    <cellStyle name="Percent 8 2 5 2" xfId="15022"/>
    <cellStyle name="Percent 8 2 5 3" xfId="21349"/>
    <cellStyle name="Percent 8 2 6" xfId="15011"/>
    <cellStyle name="Percent 8 2 7" xfId="21338"/>
    <cellStyle name="Percent 8 3" xfId="8991"/>
    <cellStyle name="Percent 8 3 2" xfId="8992"/>
    <cellStyle name="Percent 8 3 2 2" xfId="8993"/>
    <cellStyle name="Percent 8 3 2 2 2" xfId="15025"/>
    <cellStyle name="Percent 8 3 2 2 3" xfId="21352"/>
    <cellStyle name="Percent 8 3 2 3" xfId="15024"/>
    <cellStyle name="Percent 8 3 2 4" xfId="21351"/>
    <cellStyle name="Percent 8 3 3" xfId="8994"/>
    <cellStyle name="Percent 8 3 3 2" xfId="8995"/>
    <cellStyle name="Percent 8 3 3 2 2" xfId="15027"/>
    <cellStyle name="Percent 8 3 3 2 3" xfId="21354"/>
    <cellStyle name="Percent 8 3 3 3" xfId="15026"/>
    <cellStyle name="Percent 8 3 3 4" xfId="21353"/>
    <cellStyle name="Percent 8 3 4" xfId="8996"/>
    <cellStyle name="Percent 8 3 4 2" xfId="15028"/>
    <cellStyle name="Percent 8 3 4 3" xfId="21355"/>
    <cellStyle name="Percent 8 3 5" xfId="15023"/>
    <cellStyle name="Percent 8 3 6" xfId="21350"/>
    <cellStyle name="Percent 8 4" xfId="8997"/>
    <cellStyle name="Percent 8 4 2" xfId="8998"/>
    <cellStyle name="Percent 8 4 2 2" xfId="15030"/>
    <cellStyle name="Percent 8 4 2 3" xfId="21357"/>
    <cellStyle name="Percent 8 4 3" xfId="15029"/>
    <cellStyle name="Percent 8 4 4" xfId="21356"/>
    <cellStyle name="Percent 8 5" xfId="8999"/>
    <cellStyle name="Percent 8 5 2" xfId="9000"/>
    <cellStyle name="Percent 8 5 2 2" xfId="15032"/>
    <cellStyle name="Percent 8 5 2 3" xfId="21359"/>
    <cellStyle name="Percent 8 5 3" xfId="15031"/>
    <cellStyle name="Percent 8 5 4" xfId="21358"/>
    <cellStyle name="Percent 8 6" xfId="9001"/>
    <cellStyle name="Percent 8 6 2" xfId="15033"/>
    <cellStyle name="Percent 8 6 3" xfId="21360"/>
    <cellStyle name="Percent 8 7" xfId="9002"/>
    <cellStyle name="Percent 8 7 2" xfId="15034"/>
    <cellStyle name="Percent 8 7 3" xfId="21361"/>
    <cellStyle name="Percent 8 8" xfId="9003"/>
    <cellStyle name="Percent 8 8 2" xfId="21362"/>
    <cellStyle name="Percent 8 9" xfId="15010"/>
    <cellStyle name="Percent 9" xfId="9004"/>
    <cellStyle name="Percent 9 2" xfId="9005"/>
    <cellStyle name="Percent 9 2 2" xfId="15036"/>
    <cellStyle name="Percent 9 2 3" xfId="21364"/>
    <cellStyle name="Percent 9 3" xfId="9006"/>
    <cellStyle name="Percent 9 3 2" xfId="15037"/>
    <cellStyle name="Percent 9 3 3" xfId="21365"/>
    <cellStyle name="Percent 9 4" xfId="9007"/>
    <cellStyle name="Percent 9 4 2" xfId="15038"/>
    <cellStyle name="Percent 9 4 3" xfId="21366"/>
    <cellStyle name="Percent 9 5" xfId="9008"/>
    <cellStyle name="Percent 9 5 2" xfId="21367"/>
    <cellStyle name="Percent 9 6" xfId="15035"/>
    <cellStyle name="Percent 9 7" xfId="21363"/>
    <cellStyle name="Percent(1)" xfId="9009"/>
    <cellStyle name="Percent(1) 2" xfId="9010"/>
    <cellStyle name="Percent(1) 2 2" xfId="21369"/>
    <cellStyle name="Percent(1) 3" xfId="15039"/>
    <cellStyle name="Percent(1) 4" xfId="21368"/>
    <cellStyle name="Percent(2)" xfId="9011"/>
    <cellStyle name="Percent(2) 2" xfId="9012"/>
    <cellStyle name="Percent(2) 2 2" xfId="21371"/>
    <cellStyle name="Percent(2) 3" xfId="15040"/>
    <cellStyle name="Percent(2) 4" xfId="21370"/>
    <cellStyle name="Posting_Period" xfId="9013"/>
    <cellStyle name="PRM" xfId="9014"/>
    <cellStyle name="PRM 2" xfId="9015"/>
    <cellStyle name="PRM 2 2" xfId="9016"/>
    <cellStyle name="PRM 2 2 2" xfId="21374"/>
    <cellStyle name="PRM 2 3" xfId="15042"/>
    <cellStyle name="PRM 2 4" xfId="21373"/>
    <cellStyle name="PRM 3" xfId="9017"/>
    <cellStyle name="PRM 3 2" xfId="9018"/>
    <cellStyle name="PRM 3 2 2" xfId="21376"/>
    <cellStyle name="PRM 3 3" xfId="15043"/>
    <cellStyle name="PRM 3 4" xfId="21375"/>
    <cellStyle name="PRM 4" xfId="9019"/>
    <cellStyle name="PRM 4 2" xfId="21377"/>
    <cellStyle name="PRM 5" xfId="15041"/>
    <cellStyle name="PRM 6" xfId="21372"/>
    <cellStyle name="PRM_2011-11" xfId="9020"/>
    <cellStyle name="PS_Comma" xfId="9021"/>
    <cellStyle name="PSChar" xfId="9022"/>
    <cellStyle name="PSChar 2" xfId="9023"/>
    <cellStyle name="PSChar 2 2" xfId="21379"/>
    <cellStyle name="PSChar 3" xfId="15044"/>
    <cellStyle name="PSChar 4" xfId="21378"/>
    <cellStyle name="PSDate" xfId="9024"/>
    <cellStyle name="PSDate 2" xfId="9025"/>
    <cellStyle name="PSDate 2 2" xfId="21381"/>
    <cellStyle name="PSDate 3" xfId="15045"/>
    <cellStyle name="PSDate 4" xfId="21380"/>
    <cellStyle name="PSDec" xfId="9026"/>
    <cellStyle name="PSDec 2" xfId="9027"/>
    <cellStyle name="PSDec 2 2" xfId="21383"/>
    <cellStyle name="PSDec 3" xfId="15046"/>
    <cellStyle name="PSDec 4" xfId="21382"/>
    <cellStyle name="PSHeading" xfId="9028"/>
    <cellStyle name="PSHeading 2" xfId="9029"/>
    <cellStyle name="PSHeading 2 2" xfId="9030"/>
    <cellStyle name="PSHeading 2 2 2" xfId="15049"/>
    <cellStyle name="PSHeading 2 2 3" xfId="21386"/>
    <cellStyle name="PSHeading 2 3" xfId="15048"/>
    <cellStyle name="PSHeading 2 4" xfId="21385"/>
    <cellStyle name="PSHeading 3" xfId="9031"/>
    <cellStyle name="PSHeading 3 2" xfId="21387"/>
    <cellStyle name="PSHeading 4" xfId="15047"/>
    <cellStyle name="PSHeading 5" xfId="21384"/>
    <cellStyle name="PSInt" xfId="9032"/>
    <cellStyle name="PSInt 2" xfId="9033"/>
    <cellStyle name="PSInt 2 2" xfId="21389"/>
    <cellStyle name="PSInt 3" xfId="15050"/>
    <cellStyle name="PSInt 4" xfId="21388"/>
    <cellStyle name="PSSpacer" xfId="9034"/>
    <cellStyle name="PSSpacer 2" xfId="9035"/>
    <cellStyle name="PSSpacer 2 2" xfId="21391"/>
    <cellStyle name="PSSpacer 3" xfId="15051"/>
    <cellStyle name="PSSpacer 4" xfId="21390"/>
    <cellStyle name="Reset  - Style4" xfId="9036"/>
    <cellStyle name="Reset  - Style4 2" xfId="15052"/>
    <cellStyle name="Reset  - Style4 3" xfId="21392"/>
    <cellStyle name="Reset  - Style7" xfId="9037"/>
    <cellStyle name="Reset  - Style7 2" xfId="15053"/>
    <cellStyle name="Reset  - Style7 3" xfId="21393"/>
    <cellStyle name="STYL0 - Style1" xfId="9038"/>
    <cellStyle name="STYL0 - Style1 2" xfId="9039"/>
    <cellStyle name="STYL0 - Style1 2 2" xfId="21395"/>
    <cellStyle name="STYL0 - Style1 3" xfId="15054"/>
    <cellStyle name="STYL0 - Style1 4" xfId="21394"/>
    <cellStyle name="STYL1 - Style2" xfId="9040"/>
    <cellStyle name="STYL1 - Style2 2" xfId="9041"/>
    <cellStyle name="STYL1 - Style2 2 2" xfId="21397"/>
    <cellStyle name="STYL1 - Style2 3" xfId="15055"/>
    <cellStyle name="STYL1 - Style2 4" xfId="21396"/>
    <cellStyle name="STYL2 - Style3" xfId="9042"/>
    <cellStyle name="STYL2 - Style3 2" xfId="9043"/>
    <cellStyle name="STYL2 - Style3 2 2" xfId="21399"/>
    <cellStyle name="STYL2 - Style3 3" xfId="15056"/>
    <cellStyle name="STYL2 - Style3 4" xfId="21398"/>
    <cellStyle name="STYL3 - Style4" xfId="9044"/>
    <cellStyle name="STYL3 - Style4 2" xfId="9045"/>
    <cellStyle name="STYL3 - Style4 2 2" xfId="21401"/>
    <cellStyle name="STYL3 - Style4 3" xfId="15057"/>
    <cellStyle name="STYL3 - Style4 4" xfId="21400"/>
    <cellStyle name="STYL4 - Style5" xfId="9046"/>
    <cellStyle name="STYL4 - Style5 2" xfId="9047"/>
    <cellStyle name="STYL4 - Style5 2 2" xfId="21403"/>
    <cellStyle name="STYL4 - Style5 3" xfId="15058"/>
    <cellStyle name="STYL4 - Style5 4" xfId="21402"/>
    <cellStyle name="STYL5 - Style6" xfId="9048"/>
    <cellStyle name="STYL5 - Style6 2" xfId="9049"/>
    <cellStyle name="STYL5 - Style6 2 2" xfId="21405"/>
    <cellStyle name="STYL5 - Style6 3" xfId="15059"/>
    <cellStyle name="STYL5 - Style6 4" xfId="21404"/>
    <cellStyle name="STYL6 - Style7" xfId="9050"/>
    <cellStyle name="STYL6 - Style7 2" xfId="9051"/>
    <cellStyle name="STYL6 - Style7 2 2" xfId="21407"/>
    <cellStyle name="STYL6 - Style7 3" xfId="15060"/>
    <cellStyle name="STYL6 - Style7 4" xfId="21406"/>
    <cellStyle name="STYL7 - Style8" xfId="9052"/>
    <cellStyle name="STYL7 - Style8 2" xfId="9053"/>
    <cellStyle name="STYL7 - Style8 2 2" xfId="21409"/>
    <cellStyle name="STYL7 - Style8 3" xfId="15061"/>
    <cellStyle name="STYL7 - Style8 4" xfId="21408"/>
    <cellStyle name="Style 1" xfId="9054"/>
    <cellStyle name="Style 1 2" xfId="9055"/>
    <cellStyle name="Style 1 2 2" xfId="9056"/>
    <cellStyle name="Style 1 2 2 2" xfId="15064"/>
    <cellStyle name="Style 1 2 2 3" xfId="21412"/>
    <cellStyle name="Style 1 2 3" xfId="9057"/>
    <cellStyle name="Style 1 2 3 2" xfId="21413"/>
    <cellStyle name="Style 1 2 4" xfId="15063"/>
    <cellStyle name="Style 1 2 5" xfId="21411"/>
    <cellStyle name="Style 1 3" xfId="9058"/>
    <cellStyle name="Style 1 3 2" xfId="15065"/>
    <cellStyle name="Style 1 3 3" xfId="21414"/>
    <cellStyle name="Style 1 4" xfId="9059"/>
    <cellStyle name="Style 1 4 2" xfId="15066"/>
    <cellStyle name="Style 1 4 3" xfId="21415"/>
    <cellStyle name="Style 1 5" xfId="9060"/>
    <cellStyle name="Style 1 5 2" xfId="21416"/>
    <cellStyle name="Style 1 6" xfId="15062"/>
    <cellStyle name="Style 1 7" xfId="21410"/>
    <cellStyle name="Style 1_Recycle Center Commodities MRF" xfId="9061"/>
    <cellStyle name="STYLE1" xfId="9062"/>
    <cellStyle name="STYLE1 2" xfId="9063"/>
    <cellStyle name="STYLE1 2 2" xfId="9064"/>
    <cellStyle name="STYLE1 2 2 2" xfId="21419"/>
    <cellStyle name="STYLE1 2 3" xfId="15068"/>
    <cellStyle name="STYLE1 2 4" xfId="21418"/>
    <cellStyle name="STYLE1 3" xfId="9065"/>
    <cellStyle name="STYLE1 3 2" xfId="21420"/>
    <cellStyle name="STYLE1 4" xfId="15067"/>
    <cellStyle name="STYLE1 5" xfId="21417"/>
    <cellStyle name="sub heading" xfId="9066"/>
    <cellStyle name="sub heading 2" xfId="9067"/>
    <cellStyle name="sub heading 2 2" xfId="21422"/>
    <cellStyle name="sub heading 3" xfId="15069"/>
    <cellStyle name="sub heading 4" xfId="21421"/>
    <cellStyle name="Table  - Style5" xfId="9068"/>
    <cellStyle name="Table  - Style5 2" xfId="9069"/>
    <cellStyle name="Table  - Style5 2 2" xfId="15071"/>
    <cellStyle name="Table  - Style5 2 3" xfId="21424"/>
    <cellStyle name="Table  - Style5 3" xfId="9070"/>
    <cellStyle name="Table  - Style5 3 2" xfId="15072"/>
    <cellStyle name="Table  - Style5 3 3" xfId="21425"/>
    <cellStyle name="Table  - Style5 4" xfId="9071"/>
    <cellStyle name="Table  - Style5 4 2" xfId="15073"/>
    <cellStyle name="Table  - Style5 4 3" xfId="21426"/>
    <cellStyle name="Table  - Style5 5" xfId="9072"/>
    <cellStyle name="Table  - Style5 5 2" xfId="15074"/>
    <cellStyle name="Table  - Style5 5 3" xfId="21427"/>
    <cellStyle name="Table  - Style5 6" xfId="15070"/>
    <cellStyle name="Table  - Style5 7" xfId="21423"/>
    <cellStyle name="Table  - Style6" xfId="9073"/>
    <cellStyle name="Table  - Style6 2" xfId="9074"/>
    <cellStyle name="Table  - Style6 2 2" xfId="15076"/>
    <cellStyle name="Table  - Style6 2 3" xfId="21429"/>
    <cellStyle name="Table  - Style6 3" xfId="9075"/>
    <cellStyle name="Table  - Style6 3 2" xfId="15077"/>
    <cellStyle name="Table  - Style6 3 3" xfId="21430"/>
    <cellStyle name="Table  - Style6 4" xfId="9076"/>
    <cellStyle name="Table  - Style6 4 2" xfId="15078"/>
    <cellStyle name="Table  - Style6 4 3" xfId="21431"/>
    <cellStyle name="Table  - Style6 5" xfId="9077"/>
    <cellStyle name="Table  - Style6 5 2" xfId="15079"/>
    <cellStyle name="Table  - Style6 5 3" xfId="21432"/>
    <cellStyle name="Table  - Style6 6" xfId="15075"/>
    <cellStyle name="Table  - Style6 7" xfId="21428"/>
    <cellStyle name="Tax_Rate" xfId="9078"/>
    <cellStyle name="Title  - Style1" xfId="9079"/>
    <cellStyle name="Title  - Style1 2" xfId="15081"/>
    <cellStyle name="Title  - Style1 3" xfId="21433"/>
    <cellStyle name="Title  - Style6" xfId="9080"/>
    <cellStyle name="Title  - Style6 2" xfId="15082"/>
    <cellStyle name="Title  - Style6 3" xfId="21434"/>
    <cellStyle name="Title 10" xfId="9081"/>
    <cellStyle name="Title 10 2" xfId="15083"/>
    <cellStyle name="Title 10 3" xfId="21435"/>
    <cellStyle name="Title 11" xfId="9082"/>
    <cellStyle name="Title 11 2" xfId="15084"/>
    <cellStyle name="Title 11 3" xfId="21436"/>
    <cellStyle name="Title 12" xfId="9083"/>
    <cellStyle name="Title 12 2" xfId="15085"/>
    <cellStyle name="Title 12 3" xfId="21437"/>
    <cellStyle name="Title 13" xfId="9084"/>
    <cellStyle name="Title 13 2" xfId="21438"/>
    <cellStyle name="Title 14" xfId="15080"/>
    <cellStyle name="Title 2" xfId="9085"/>
    <cellStyle name="Title 2 2" xfId="9086"/>
    <cellStyle name="Title 2 2 2" xfId="9087"/>
    <cellStyle name="Title 2 2 2 2" xfId="15088"/>
    <cellStyle name="Title 2 2 2 3" xfId="21441"/>
    <cellStyle name="Title 2 2 3" xfId="9088"/>
    <cellStyle name="Title 2 2 3 2" xfId="21442"/>
    <cellStyle name="Title 2 2 4" xfId="15087"/>
    <cellStyle name="Title 2 2 5" xfId="21440"/>
    <cellStyle name="Title 2 3" xfId="9089"/>
    <cellStyle name="Title 2 3 2" xfId="9090"/>
    <cellStyle name="Title 2 3 2 2" xfId="21444"/>
    <cellStyle name="Title 2 3 3" xfId="15089"/>
    <cellStyle name="Title 2 3 4" xfId="21443"/>
    <cellStyle name="Title 2 4" xfId="9091"/>
    <cellStyle name="Title 2 4 2" xfId="21445"/>
    <cellStyle name="Title 2 5" xfId="15086"/>
    <cellStyle name="Title 2 6" xfId="21439"/>
    <cellStyle name="Title 3" xfId="9092"/>
    <cellStyle name="Title 3 2" xfId="9093"/>
    <cellStyle name="Title 3 2 2" xfId="9094"/>
    <cellStyle name="Title 3 2 2 2" xfId="21448"/>
    <cellStyle name="Title 3 2 3" xfId="15091"/>
    <cellStyle name="Title 3 2 4" xfId="21447"/>
    <cellStyle name="Title 3 3" xfId="9095"/>
    <cellStyle name="Title 3 3 2" xfId="21449"/>
    <cellStyle name="Title 3 4" xfId="9096"/>
    <cellStyle name="Title 3 4 2" xfId="21450"/>
    <cellStyle name="Title 3 5" xfId="15090"/>
    <cellStyle name="Title 3 6" xfId="21446"/>
    <cellStyle name="Title 4" xfId="9097"/>
    <cellStyle name="Title 4 2" xfId="15092"/>
    <cellStyle name="Title 4 3" xfId="21451"/>
    <cellStyle name="Title 5" xfId="9098"/>
    <cellStyle name="Title 5 2" xfId="15093"/>
    <cellStyle name="Title 5 3" xfId="21452"/>
    <cellStyle name="Title 6" xfId="9099"/>
    <cellStyle name="Title 6 2" xfId="15094"/>
    <cellStyle name="Title 6 3" xfId="21453"/>
    <cellStyle name="Title 7" xfId="9100"/>
    <cellStyle name="Title 7 2" xfId="15095"/>
    <cellStyle name="Title 7 3" xfId="21454"/>
    <cellStyle name="Title 8" xfId="9101"/>
    <cellStyle name="Title 8 2" xfId="15096"/>
    <cellStyle name="Title 8 3" xfId="21455"/>
    <cellStyle name="Title 9" xfId="9102"/>
    <cellStyle name="Title 9 2" xfId="15097"/>
    <cellStyle name="Title 9 3" xfId="21456"/>
    <cellStyle name="Total 2" xfId="9103"/>
    <cellStyle name="Total 2 2" xfId="9104"/>
    <cellStyle name="Total 2 2 2" xfId="9105"/>
    <cellStyle name="Total 2 2 2 2" xfId="9106"/>
    <cellStyle name="Total 2 2 2 2 2" xfId="15102"/>
    <cellStyle name="Total 2 2 2 2 3" xfId="21460"/>
    <cellStyle name="Total 2 2 2 3" xfId="9107"/>
    <cellStyle name="Total 2 2 2 3 2" xfId="15103"/>
    <cellStyle name="Total 2 2 2 3 3" xfId="21461"/>
    <cellStyle name="Total 2 2 2 4" xfId="9108"/>
    <cellStyle name="Total 2 2 2 4 2" xfId="15104"/>
    <cellStyle name="Total 2 2 2 4 3" xfId="21462"/>
    <cellStyle name="Total 2 2 2 5" xfId="9109"/>
    <cellStyle name="Total 2 2 2 5 2" xfId="15105"/>
    <cellStyle name="Total 2 2 2 5 3" xfId="21463"/>
    <cellStyle name="Total 2 2 2 6" xfId="15101"/>
    <cellStyle name="Total 2 2 2 7" xfId="21459"/>
    <cellStyle name="Total 2 2 3" xfId="9110"/>
    <cellStyle name="Total 2 2 3 2" xfId="9111"/>
    <cellStyle name="Total 2 2 3 2 2" xfId="15107"/>
    <cellStyle name="Total 2 2 3 2 3" xfId="21465"/>
    <cellStyle name="Total 2 2 3 3" xfId="9112"/>
    <cellStyle name="Total 2 2 3 3 2" xfId="15108"/>
    <cellStyle name="Total 2 2 3 3 3" xfId="21466"/>
    <cellStyle name="Total 2 2 3 4" xfId="9113"/>
    <cellStyle name="Total 2 2 3 4 2" xfId="15109"/>
    <cellStyle name="Total 2 2 3 4 3" xfId="21467"/>
    <cellStyle name="Total 2 2 3 5" xfId="9114"/>
    <cellStyle name="Total 2 2 3 5 2" xfId="15110"/>
    <cellStyle name="Total 2 2 3 5 3" xfId="21468"/>
    <cellStyle name="Total 2 2 3 6" xfId="15106"/>
    <cellStyle name="Total 2 2 3 7" xfId="21464"/>
    <cellStyle name="Total 2 2 4" xfId="9115"/>
    <cellStyle name="Total 2 2 4 2" xfId="21469"/>
    <cellStyle name="Total 2 2 5" xfId="15100"/>
    <cellStyle name="Total 2 2 6" xfId="21458"/>
    <cellStyle name="Total 2 3" xfId="9116"/>
    <cellStyle name="Total 2 3 2" xfId="9117"/>
    <cellStyle name="Total 2 3 2 2" xfId="9118"/>
    <cellStyle name="Total 2 3 2 2 2" xfId="15113"/>
    <cellStyle name="Total 2 3 2 2 3" xfId="21472"/>
    <cellStyle name="Total 2 3 2 3" xfId="9119"/>
    <cellStyle name="Total 2 3 2 3 2" xfId="15114"/>
    <cellStyle name="Total 2 3 2 3 3" xfId="21473"/>
    <cellStyle name="Total 2 3 2 4" xfId="9120"/>
    <cellStyle name="Total 2 3 2 4 2" xfId="15115"/>
    <cellStyle name="Total 2 3 2 4 3" xfId="21474"/>
    <cellStyle name="Total 2 3 2 5" xfId="9121"/>
    <cellStyle name="Total 2 3 2 5 2" xfId="15116"/>
    <cellStyle name="Total 2 3 2 5 3" xfId="21475"/>
    <cellStyle name="Total 2 3 2 6" xfId="15112"/>
    <cellStyle name="Total 2 3 2 7" xfId="21471"/>
    <cellStyle name="Total 2 3 3" xfId="9122"/>
    <cellStyle name="Total 2 3 3 2" xfId="15117"/>
    <cellStyle name="Total 2 3 3 3" xfId="21476"/>
    <cellStyle name="Total 2 3 4" xfId="9123"/>
    <cellStyle name="Total 2 3 4 2" xfId="15118"/>
    <cellStyle name="Total 2 3 4 3" xfId="21477"/>
    <cellStyle name="Total 2 3 5" xfId="9124"/>
    <cellStyle name="Total 2 3 5 2" xfId="15119"/>
    <cellStyle name="Total 2 3 5 3" xfId="21478"/>
    <cellStyle name="Total 2 3 6" xfId="9125"/>
    <cellStyle name="Total 2 3 6 2" xfId="15120"/>
    <cellStyle name="Total 2 3 6 3" xfId="21479"/>
    <cellStyle name="Total 2 3 7" xfId="9126"/>
    <cellStyle name="Total 2 3 7 2" xfId="21480"/>
    <cellStyle name="Total 2 3 8" xfId="15111"/>
    <cellStyle name="Total 2 3 9" xfId="21470"/>
    <cellStyle name="Total 2 4" xfId="9127"/>
    <cellStyle name="Total 2 4 2" xfId="9128"/>
    <cellStyle name="Total 2 4 2 2" xfId="9129"/>
    <cellStyle name="Total 2 4 2 2 2" xfId="15123"/>
    <cellStyle name="Total 2 4 2 2 3" xfId="21483"/>
    <cellStyle name="Total 2 4 2 3" xfId="9130"/>
    <cellStyle name="Total 2 4 2 3 2" xfId="15124"/>
    <cellStyle name="Total 2 4 2 3 3" xfId="21484"/>
    <cellStyle name="Total 2 4 2 4" xfId="9131"/>
    <cellStyle name="Total 2 4 2 4 2" xfId="15125"/>
    <cellStyle name="Total 2 4 2 4 3" xfId="21485"/>
    <cellStyle name="Total 2 4 2 5" xfId="9132"/>
    <cellStyle name="Total 2 4 2 5 2" xfId="15126"/>
    <cellStyle name="Total 2 4 2 5 3" xfId="21486"/>
    <cellStyle name="Total 2 4 2 6" xfId="15122"/>
    <cellStyle name="Total 2 4 2 7" xfId="21482"/>
    <cellStyle name="Total 2 4 3" xfId="9133"/>
    <cellStyle name="Total 2 4 3 2" xfId="15127"/>
    <cellStyle name="Total 2 4 3 3" xfId="21487"/>
    <cellStyle name="Total 2 4 4" xfId="9134"/>
    <cellStyle name="Total 2 4 4 2" xfId="15128"/>
    <cellStyle name="Total 2 4 4 3" xfId="21488"/>
    <cellStyle name="Total 2 4 5" xfId="9135"/>
    <cellStyle name="Total 2 4 5 2" xfId="15129"/>
    <cellStyle name="Total 2 4 5 3" xfId="21489"/>
    <cellStyle name="Total 2 4 6" xfId="9136"/>
    <cellStyle name="Total 2 4 6 2" xfId="15130"/>
    <cellStyle name="Total 2 4 6 3" xfId="21490"/>
    <cellStyle name="Total 2 4 7" xfId="9137"/>
    <cellStyle name="Total 2 4 7 2" xfId="21491"/>
    <cellStyle name="Total 2 4 8" xfId="15121"/>
    <cellStyle name="Total 2 4 9" xfId="21481"/>
    <cellStyle name="Total 2 5" xfId="9138"/>
    <cellStyle name="Total 2 5 2" xfId="9139"/>
    <cellStyle name="Total 2 5 2 2" xfId="15132"/>
    <cellStyle name="Total 2 5 2 3" xfId="21493"/>
    <cellStyle name="Total 2 5 3" xfId="9140"/>
    <cellStyle name="Total 2 5 3 2" xfId="15133"/>
    <cellStyle name="Total 2 5 3 3" xfId="21494"/>
    <cellStyle name="Total 2 5 4" xfId="9141"/>
    <cellStyle name="Total 2 5 4 2" xfId="15134"/>
    <cellStyle name="Total 2 5 4 3" xfId="21495"/>
    <cellStyle name="Total 2 5 5" xfId="9142"/>
    <cellStyle name="Total 2 5 5 2" xfId="15135"/>
    <cellStyle name="Total 2 5 5 3" xfId="21496"/>
    <cellStyle name="Total 2 5 6" xfId="15131"/>
    <cellStyle name="Total 2 5 7" xfId="21492"/>
    <cellStyle name="Total 2 6" xfId="9143"/>
    <cellStyle name="Total 2 6 2" xfId="15136"/>
    <cellStyle name="Total 2 6 3" xfId="21497"/>
    <cellStyle name="Total 2 7" xfId="9144"/>
    <cellStyle name="Total 2 7 2" xfId="21498"/>
    <cellStyle name="Total 2 8" xfId="15099"/>
    <cellStyle name="Total 2 9" xfId="21457"/>
    <cellStyle name="Total 3" xfId="9145"/>
    <cellStyle name="Total 3 2" xfId="9146"/>
    <cellStyle name="Total 3 2 2" xfId="9147"/>
    <cellStyle name="Total 3 2 2 2" xfId="9148"/>
    <cellStyle name="Total 3 2 2 2 2" xfId="15140"/>
    <cellStyle name="Total 3 2 2 2 3" xfId="21502"/>
    <cellStyle name="Total 3 2 2 3" xfId="9149"/>
    <cellStyle name="Total 3 2 2 3 2" xfId="15141"/>
    <cellStyle name="Total 3 2 2 3 3" xfId="21503"/>
    <cellStyle name="Total 3 2 2 4" xfId="9150"/>
    <cellStyle name="Total 3 2 2 4 2" xfId="15142"/>
    <cellStyle name="Total 3 2 2 4 3" xfId="21504"/>
    <cellStyle name="Total 3 2 2 5" xfId="9151"/>
    <cellStyle name="Total 3 2 2 5 2" xfId="15143"/>
    <cellStyle name="Total 3 2 2 5 3" xfId="21505"/>
    <cellStyle name="Total 3 2 2 6" xfId="15139"/>
    <cellStyle name="Total 3 2 2 7" xfId="21501"/>
    <cellStyle name="Total 3 2 3" xfId="9152"/>
    <cellStyle name="Total 3 2 3 2" xfId="9153"/>
    <cellStyle name="Total 3 2 3 2 2" xfId="15145"/>
    <cellStyle name="Total 3 2 3 2 3" xfId="21507"/>
    <cellStyle name="Total 3 2 3 3" xfId="9154"/>
    <cellStyle name="Total 3 2 3 3 2" xfId="15146"/>
    <cellStyle name="Total 3 2 3 3 3" xfId="21508"/>
    <cellStyle name="Total 3 2 3 4" xfId="9155"/>
    <cellStyle name="Total 3 2 3 4 2" xfId="15147"/>
    <cellStyle name="Total 3 2 3 4 3" xfId="21509"/>
    <cellStyle name="Total 3 2 3 5" xfId="9156"/>
    <cellStyle name="Total 3 2 3 5 2" xfId="15148"/>
    <cellStyle name="Total 3 2 3 5 3" xfId="21510"/>
    <cellStyle name="Total 3 2 3 6" xfId="15144"/>
    <cellStyle name="Total 3 2 3 7" xfId="21506"/>
    <cellStyle name="Total 3 2 4" xfId="9157"/>
    <cellStyle name="Total 3 2 4 2" xfId="21511"/>
    <cellStyle name="Total 3 2 5" xfId="15138"/>
    <cellStyle name="Total 3 2 6" xfId="21500"/>
    <cellStyle name="Total 3 3" xfId="9158"/>
    <cellStyle name="Total 3 3 2" xfId="9159"/>
    <cellStyle name="Total 3 3 2 2" xfId="9160"/>
    <cellStyle name="Total 3 3 2 2 2" xfId="15151"/>
    <cellStyle name="Total 3 3 2 2 3" xfId="21514"/>
    <cellStyle name="Total 3 3 2 3" xfId="9161"/>
    <cellStyle name="Total 3 3 2 3 2" xfId="15152"/>
    <cellStyle name="Total 3 3 2 3 3" xfId="21515"/>
    <cellStyle name="Total 3 3 2 4" xfId="9162"/>
    <cellStyle name="Total 3 3 2 4 2" xfId="15153"/>
    <cellStyle name="Total 3 3 2 4 3" xfId="21516"/>
    <cellStyle name="Total 3 3 2 5" xfId="9163"/>
    <cellStyle name="Total 3 3 2 5 2" xfId="15154"/>
    <cellStyle name="Total 3 3 2 5 3" xfId="21517"/>
    <cellStyle name="Total 3 3 2 6" xfId="15150"/>
    <cellStyle name="Total 3 3 2 7" xfId="21513"/>
    <cellStyle name="Total 3 3 3" xfId="9164"/>
    <cellStyle name="Total 3 3 3 2" xfId="15155"/>
    <cellStyle name="Total 3 3 3 3" xfId="21518"/>
    <cellStyle name="Total 3 3 4" xfId="9165"/>
    <cellStyle name="Total 3 3 4 2" xfId="15156"/>
    <cellStyle name="Total 3 3 4 3" xfId="21519"/>
    <cellStyle name="Total 3 3 5" xfId="9166"/>
    <cellStyle name="Total 3 3 5 2" xfId="15157"/>
    <cellStyle name="Total 3 3 5 3" xfId="21520"/>
    <cellStyle name="Total 3 3 6" xfId="9167"/>
    <cellStyle name="Total 3 3 6 2" xfId="15158"/>
    <cellStyle name="Total 3 3 6 3" xfId="21521"/>
    <cellStyle name="Total 3 3 7" xfId="9168"/>
    <cellStyle name="Total 3 3 7 2" xfId="21522"/>
    <cellStyle name="Total 3 3 8" xfId="15149"/>
    <cellStyle name="Total 3 3 9" xfId="21512"/>
    <cellStyle name="Total 3 4" xfId="9169"/>
    <cellStyle name="Total 3 4 2" xfId="9170"/>
    <cellStyle name="Total 3 4 2 2" xfId="15160"/>
    <cellStyle name="Total 3 4 2 3" xfId="21524"/>
    <cellStyle name="Total 3 4 3" xfId="9171"/>
    <cellStyle name="Total 3 4 3 2" xfId="15161"/>
    <cellStyle name="Total 3 4 3 3" xfId="21525"/>
    <cellStyle name="Total 3 4 4" xfId="9172"/>
    <cellStyle name="Total 3 4 4 2" xfId="15162"/>
    <cellStyle name="Total 3 4 4 3" xfId="21526"/>
    <cellStyle name="Total 3 4 5" xfId="9173"/>
    <cellStyle name="Total 3 4 5 2" xfId="15163"/>
    <cellStyle name="Total 3 4 5 3" xfId="21527"/>
    <cellStyle name="Total 3 4 6" xfId="9174"/>
    <cellStyle name="Total 3 4 6 2" xfId="21528"/>
    <cellStyle name="Total 3 4 7" xfId="15159"/>
    <cellStyle name="Total 3 4 8" xfId="21523"/>
    <cellStyle name="Total 3 5" xfId="9175"/>
    <cellStyle name="Total 3 5 2" xfId="9176"/>
    <cellStyle name="Total 3 5 2 2" xfId="15165"/>
    <cellStyle name="Total 3 5 2 3" xfId="21530"/>
    <cellStyle name="Total 3 5 3" xfId="9177"/>
    <cellStyle name="Total 3 5 3 2" xfId="15166"/>
    <cellStyle name="Total 3 5 3 3" xfId="21531"/>
    <cellStyle name="Total 3 5 4" xfId="9178"/>
    <cellStyle name="Total 3 5 4 2" xfId="15167"/>
    <cellStyle name="Total 3 5 4 3" xfId="21532"/>
    <cellStyle name="Total 3 5 5" xfId="9179"/>
    <cellStyle name="Total 3 5 5 2" xfId="15168"/>
    <cellStyle name="Total 3 5 5 3" xfId="21533"/>
    <cellStyle name="Total 3 5 6" xfId="15164"/>
    <cellStyle name="Total 3 5 7" xfId="21529"/>
    <cellStyle name="Total 3 6" xfId="9180"/>
    <cellStyle name="Total 3 6 2" xfId="21534"/>
    <cellStyle name="Total 3 7" xfId="15137"/>
    <cellStyle name="Total 3 8" xfId="21499"/>
    <cellStyle name="Total 4" xfId="9181"/>
    <cellStyle name="Total 4 10" xfId="21535"/>
    <cellStyle name="Total 4 2" xfId="9182"/>
    <cellStyle name="Total 4 2 2" xfId="15170"/>
    <cellStyle name="Total 4 2 3" xfId="21536"/>
    <cellStyle name="Total 4 3" xfId="9183"/>
    <cellStyle name="Total 4 3 2" xfId="9184"/>
    <cellStyle name="Total 4 3 2 2" xfId="15172"/>
    <cellStyle name="Total 4 3 2 3" xfId="21538"/>
    <cellStyle name="Total 4 3 3" xfId="9185"/>
    <cellStyle name="Total 4 3 3 2" xfId="15173"/>
    <cellStyle name="Total 4 3 3 3" xfId="21539"/>
    <cellStyle name="Total 4 3 4" xfId="9186"/>
    <cellStyle name="Total 4 3 4 2" xfId="15174"/>
    <cellStyle name="Total 4 3 4 3" xfId="21540"/>
    <cellStyle name="Total 4 3 5" xfId="9187"/>
    <cellStyle name="Total 4 3 5 2" xfId="15175"/>
    <cellStyle name="Total 4 3 5 3" xfId="21541"/>
    <cellStyle name="Total 4 3 6" xfId="15171"/>
    <cellStyle name="Total 4 3 7" xfId="21537"/>
    <cellStyle name="Total 4 4" xfId="9188"/>
    <cellStyle name="Total 4 4 2" xfId="15176"/>
    <cellStyle name="Total 4 4 3" xfId="21542"/>
    <cellStyle name="Total 4 5" xfId="9189"/>
    <cellStyle name="Total 4 5 2" xfId="15177"/>
    <cellStyle name="Total 4 5 3" xfId="21543"/>
    <cellStyle name="Total 4 6" xfId="9190"/>
    <cellStyle name="Total 4 6 2" xfId="15178"/>
    <cellStyle name="Total 4 6 3" xfId="21544"/>
    <cellStyle name="Total 4 7" xfId="9191"/>
    <cellStyle name="Total 4 7 2" xfId="15179"/>
    <cellStyle name="Total 4 7 3" xfId="21545"/>
    <cellStyle name="Total 4 8" xfId="9192"/>
    <cellStyle name="Total 4 8 2" xfId="21546"/>
    <cellStyle name="Total 4 9" xfId="15169"/>
    <cellStyle name="Total 5" xfId="9193"/>
    <cellStyle name="Total 5 2" xfId="21547"/>
    <cellStyle name="Total 6" xfId="15098"/>
    <cellStyle name="TotCol - Style5" xfId="9194"/>
    <cellStyle name="TotCol - Style5 2" xfId="15180"/>
    <cellStyle name="TotCol - Style5 3" xfId="21548"/>
    <cellStyle name="TotCol - Style7" xfId="9195"/>
    <cellStyle name="TotCol - Style7 2" xfId="15181"/>
    <cellStyle name="TotCol - Style7 3" xfId="21549"/>
    <cellStyle name="TotRow - Style4" xfId="9196"/>
    <cellStyle name="TotRow - Style4 2" xfId="9197"/>
    <cellStyle name="TotRow - Style4 2 2" xfId="15183"/>
    <cellStyle name="TotRow - Style4 2 3" xfId="21551"/>
    <cellStyle name="TotRow - Style4 3" xfId="9198"/>
    <cellStyle name="TotRow - Style4 3 2" xfId="15184"/>
    <cellStyle name="TotRow - Style4 3 3" xfId="21552"/>
    <cellStyle name="TotRow - Style4 4" xfId="9199"/>
    <cellStyle name="TotRow - Style4 4 2" xfId="15185"/>
    <cellStyle name="TotRow - Style4 4 3" xfId="21553"/>
    <cellStyle name="TotRow - Style4 5" xfId="9200"/>
    <cellStyle name="TotRow - Style4 5 2" xfId="15186"/>
    <cellStyle name="TotRow - Style4 5 3" xfId="21554"/>
    <cellStyle name="TotRow - Style4 6" xfId="15182"/>
    <cellStyle name="TotRow - Style4 7" xfId="21550"/>
    <cellStyle name="TotRow - Style8" xfId="9201"/>
    <cellStyle name="TotRow - Style8 2" xfId="9202"/>
    <cellStyle name="TotRow - Style8 2 2" xfId="15188"/>
    <cellStyle name="TotRow - Style8 2 3" xfId="21556"/>
    <cellStyle name="TotRow - Style8 3" xfId="9203"/>
    <cellStyle name="TotRow - Style8 3 2" xfId="15189"/>
    <cellStyle name="TotRow - Style8 3 3" xfId="21557"/>
    <cellStyle name="TotRow - Style8 4" xfId="9204"/>
    <cellStyle name="TotRow - Style8 4 2" xfId="15190"/>
    <cellStyle name="TotRow - Style8 4 3" xfId="21558"/>
    <cellStyle name="TotRow - Style8 5" xfId="9205"/>
    <cellStyle name="TotRow - Style8 5 2" xfId="15191"/>
    <cellStyle name="TotRow - Style8 5 3" xfId="21559"/>
    <cellStyle name="TotRow - Style8 6" xfId="15187"/>
    <cellStyle name="TotRow - Style8 7" xfId="21555"/>
    <cellStyle name="Transcript_Date" xfId="9206"/>
    <cellStyle name="Warning Text 2" xfId="9207"/>
    <cellStyle name="Warning Text 2 2" xfId="9208"/>
    <cellStyle name="Warning Text 2 2 2" xfId="21561"/>
    <cellStyle name="Warning Text 2 3" xfId="15193"/>
    <cellStyle name="Warning Text 2 4" xfId="21560"/>
    <cellStyle name="Warning Text 3" xfId="9209"/>
    <cellStyle name="Warning Text 3 2" xfId="9210"/>
    <cellStyle name="Warning Text 3 2 2" xfId="21563"/>
    <cellStyle name="Warning Text 3 3" xfId="15194"/>
    <cellStyle name="Warning Text 3 4" xfId="21562"/>
    <cellStyle name="Warning Text 4" xfId="9211"/>
    <cellStyle name="Warning Text 4 2" xfId="15195"/>
    <cellStyle name="Warning Text 4 3" xfId="21564"/>
    <cellStyle name="Warning Text 5" xfId="9212"/>
    <cellStyle name="Warning Text 5 2" xfId="21565"/>
    <cellStyle name="Warning Text 6" xfId="15192"/>
    <cellStyle name="WM_STANDARD" xfId="9213"/>
  </cellStyles>
  <dxfs count="53">
    <dxf>
      <font>
        <b/>
        <i val="0"/>
        <color theme="9" tint="-0.24994659260841701"/>
      </font>
    </dxf>
    <dxf>
      <font>
        <b/>
        <i val="0"/>
        <color rgb="FFFF0000"/>
      </font>
    </dxf>
    <dxf>
      <font>
        <b/>
        <i val="0"/>
        <color rgb="FFFF0000"/>
      </font>
    </dxf>
    <dxf>
      <font>
        <b/>
        <i val="0"/>
        <color theme="9" tint="-0.24994659260841701"/>
      </font>
    </dxf>
    <dxf>
      <font>
        <b/>
        <i val="0"/>
        <color rgb="FFFF0000"/>
      </font>
    </dxf>
    <dxf>
      <font>
        <b/>
        <i val="0"/>
        <color rgb="FFFF0000"/>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rgb="FFFF0000"/>
      </font>
    </dxf>
    <dxf>
      <font>
        <b/>
        <i val="0"/>
        <color rgb="FFFF0000"/>
      </font>
    </dxf>
    <dxf>
      <font>
        <b/>
        <i val="0"/>
        <color theme="9" tint="-0.24994659260841701"/>
      </font>
    </dxf>
    <dxf>
      <font>
        <b/>
        <i val="0"/>
        <color rgb="FFFF0000"/>
      </font>
    </dxf>
    <dxf>
      <font>
        <b/>
        <i val="0"/>
        <color rgb="FFFF0000"/>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rgb="FFFF0000"/>
      </font>
    </dxf>
    <dxf>
      <font>
        <b/>
        <i val="0"/>
        <color rgb="FFFF0000"/>
      </font>
    </dxf>
    <dxf>
      <font>
        <b/>
        <i val="0"/>
        <color theme="9" tint="-0.24994659260841701"/>
      </font>
    </dxf>
    <dxf>
      <font>
        <b/>
        <i val="0"/>
        <color rgb="FFFF0000"/>
      </font>
    </dxf>
    <dxf>
      <font>
        <b/>
        <i val="0"/>
        <color rgb="FFFF0000"/>
      </font>
    </dxf>
    <dxf>
      <font>
        <b/>
        <i val="0"/>
        <color theme="9" tint="-0.24994659260841701"/>
      </font>
    </dxf>
    <dxf>
      <font>
        <b/>
        <i val="0"/>
        <color rgb="FFFF0000"/>
      </font>
    </dxf>
    <dxf>
      <font>
        <b/>
        <i val="0"/>
        <color theme="9" tint="-0.24994659260841701"/>
      </font>
    </dxf>
    <dxf>
      <font>
        <b/>
        <i val="0"/>
        <color rgb="FFFF0000"/>
      </font>
    </dxf>
    <dxf>
      <fill>
        <patternFill patternType="solid">
          <bgColor rgb="FFFFFF00"/>
        </patternFill>
      </fill>
    </dxf>
    <dxf>
      <fill>
        <patternFill patternType="solid">
          <bgColor rgb="FFFFFF00"/>
        </patternFill>
      </fill>
    </dxf>
    <dxf>
      <numFmt numFmtId="170" formatCode="&quot;$&quot;#,##0"/>
    </dxf>
    <dxf>
      <numFmt numFmtId="170" formatCode="&quot;$&quot;#,##0"/>
    </dxf>
    <dxf>
      <numFmt numFmtId="177" formatCode="&quot;$&quot;#,##0.0"/>
    </dxf>
    <dxf>
      <numFmt numFmtId="177" formatCode="&quot;$&quot;#,##0.0"/>
    </dxf>
    <dxf>
      <numFmt numFmtId="178" formatCode="&quot;$&quot;#,##0.00"/>
    </dxf>
    <dxf>
      <numFmt numFmtId="178" formatCode="&quot;$&quot;#,##0.00"/>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9" tint="0.79998168889431442"/>
        </patternFill>
      </fill>
    </dxf>
    <dxf>
      <fill>
        <patternFill patternType="solid">
          <bgColor theme="9" tint="0.79998168889431442"/>
        </patternFill>
      </fill>
    </dxf>
    <dxf>
      <fill>
        <patternFill>
          <bgColor theme="6" tint="0.79998168889431442"/>
        </patternFill>
      </fill>
    </dxf>
    <dxf>
      <fill>
        <patternFill>
          <bgColor theme="6"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8" tint="0.79998168889431442"/>
        </patternFill>
      </fill>
    </dxf>
    <dxf>
      <fill>
        <patternFill patternType="solid">
          <bgColor theme="8" tint="0.79998168889431442"/>
        </patternFill>
      </fill>
    </dxf>
    <dxf>
      <numFmt numFmtId="35" formatCode="_(* #,##0.00_);_(* \(#,##0.00\);_(* &quot;-&quot;??_);_(@_)"/>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pivotCacheDefinition" Target="pivotCache/pivotCacheDefinition2.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51546</xdr:colOff>
      <xdr:row>214</xdr:row>
      <xdr:rowOff>93976</xdr:rowOff>
    </xdr:from>
    <xdr:to>
      <xdr:col>13</xdr:col>
      <xdr:colOff>477370</xdr:colOff>
      <xdr:row>219</xdr:row>
      <xdr:rowOff>71564</xdr:rowOff>
    </xdr:to>
    <xdr:sp macro="" textlink="">
      <xdr:nvSpPr>
        <xdr:cNvPr id="2" name="TextBox 1"/>
        <xdr:cNvSpPr txBox="1"/>
      </xdr:nvSpPr>
      <xdr:spPr>
        <a:xfrm>
          <a:off x="965946" y="31955101"/>
          <a:ext cx="7264774" cy="691963"/>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100% of assets shared between 2183, 2184, 2185 are included here.  They will be allocated  to the indivvidual</a:t>
          </a:r>
          <a:r>
            <a:rPr lang="en-US" sz="1100" baseline="0"/>
            <a:t> district </a:t>
          </a:r>
          <a:r>
            <a:rPr lang="en-US" sz="1100"/>
            <a:t>on the Proforma for Rate Case purposes.  See "LeMay Global Assets Depr UTC 12.31.2010" for LeMay Global assets.  For a rate case that tab will need to be added here and the correct allocation % entered into column T to allocate those assets to 2183, 2184, 2185.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estern%20Region/WUTC/WIP%20Files/2195%20Yakima/General%20Rate%20Filings/2017%20Rate%20Filing/.Yakima%20Waste%20Pro%20forma%20YE%206.3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estfile01\Distshares\Western%20Region\WUTC\WUTC-Murrey%20%202111\General%20Rate%20Filings\Rate%20Filing%201-1-2019\Fuel%20Stat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estern%20Region/WUTC/WIP%20Files/2010%20Clark%20County-%202009%20Vancouver/12.31.2010%20Test%20Year/Proforma%20Clark%20County%20101231%20Filing-Draft-FINAL%20VERSION.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estern%20Region\WUTC\WIP%20Files\LeMay%20Companies\2014\Annual%20Report\District%20Schedules\North%20LeMay\N%20LeMay%20Annual%20Report%202013%20-%20with%20Heather's%20No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SRC%20Reports\SRC%20Format\Bonus%20Schedule\PNWR%20SRC%20Bonus%20Schedule%20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Users\heatherg\AppData\Local\Microsoft\Windows\Temporary%20Internet%20Files\Content.Outlook\XS11RNOC\SolidWaste-NonPublic%20LG%202018%20V5.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LeMay\Master%20Truck%20Schedule\South_LeMay%20Master%20Truck%20Schedule-Share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lindsaywa\AppData\Local\Interject\FileCache\Budget%20Capital%20Input%20v2.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Western%20Region/WUTC/WIP%20Files/LeMay%20Companies/Depreciation%20General/2021%20FARs/2183%20FAR%2010.31.2021.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021%20-%20Fixed%20Asset%20Adds%20Transfers%20Deletes%20Form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Western%20Region/WUTC/WIP%20Files/LeMay%20Companies/Depreciation%20General/12.31.2015%20Depreciation%20Schedules/2184%20UTC%20Depreciation%2012.31.20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Western%20Region/WUTC/WIP%20Files/LeMay%20Companies/Depreciation%20General/12.31.2015%20Depreciation%20Schedules/2184%20UTC%20Depreciation%2011.30.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RC%20Reports\SRC%20Format\Bonus%20Schedule\PNWR%20SRC%20Bonus%20Schedule%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eMay/2183-1%20Pacific%20Disp,%20Butlers%20Cove/Filing%20Possibly%202012/Filing/Audit/Final%20Outcome%208-14-2012/Pro%20Forma%20Pacific%20Disposal_Sta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ason/Rate%20Increase%201-1-2013/1%20Filing%2011-14-2012/Revised%202-21-2013/staff%20Mason%20Proforma%209-30-2012-Linked%20Cust%20Count%20Fix%20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utcfs2\grp_data\District\Joe_Garza\mark%20gregg\WUTC%20Files\Eastside\Eastside%20Rate%20Case%202006\Eastside%20RC%202006%20Filing%20Docs\Proforma%20Eastside%202005%204.1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estern%20Region/ControllerDir/Brent_Blair_Kortney/PO%20Report%20by%20Division/PO%20Report_v3b%202013-08-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kima BS"/>
      <sheetName val="Yakima IS"/>
      <sheetName val="References"/>
      <sheetName val="Yakima Consolidated IS"/>
      <sheetName val="Ratios"/>
      <sheetName val="Restating Adj's"/>
      <sheetName val="Pro-forma Adj's"/>
      <sheetName val="LG-Total Reg"/>
      <sheetName val="LG-Garbage"/>
      <sheetName val="LG-Recycle"/>
      <sheetName val="LG-Yardwaste"/>
      <sheetName val="Yakima Regulated Price Out"/>
      <sheetName val="Proposed Rates"/>
      <sheetName val="Revenue Summary"/>
      <sheetName val="Depr Summary"/>
      <sheetName val="Yakima Payroll"/>
      <sheetName val="Disposal"/>
      <sheetName val="Fuel Schedule"/>
      <sheetName val="A-Team Summary"/>
      <sheetName val="Roll Off Cust Count"/>
      <sheetName val="DivCon-DVP Alloc In"/>
      <sheetName val="Region OH Calc"/>
      <sheetName val="WCI P&amp;L"/>
      <sheetName val="WCI BS"/>
      <sheetName val="Corp OH"/>
      <sheetName val="July Fuel"/>
      <sheetName val="70149 Detail"/>
      <sheetName val="70095 Detail"/>
      <sheetName val="70195 Detail"/>
      <sheetName val="70255 Detail"/>
      <sheetName val="6.30.17 BS"/>
      <sheetName val="Yakima BS "/>
      <sheetName val="Pro-forma Adj Detail"/>
    </sheetNames>
    <sheetDataSet>
      <sheetData sheetId="0">
        <row r="30">
          <cell r="AC30">
            <v>749099.65</v>
          </cell>
        </row>
      </sheetData>
      <sheetData sheetId="1">
        <row r="60">
          <cell r="D60">
            <v>40101</v>
          </cell>
        </row>
      </sheetData>
      <sheetData sheetId="2"/>
      <sheetData sheetId="3">
        <row r="1">
          <cell r="A1" t="str">
            <v>Yakima Waste Systems, Inc G-89</v>
          </cell>
        </row>
      </sheetData>
      <sheetData sheetId="4">
        <row r="8">
          <cell r="B8">
            <v>0</v>
          </cell>
        </row>
      </sheetData>
      <sheetData sheetId="5">
        <row r="9">
          <cell r="I9">
            <v>17954.541381225681</v>
          </cell>
        </row>
      </sheetData>
      <sheetData sheetId="6"/>
      <sheetData sheetId="7"/>
      <sheetData sheetId="8">
        <row r="36">
          <cell r="E36">
            <v>8.8546485705000733E-2</v>
          </cell>
        </row>
      </sheetData>
      <sheetData sheetId="9">
        <row r="36">
          <cell r="E36">
            <v>-5.2505146465273579E-2</v>
          </cell>
        </row>
      </sheetData>
      <sheetData sheetId="10">
        <row r="6">
          <cell r="J6">
            <v>-5.3162356997751466E-2</v>
          </cell>
        </row>
      </sheetData>
      <sheetData sheetId="11"/>
      <sheetData sheetId="12"/>
      <sheetData sheetId="13">
        <row r="21">
          <cell r="F21">
            <v>1708297.48</v>
          </cell>
        </row>
      </sheetData>
      <sheetData sheetId="14"/>
      <sheetData sheetId="15">
        <row r="64">
          <cell r="Y64">
            <v>22919.914580870409</v>
          </cell>
        </row>
      </sheetData>
      <sheetData sheetId="16">
        <row r="10">
          <cell r="B10">
            <v>3635.19</v>
          </cell>
        </row>
      </sheetData>
      <sheetData sheetId="17">
        <row r="39">
          <cell r="B39">
            <v>2349.7995013614564</v>
          </cell>
        </row>
      </sheetData>
      <sheetData sheetId="18">
        <row r="13">
          <cell r="L13">
            <v>3949.02</v>
          </cell>
        </row>
      </sheetData>
      <sheetData sheetId="19"/>
      <sheetData sheetId="20">
        <row r="25">
          <cell r="C25">
            <v>22665.762188783203</v>
          </cell>
        </row>
      </sheetData>
      <sheetData sheetId="21"/>
      <sheetData sheetId="22"/>
      <sheetData sheetId="23"/>
      <sheetData sheetId="24"/>
      <sheetData sheetId="25"/>
      <sheetData sheetId="26"/>
      <sheetData sheetId="27">
        <row r="173">
          <cell r="E173">
            <v>218</v>
          </cell>
        </row>
      </sheetData>
      <sheetData sheetId="28">
        <row r="64">
          <cell r="D64">
            <v>1271</v>
          </cell>
        </row>
      </sheetData>
      <sheetData sheetId="29">
        <row r="128">
          <cell r="E128">
            <v>4587.2300000000005</v>
          </cell>
        </row>
      </sheetData>
      <sheetData sheetId="30">
        <row r="35">
          <cell r="P35">
            <v>655883.93000000005</v>
          </cell>
        </row>
      </sheetData>
      <sheetData sheetId="31" refreshError="1"/>
      <sheetData sheetId="3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Ranges"/>
      <sheetName val="StatEntry_Trend"/>
      <sheetName val="StatEntry_Detail"/>
      <sheetName val="StatEntry_Reclass_LOB_Sbst"/>
      <sheetName val="ChangeHistory"/>
      <sheetName val="Stat Lookup"/>
    </sheetNames>
    <sheetDataSet>
      <sheetData sheetId="0">
        <row r="5">
          <cell r="B5" t="str">
            <v>Can_Commercial</v>
          </cell>
          <cell r="D5" t="str">
            <v>Act</v>
          </cell>
        </row>
        <row r="6">
          <cell r="B6" t="str">
            <v>Can_Commercial Recycling</v>
          </cell>
          <cell r="D6" t="str">
            <v>Bud</v>
          </cell>
        </row>
        <row r="7">
          <cell r="B7" t="str">
            <v>Can_Landfill</v>
          </cell>
          <cell r="D7" t="str">
            <v>Proj</v>
          </cell>
        </row>
        <row r="8">
          <cell r="B8" t="str">
            <v>Can_Landfill Gas</v>
          </cell>
        </row>
        <row r="9">
          <cell r="B9" t="str">
            <v>Can_MRF</v>
          </cell>
        </row>
        <row r="10">
          <cell r="B10" t="str">
            <v>Can_Other</v>
          </cell>
        </row>
        <row r="11">
          <cell r="B11" t="str">
            <v>Can_Residential</v>
          </cell>
        </row>
        <row r="12">
          <cell r="B12" t="str">
            <v>Can_Residential Recycling</v>
          </cell>
        </row>
        <row r="13">
          <cell r="B13" t="str">
            <v>Can_Roll Off</v>
          </cell>
        </row>
        <row r="14">
          <cell r="B14" t="str">
            <v>Can_Transfer Station</v>
          </cell>
        </row>
      </sheetData>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pg 1-2"/>
      <sheetName val="OrgControl, pg 3"/>
      <sheetName val="BS-Assets, pg 4"/>
      <sheetName val="BS-Liab, pg 5"/>
      <sheetName val="FixedAssets, pg 6"/>
      <sheetName val="Income Statement, pg 7"/>
      <sheetName val="RevenuesCust, pg 8"/>
      <sheetName val="Recyc-YW, pg 9"/>
      <sheetName val="contracts, pg 10"/>
      <sheetName val="GarbageDisp, pg 11"/>
      <sheetName val="RecycleProcessing, pg 12"/>
      <sheetName val="RetainEarn, pg 13"/>
      <sheetName val="Payroll, pg 14"/>
      <sheetName val="Fuel, pg 15"/>
      <sheetName val="FeeCalc, pg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G Nonpublic 2018 V5.0"/>
    </sheetNames>
    <sheetDataSet>
      <sheetData sheetId="0">
        <row r="55">
          <cell r="W55">
            <v>5.7225999999999999</v>
          </cell>
          <cell r="Y55">
            <v>5.6985000000000001</v>
          </cell>
        </row>
        <row r="56">
          <cell r="W56">
            <v>5.7082699999999997</v>
          </cell>
          <cell r="Y56">
            <v>5.6921999999999997</v>
          </cell>
        </row>
        <row r="58">
          <cell r="X58">
            <v>0.68367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ital Summary By PO Type"/>
      <sheetName val="PO vs Truck Center Recon"/>
      <sheetName val="Truck Center Summary"/>
      <sheetName val="Bud Closure Input"/>
      <sheetName val="Closure Summary By PO Type"/>
      <sheetName val="TruckCenterReference"/>
      <sheetName val="AssetTypeList"/>
      <sheetName val="Reference"/>
      <sheetName val="ClosureReference"/>
      <sheetName val="Bud Capital Input (2)"/>
      <sheetName val="Bud Capital Input"/>
    </sheetNames>
    <sheetDataSet>
      <sheetData sheetId="0"/>
      <sheetData sheetId="1"/>
      <sheetData sheetId="2"/>
      <sheetData sheetId="3"/>
      <sheetData sheetId="4"/>
      <sheetData sheetId="5"/>
      <sheetData sheetId="6">
        <row r="15">
          <cell r="F15" t="str">
            <v>OK!: ReportRange Formula OK [jAction{}]</v>
          </cell>
        </row>
        <row r="22">
          <cell r="C22">
            <v>12020</v>
          </cell>
          <cell r="D22">
            <v>2183</v>
          </cell>
          <cell r="E22" t="str">
            <v>New Peterbilt/Labrie Automated Resi (28 yd) (Not Manual)</v>
          </cell>
          <cell r="F22" t="str">
            <v>N</v>
          </cell>
          <cell r="G22" t="str">
            <v>Automated Sideloader</v>
          </cell>
          <cell r="H22" t="str">
            <v>Automated Sideloader</v>
          </cell>
          <cell r="I22">
            <v>402258</v>
          </cell>
        </row>
        <row r="23">
          <cell r="C23">
            <v>12038</v>
          </cell>
          <cell r="D23">
            <v>2183</v>
          </cell>
          <cell r="E23" t="str">
            <v>New Peterbilt/Labrie Automated Resi (28 yd) (Not Manual)</v>
          </cell>
          <cell r="F23" t="str">
            <v>N</v>
          </cell>
          <cell r="G23" t="str">
            <v>Automated Sideloader</v>
          </cell>
          <cell r="H23" t="str">
            <v>Automated Sideloader</v>
          </cell>
          <cell r="I23">
            <v>402258</v>
          </cell>
        </row>
        <row r="24">
          <cell r="C24">
            <v>12039</v>
          </cell>
          <cell r="D24">
            <v>2183</v>
          </cell>
          <cell r="E24" t="str">
            <v>New Peterbilt/Labrie Automated Resi (28 yd) (Not Manual)</v>
          </cell>
          <cell r="F24" t="str">
            <v>N</v>
          </cell>
          <cell r="G24" t="str">
            <v>Automated Sideloader</v>
          </cell>
          <cell r="H24" t="str">
            <v>Automated Sideloader</v>
          </cell>
          <cell r="I24">
            <v>402258</v>
          </cell>
        </row>
        <row r="25">
          <cell r="C25">
            <v>12041</v>
          </cell>
          <cell r="D25">
            <v>2183</v>
          </cell>
          <cell r="E25" t="str">
            <v>New Peterbilt/Labrie Automated Resi (28 yd) (Not Manual)</v>
          </cell>
          <cell r="F25" t="str">
            <v>N</v>
          </cell>
          <cell r="G25" t="str">
            <v>Automated Sideloader</v>
          </cell>
          <cell r="H25" t="str">
            <v>Automated Sideloader</v>
          </cell>
          <cell r="I25">
            <v>402258</v>
          </cell>
        </row>
        <row r="26">
          <cell r="C26">
            <v>12042</v>
          </cell>
          <cell r="D26">
            <v>2183</v>
          </cell>
          <cell r="E26" t="str">
            <v>New Peterbilt/Labrie Automated Resi (28 yd) (Not Manual)</v>
          </cell>
          <cell r="F26" t="str">
            <v>N</v>
          </cell>
          <cell r="G26" t="str">
            <v>Automated Sideloader</v>
          </cell>
          <cell r="H26" t="str">
            <v>Automated Sideloader</v>
          </cell>
          <cell r="I26">
            <v>402258</v>
          </cell>
        </row>
        <row r="27">
          <cell r="C27">
            <v>12043</v>
          </cell>
          <cell r="D27">
            <v>2183</v>
          </cell>
          <cell r="E27" t="str">
            <v>New Peterbilt/Other Rearload 3 Axle (25 yd Only)</v>
          </cell>
          <cell r="F27" t="str">
            <v>N</v>
          </cell>
          <cell r="G27" t="str">
            <v>Rear Loader</v>
          </cell>
          <cell r="H27" t="str">
            <v>Rear Loader</v>
          </cell>
          <cell r="I27">
            <v>334633</v>
          </cell>
        </row>
        <row r="28">
          <cell r="C28">
            <v>12048</v>
          </cell>
          <cell r="D28">
            <v>2183</v>
          </cell>
          <cell r="E28" t="str">
            <v>New Peterbilt/Other Rearload 3 Axle (25 yd Only)</v>
          </cell>
          <cell r="F28" t="str">
            <v>N</v>
          </cell>
          <cell r="G28" t="str">
            <v>Rear Loader</v>
          </cell>
          <cell r="H28" t="str">
            <v>Rear Loader</v>
          </cell>
          <cell r="I28">
            <v>334633</v>
          </cell>
        </row>
        <row r="29">
          <cell r="C29">
            <v>12999</v>
          </cell>
          <cell r="D29">
            <v>2183</v>
          </cell>
          <cell r="E29" t="str">
            <v>New Other/Labrie Rearload 3 Axle (25 yd Only)</v>
          </cell>
          <cell r="F29" t="str">
            <v>N</v>
          </cell>
          <cell r="G29" t="str">
            <v>Rear Loader</v>
          </cell>
          <cell r="H29" t="str">
            <v>Rear Loader</v>
          </cell>
          <cell r="I29">
            <v>120059</v>
          </cell>
        </row>
        <row r="30">
          <cell r="C30">
            <v>13000</v>
          </cell>
          <cell r="D30">
            <v>2183</v>
          </cell>
          <cell r="E30" t="str">
            <v>New Other/Labrie Rearload 3 Axle (25 yd Only)</v>
          </cell>
          <cell r="F30" t="str">
            <v>N</v>
          </cell>
          <cell r="G30" t="str">
            <v>Rear Loader</v>
          </cell>
          <cell r="H30" t="str">
            <v>Rear Loader</v>
          </cell>
          <cell r="I30">
            <v>135563</v>
          </cell>
        </row>
        <row r="32">
          <cell r="C32" t="str">
            <v>PO Subtype</v>
          </cell>
          <cell r="D32" t="str">
            <v>Truck Center System Type</v>
          </cell>
        </row>
        <row r="33">
          <cell r="C33" t="str">
            <v>Automated</v>
          </cell>
          <cell r="D33" t="str">
            <v>Automated Sideloader</v>
          </cell>
        </row>
        <row r="34">
          <cell r="C34" t="str">
            <v>Container Delivery Truck</v>
          </cell>
          <cell r="D34" t="str">
            <v>Container Delivery</v>
          </cell>
        </row>
        <row r="35">
          <cell r="C35" t="str">
            <v>Front Load</v>
          </cell>
          <cell r="D35" t="str">
            <v>Front Loader</v>
          </cell>
        </row>
        <row r="36">
          <cell r="C36" t="str">
            <v>PO Subtype</v>
          </cell>
          <cell r="D36" t="str">
            <v>Truck Center System Type</v>
          </cell>
        </row>
        <row r="37">
          <cell r="C37" t="str">
            <v>Automated</v>
          </cell>
          <cell r="D37" t="str">
            <v>Automated Sideloader</v>
          </cell>
        </row>
        <row r="38">
          <cell r="C38" t="str">
            <v>Container Delivery Truck</v>
          </cell>
          <cell r="D38" t="str">
            <v>Container Delivery</v>
          </cell>
        </row>
        <row r="39">
          <cell r="C39" t="str">
            <v>Front Load</v>
          </cell>
          <cell r="D39" t="str">
            <v>Front Loader</v>
          </cell>
        </row>
        <row r="40">
          <cell r="C40" t="str">
            <v>Grapple Brush Truck</v>
          </cell>
          <cell r="D40" t="str">
            <v>Grapple Truck</v>
          </cell>
        </row>
        <row r="41">
          <cell r="C41" t="str">
            <v>Hook Lift</v>
          </cell>
          <cell r="D41" t="str">
            <v>Hook Lift</v>
          </cell>
        </row>
        <row r="42">
          <cell r="C42" t="str">
            <v>Sideloader</v>
          </cell>
          <cell r="D42" t="str">
            <v>Sideloader</v>
          </cell>
        </row>
        <row r="43">
          <cell r="C43" t="str">
            <v>Sideloader</v>
          </cell>
          <cell r="D43" t="str">
            <v>Sideloader</v>
          </cell>
        </row>
        <row r="44">
          <cell r="C44" t="str">
            <v>Other Truck</v>
          </cell>
          <cell r="D44" t="str">
            <v>Other</v>
          </cell>
        </row>
        <row r="45">
          <cell r="C45" t="str">
            <v>Passenger Car</v>
          </cell>
          <cell r="D45" t="str">
            <v>Other</v>
          </cell>
        </row>
        <row r="46">
          <cell r="C46" t="str">
            <v>Pickup</v>
          </cell>
          <cell r="D46" t="str">
            <v>Pickup</v>
          </cell>
        </row>
        <row r="47">
          <cell r="C47" t="str">
            <v>Pumper Truck</v>
          </cell>
          <cell r="D47" t="str">
            <v>Pumper Truck</v>
          </cell>
        </row>
        <row r="48">
          <cell r="C48" t="str">
            <v>Rear Load</v>
          </cell>
          <cell r="D48" t="str">
            <v>Rear Loader</v>
          </cell>
        </row>
        <row r="49">
          <cell r="C49" t="str">
            <v>Recycle Truck</v>
          </cell>
          <cell r="D49" t="str">
            <v>Recycle</v>
          </cell>
        </row>
        <row r="50">
          <cell r="C50" t="str">
            <v>Retriever</v>
          </cell>
          <cell r="D50" t="str">
            <v>Retriever</v>
          </cell>
        </row>
        <row r="51">
          <cell r="C51" t="str">
            <v>Roll Off</v>
          </cell>
          <cell r="D51" t="str">
            <v>Roll Off</v>
          </cell>
        </row>
        <row r="52">
          <cell r="C52" t="str">
            <v>Service Truck</v>
          </cell>
          <cell r="D52" t="str">
            <v>Service Truck</v>
          </cell>
        </row>
        <row r="53">
          <cell r="C53" t="str">
            <v>Service Truck</v>
          </cell>
          <cell r="D53" t="str">
            <v>Service Truck</v>
          </cell>
        </row>
        <row r="54">
          <cell r="C54" t="str">
            <v>Tipper Trailer</v>
          </cell>
          <cell r="D54" t="str">
            <v>Trailer</v>
          </cell>
        </row>
        <row r="55">
          <cell r="C55" t="str">
            <v>Walking Floor Trailer</v>
          </cell>
          <cell r="D55" t="str">
            <v>Trailer</v>
          </cell>
        </row>
        <row r="56">
          <cell r="C56" t="str">
            <v>Roll Off Pup Trailer</v>
          </cell>
          <cell r="D56" t="str">
            <v>Trailer</v>
          </cell>
        </row>
        <row r="57">
          <cell r="C57" t="str">
            <v>Other Trailer</v>
          </cell>
          <cell r="D57" t="str">
            <v>Trailer</v>
          </cell>
        </row>
        <row r="58">
          <cell r="C58" t="str">
            <v>Container Delivery Trailer</v>
          </cell>
          <cell r="D58" t="str">
            <v>Trailer</v>
          </cell>
        </row>
        <row r="59">
          <cell r="C59" t="str">
            <v>Railroad Cars</v>
          </cell>
          <cell r="D59" t="str">
            <v>Trailer</v>
          </cell>
        </row>
        <row r="60">
          <cell r="C60" t="str">
            <v>Barge</v>
          </cell>
          <cell r="D60" t="str">
            <v>Trailer</v>
          </cell>
        </row>
        <row r="61">
          <cell r="C61" t="str">
            <v>Transfer Tractor</v>
          </cell>
          <cell r="D61" t="str">
            <v>Transfer Tractor</v>
          </cell>
        </row>
        <row r="62">
          <cell r="C62" t="str">
            <v>ATV/Gator</v>
          </cell>
          <cell r="D62" t="str">
            <v>Yard Mule</v>
          </cell>
        </row>
        <row r="63">
          <cell r="C63" t="str">
            <v>Yard Mule</v>
          </cell>
          <cell r="D63" t="str">
            <v>Yard Mule</v>
          </cell>
        </row>
        <row r="64">
          <cell r="C64" t="str">
            <v>Automated</v>
          </cell>
          <cell r="D64" t="str">
            <v>Automated Sideloader</v>
          </cell>
        </row>
        <row r="65">
          <cell r="C65" t="str">
            <v>Container Delivery Truck</v>
          </cell>
          <cell r="D65" t="str">
            <v>Container Delivery</v>
          </cell>
        </row>
        <row r="66">
          <cell r="C66" t="str">
            <v>Front Load</v>
          </cell>
          <cell r="D66" t="str">
            <v>Front Loader</v>
          </cell>
        </row>
        <row r="67">
          <cell r="C67" t="str">
            <v>Grapple Brush Truck</v>
          </cell>
          <cell r="D67" t="str">
            <v>Grapple Truck</v>
          </cell>
        </row>
        <row r="68">
          <cell r="C68" t="str">
            <v>Hook Lift</v>
          </cell>
          <cell r="D68" t="str">
            <v>Hook Lift</v>
          </cell>
        </row>
        <row r="69">
          <cell r="C69" t="str">
            <v>Sideloader</v>
          </cell>
          <cell r="D69" t="str">
            <v>Manual Sideloader</v>
          </cell>
        </row>
        <row r="70">
          <cell r="C70" t="str">
            <v>Other Truck</v>
          </cell>
          <cell r="D70" t="str">
            <v>Other</v>
          </cell>
        </row>
        <row r="71">
          <cell r="C71" t="str">
            <v>Pickup</v>
          </cell>
          <cell r="D71" t="str">
            <v>Pickup</v>
          </cell>
        </row>
        <row r="72">
          <cell r="C72" t="str">
            <v>Pumper Truck</v>
          </cell>
          <cell r="D72" t="str">
            <v>Pumper Truck</v>
          </cell>
        </row>
        <row r="73">
          <cell r="C73" t="str">
            <v>Rear Load</v>
          </cell>
          <cell r="D73" t="str">
            <v>Rear Loader</v>
          </cell>
        </row>
        <row r="74">
          <cell r="C74" t="str">
            <v>Recycle Truck</v>
          </cell>
          <cell r="D74" t="str">
            <v>Recycle</v>
          </cell>
        </row>
        <row r="75">
          <cell r="C75" t="str">
            <v>Retriever</v>
          </cell>
          <cell r="D75" t="str">
            <v>Retriever</v>
          </cell>
        </row>
        <row r="76">
          <cell r="C76" t="str">
            <v>Roll Off</v>
          </cell>
          <cell r="D76" t="str">
            <v>Roll Off</v>
          </cell>
        </row>
        <row r="77">
          <cell r="C77" t="str">
            <v>Service Truck</v>
          </cell>
          <cell r="D77" t="str">
            <v>Serv Trk-Complete</v>
          </cell>
        </row>
        <row r="78">
          <cell r="C78" t="str">
            <v>Tipper Trailer</v>
          </cell>
          <cell r="D78" t="str">
            <v>Trailer</v>
          </cell>
        </row>
        <row r="79">
          <cell r="C79" t="str">
            <v>Walking Floor Trailer</v>
          </cell>
          <cell r="D79" t="str">
            <v>Trailer</v>
          </cell>
        </row>
        <row r="80">
          <cell r="C80" t="str">
            <v>Roll Off Pup Trailer</v>
          </cell>
          <cell r="D80" t="str">
            <v>Trailer</v>
          </cell>
        </row>
        <row r="81">
          <cell r="C81" t="str">
            <v>Barge</v>
          </cell>
          <cell r="D81" t="str">
            <v>Trailer</v>
          </cell>
        </row>
        <row r="82">
          <cell r="C82" t="str">
            <v>Railroad Cars</v>
          </cell>
          <cell r="D82" t="str">
            <v>Trailer</v>
          </cell>
        </row>
        <row r="83">
          <cell r="C83" t="str">
            <v>Container Delivery Trailer</v>
          </cell>
          <cell r="D83" t="str">
            <v>Trailer</v>
          </cell>
        </row>
        <row r="84">
          <cell r="C84" t="str">
            <v>Other Trailer</v>
          </cell>
          <cell r="D84" t="str">
            <v>Trailer</v>
          </cell>
        </row>
        <row r="85">
          <cell r="C85" t="str">
            <v>Transfer Tractor</v>
          </cell>
          <cell r="D85" t="str">
            <v>Transfer Tractor</v>
          </cell>
        </row>
        <row r="86">
          <cell r="C86" t="str">
            <v>Yard Mule</v>
          </cell>
          <cell r="D86" t="str">
            <v>Yard Mule</v>
          </cell>
        </row>
        <row r="87">
          <cell r="C87" t="str">
            <v>ATV/Gator</v>
          </cell>
          <cell r="D87" t="str">
            <v>Yard Mule</v>
          </cell>
        </row>
      </sheetData>
      <sheetData sheetId="7">
        <row r="7">
          <cell r="C7" t="str">
            <v>OK!: ReportRange Formula OK [jAction{}]</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ject_LastPulledValues"/>
      <sheetName val="Depreciation Pivot 2021"/>
      <sheetName val="Assets"/>
      <sheetName val="ProjDepr"/>
      <sheetName val="District Summary"/>
      <sheetName val="Invoice"/>
    </sheetNames>
    <sheetDataSet>
      <sheetData sheetId="0"/>
      <sheetData sheetId="1"/>
      <sheetData sheetId="2"/>
      <sheetData sheetId="3">
        <row r="3">
          <cell r="D3" t="str">
            <v>OK!: ReportRange Formula OK [jAction{}]</v>
          </cell>
        </row>
        <row r="19">
          <cell r="D19" t="str">
            <v>2022-01</v>
          </cell>
        </row>
        <row r="20">
          <cell r="D20"/>
        </row>
        <row r="21">
          <cell r="D21"/>
        </row>
        <row r="22">
          <cell r="D22"/>
        </row>
      </sheetData>
      <sheetData sheetId="4"/>
      <sheetData sheetId="5">
        <row r="2">
          <cell r="C2" t="str">
            <v>OK!: ReportRange Formula OK [jAction{}]</v>
          </cell>
        </row>
        <row r="7">
          <cell r="E7"/>
        </row>
        <row r="8">
          <cell r="E8" t="str">
            <v/>
          </cell>
        </row>
        <row r="9">
          <cell r="E9" t="str">
            <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 Addition Form"/>
      <sheetName val="Asset Transfer"/>
      <sheetName val="Asset Disposal"/>
    </sheetNames>
    <sheetDataSet>
      <sheetData sheetId="0">
        <row r="1">
          <cell r="G1" t="str">
            <v>Notes:</v>
          </cell>
        </row>
        <row r="2">
          <cell r="G2" t="str">
            <v>1) Please fill this form out quarterly and email to Heather Garland (heatherg@wcnx.org).</v>
          </cell>
        </row>
        <row r="3">
          <cell r="G3" t="str">
            <v>2) All applicable fields should be filled out to ensure the UTC department has enough information to update their UTC schedules.  Highlighted cells indicate cells that need to be filled out.</v>
          </cell>
        </row>
        <row r="4">
          <cell r="G4" t="str">
            <v>3) When filling out the Line of Business please be very specific.  For example designate when possible, between residential and commercial.  Also if there are "unique" activities, such as an Army base, please designate these assets when applicable.</v>
          </cell>
        </row>
        <row r="5">
          <cell r="G5" t="str">
            <v>4) If you assigned more than one size container the same FAR # (example below), please list each size and cost on a different line above.  You will need to divide up the tax and freight listed on the invoice proportionately to each size container.  We have to list them by size on our UTC schedules.</v>
          </cell>
        </row>
        <row r="6">
          <cell r="G6" t="str">
            <v xml:space="preserve">          Example:</v>
          </cell>
          <cell r="H6" t="str">
            <v>FAR #90239 = (4) 1YD, (3) 1.5YD, (5) 2YD, &amp; (1) 4 Cubic Yard FEL Containers</v>
          </cell>
        </row>
        <row r="7">
          <cell r="H7" t="str">
            <v>Do not list like this, there should be a separate line above for each size.</v>
          </cell>
        </row>
        <row r="8">
          <cell r="C8" t="str">
            <v>Updated thru November 2021 for all sites</v>
          </cell>
        </row>
        <row r="10">
          <cell r="C10" t="str">
            <v>FAR Asset #</v>
          </cell>
          <cell r="D10" t="str">
            <v>Child #</v>
          </cell>
          <cell r="E10" t="str">
            <v>Truck #</v>
          </cell>
          <cell r="F10" t="str">
            <v>Quantity</v>
          </cell>
          <cell r="G10" t="str">
            <v>Cost</v>
          </cell>
          <cell r="H10" t="str">
            <v>Description</v>
          </cell>
          <cell r="I10" t="str">
            <v>New/Used?</v>
          </cell>
          <cell r="J10" t="str">
            <v>REL/FEL/ASL</v>
          </cell>
          <cell r="K10" t="str">
            <v>Line of Business</v>
          </cell>
        </row>
        <row r="11">
          <cell r="C11">
            <v>249589</v>
          </cell>
          <cell r="D11">
            <v>243666</v>
          </cell>
          <cell r="E11">
            <v>1088</v>
          </cell>
          <cell r="G11">
            <v>738.45</v>
          </cell>
          <cell r="H11" t="str">
            <v>REL Truck 1088 Decals</v>
          </cell>
          <cell r="I11" t="str">
            <v>New</v>
          </cell>
          <cell r="J11" t="str">
            <v>REL</v>
          </cell>
          <cell r="K11" t="str">
            <v>Commercial</v>
          </cell>
        </row>
        <row r="12">
          <cell r="C12">
            <v>249941</v>
          </cell>
          <cell r="D12">
            <v>249940</v>
          </cell>
          <cell r="E12">
            <v>3704</v>
          </cell>
          <cell r="G12">
            <v>184138.36</v>
          </cell>
          <cell r="H12" t="str">
            <v>2021 Peterbilt ASL Truck- Body</v>
          </cell>
          <cell r="I12" t="str">
            <v>New</v>
          </cell>
          <cell r="J12" t="str">
            <v>ASL</v>
          </cell>
          <cell r="K12" t="str">
            <v>Resi</v>
          </cell>
        </row>
        <row r="13">
          <cell r="C13">
            <v>252491</v>
          </cell>
          <cell r="D13">
            <v>249940</v>
          </cell>
          <cell r="E13">
            <v>3704</v>
          </cell>
          <cell r="G13">
            <v>596.24</v>
          </cell>
          <cell r="H13" t="str">
            <v>Drive Cam</v>
          </cell>
          <cell r="I13" t="str">
            <v>New</v>
          </cell>
          <cell r="J13" t="str">
            <v>ASL</v>
          </cell>
          <cell r="K13" t="str">
            <v>Resi</v>
          </cell>
        </row>
        <row r="14">
          <cell r="C14">
            <v>246558</v>
          </cell>
          <cell r="D14" t="str">
            <v>P</v>
          </cell>
          <cell r="G14">
            <v>158.4</v>
          </cell>
          <cell r="H14" t="str">
            <v>Samsung 970 EVO Serial #S58SNS0N806416</v>
          </cell>
          <cell r="I14" t="str">
            <v>New</v>
          </cell>
        </row>
        <row r="15">
          <cell r="C15">
            <v>246559</v>
          </cell>
          <cell r="D15">
            <v>246558</v>
          </cell>
          <cell r="G15">
            <v>716.31</v>
          </cell>
          <cell r="H15" t="str">
            <v>HP SB ProDesk Serial #MXL0514623</v>
          </cell>
          <cell r="I15" t="str">
            <v>New</v>
          </cell>
        </row>
        <row r="16">
          <cell r="C16">
            <v>246438</v>
          </cell>
          <cell r="D16">
            <v>241522</v>
          </cell>
          <cell r="E16">
            <v>2062</v>
          </cell>
          <cell r="G16">
            <v>952.16</v>
          </cell>
          <cell r="H16" t="str">
            <v>FEL Truck 2062 Decals</v>
          </cell>
          <cell r="I16" t="str">
            <v>New</v>
          </cell>
          <cell r="J16" t="str">
            <v>FEL</v>
          </cell>
          <cell r="K16" t="str">
            <v>Commercial</v>
          </cell>
        </row>
        <row r="17">
          <cell r="C17">
            <v>246437</v>
          </cell>
          <cell r="D17">
            <v>242815</v>
          </cell>
          <cell r="E17">
            <v>3714</v>
          </cell>
          <cell r="G17">
            <v>984.62</v>
          </cell>
          <cell r="H17" t="str">
            <v>ASL Truck 3714 Decals</v>
          </cell>
          <cell r="I17" t="str">
            <v>New</v>
          </cell>
          <cell r="J17" t="str">
            <v>ASL</v>
          </cell>
          <cell r="K17" t="str">
            <v>Resi</v>
          </cell>
        </row>
        <row r="18">
          <cell r="C18">
            <v>253972</v>
          </cell>
          <cell r="D18">
            <v>249940</v>
          </cell>
          <cell r="E18">
            <v>3704</v>
          </cell>
          <cell r="G18">
            <v>1595.85</v>
          </cell>
          <cell r="H18" t="str">
            <v>Decals &amp; License</v>
          </cell>
          <cell r="I18" t="str">
            <v>New</v>
          </cell>
          <cell r="J18" t="str">
            <v>ASL</v>
          </cell>
          <cell r="K18" t="str">
            <v>Resi</v>
          </cell>
        </row>
        <row r="19">
          <cell r="C19">
            <v>259120</v>
          </cell>
          <cell r="D19">
            <v>249940</v>
          </cell>
          <cell r="E19">
            <v>3704</v>
          </cell>
          <cell r="G19">
            <v>792.27</v>
          </cell>
          <cell r="H19" t="str">
            <v>Truck 3704 Radio</v>
          </cell>
          <cell r="I19" t="str">
            <v>New</v>
          </cell>
          <cell r="J19" t="str">
            <v>ASL</v>
          </cell>
          <cell r="K19" t="str">
            <v>Resi</v>
          </cell>
        </row>
        <row r="20">
          <cell r="C20">
            <v>245846</v>
          </cell>
          <cell r="D20" t="str">
            <v>P</v>
          </cell>
          <cell r="F20">
            <v>49</v>
          </cell>
          <cell r="G20">
            <v>6644.46</v>
          </cell>
          <cell r="H20" t="str">
            <v>4-Wheeled Plastic Shred Totes</v>
          </cell>
          <cell r="I20" t="str">
            <v>New</v>
          </cell>
          <cell r="K20" t="str">
            <v>Shred</v>
          </cell>
        </row>
        <row r="21">
          <cell r="C21">
            <v>249940</v>
          </cell>
          <cell r="D21" t="str">
            <v>P</v>
          </cell>
          <cell r="E21">
            <v>3704</v>
          </cell>
          <cell r="G21">
            <v>184139.1</v>
          </cell>
          <cell r="H21" t="str">
            <v>2021 Peterbilt ASL Truck- Chassis</v>
          </cell>
          <cell r="I21" t="str">
            <v>New</v>
          </cell>
          <cell r="J21" t="str">
            <v>ASL</v>
          </cell>
          <cell r="K21" t="str">
            <v>Resi</v>
          </cell>
        </row>
        <row r="22">
          <cell r="C22">
            <v>255411</v>
          </cell>
          <cell r="D22" t="str">
            <v>P</v>
          </cell>
          <cell r="E22">
            <v>3717</v>
          </cell>
          <cell r="G22">
            <v>365895.27</v>
          </cell>
          <cell r="H22" t="str">
            <v>2022 Peterbilt ASL Truck</v>
          </cell>
          <cell r="I22" t="str">
            <v>New</v>
          </cell>
          <cell r="J22" t="str">
            <v>ASL</v>
          </cell>
          <cell r="K22" t="str">
            <v>Resi MSW</v>
          </cell>
        </row>
        <row r="23">
          <cell r="C23">
            <v>247391</v>
          </cell>
          <cell r="D23">
            <v>212515</v>
          </cell>
          <cell r="E23">
            <v>6061</v>
          </cell>
          <cell r="G23">
            <v>-300</v>
          </cell>
          <cell r="H23" t="str">
            <v>Tommie Vaugh Rebate</v>
          </cell>
          <cell r="I23" t="str">
            <v>New</v>
          </cell>
          <cell r="J23" t="str">
            <v>Supervisor Pickup</v>
          </cell>
        </row>
        <row r="24">
          <cell r="C24">
            <v>259122</v>
          </cell>
          <cell r="D24">
            <v>255411</v>
          </cell>
          <cell r="E24">
            <v>3717</v>
          </cell>
          <cell r="G24">
            <v>770.3</v>
          </cell>
          <cell r="H24" t="str">
            <v>Truck 3717 Radio</v>
          </cell>
          <cell r="I24" t="str">
            <v>New</v>
          </cell>
          <cell r="K24" t="str">
            <v>Resi MSW</v>
          </cell>
        </row>
        <row r="25">
          <cell r="C25">
            <v>259332</v>
          </cell>
          <cell r="D25">
            <v>255411</v>
          </cell>
          <cell r="E25">
            <v>3717</v>
          </cell>
          <cell r="G25">
            <v>1078.1099999999999</v>
          </cell>
          <cell r="H25" t="str">
            <v>Truck 3717 Decals</v>
          </cell>
          <cell r="I25" t="str">
            <v>New</v>
          </cell>
          <cell r="K25" t="str">
            <v>Resi MSW</v>
          </cell>
        </row>
        <row r="26">
          <cell r="C26">
            <v>247913</v>
          </cell>
          <cell r="D26" t="str">
            <v>P</v>
          </cell>
          <cell r="F26">
            <v>702</v>
          </cell>
          <cell r="G26">
            <v>33079.01</v>
          </cell>
          <cell r="H26" t="str">
            <v>95 Gallon Plastic MSW Totes</v>
          </cell>
          <cell r="I26" t="str">
            <v>New</v>
          </cell>
          <cell r="K26" t="str">
            <v>Resi MSW</v>
          </cell>
        </row>
        <row r="27">
          <cell r="C27">
            <v>247914</v>
          </cell>
          <cell r="D27" t="str">
            <v>P</v>
          </cell>
          <cell r="F27">
            <v>936</v>
          </cell>
          <cell r="G27">
            <v>39041.589999999997</v>
          </cell>
          <cell r="H27" t="str">
            <v>65 Gallon Plast MSW totes</v>
          </cell>
          <cell r="I27" t="str">
            <v>New</v>
          </cell>
          <cell r="K27" t="str">
            <v>Resi MSW</v>
          </cell>
        </row>
        <row r="28">
          <cell r="C28">
            <v>249434</v>
          </cell>
          <cell r="D28" t="str">
            <v>P</v>
          </cell>
          <cell r="F28">
            <v>1</v>
          </cell>
          <cell r="G28">
            <v>2192.4</v>
          </cell>
          <cell r="H28" t="str">
            <v>Panasonic Toughbook Serial # 1ATTA08314</v>
          </cell>
          <cell r="I28" t="str">
            <v>New</v>
          </cell>
          <cell r="K28" t="str">
            <v>Shred laptop</v>
          </cell>
        </row>
        <row r="29">
          <cell r="C29">
            <v>250035</v>
          </cell>
          <cell r="D29" t="str">
            <v>P</v>
          </cell>
          <cell r="F29">
            <v>30</v>
          </cell>
          <cell r="G29">
            <v>16024.42</v>
          </cell>
          <cell r="H29" t="str">
            <v>1yd Metal REL Container</v>
          </cell>
          <cell r="I29" t="str">
            <v>New</v>
          </cell>
          <cell r="K29" t="str">
            <v>Commercial MSW &amp; Recycle</v>
          </cell>
        </row>
        <row r="30">
          <cell r="C30">
            <v>250036</v>
          </cell>
          <cell r="D30" t="str">
            <v>P</v>
          </cell>
          <cell r="F30">
            <v>30</v>
          </cell>
          <cell r="G30">
            <v>17322.82</v>
          </cell>
          <cell r="H30" t="str">
            <v>1.5yd Metal REL Container</v>
          </cell>
          <cell r="I30" t="str">
            <v>New</v>
          </cell>
          <cell r="K30" t="str">
            <v>Commercial MSW &amp; Recycle</v>
          </cell>
        </row>
        <row r="31">
          <cell r="C31">
            <v>251931</v>
          </cell>
          <cell r="D31" t="str">
            <v>P</v>
          </cell>
          <cell r="E31">
            <v>3705</v>
          </cell>
          <cell r="G31">
            <v>184139.1</v>
          </cell>
          <cell r="H31" t="str">
            <v>2021 Peterbilt ASL Truck- Chassis</v>
          </cell>
          <cell r="I31" t="str">
            <v>New</v>
          </cell>
          <cell r="J31" t="str">
            <v>ASL</v>
          </cell>
          <cell r="K31" t="str">
            <v>Resi</v>
          </cell>
        </row>
        <row r="32">
          <cell r="C32">
            <v>251932</v>
          </cell>
          <cell r="D32">
            <v>251931</v>
          </cell>
          <cell r="E32">
            <v>3705</v>
          </cell>
          <cell r="G32">
            <v>180547</v>
          </cell>
          <cell r="H32" t="str">
            <v>2021 Peterbilt ASL Truck- Body</v>
          </cell>
          <cell r="I32" t="str">
            <v>New</v>
          </cell>
          <cell r="J32" t="str">
            <v>ASL</v>
          </cell>
          <cell r="K32" t="str">
            <v>Resi</v>
          </cell>
        </row>
        <row r="33">
          <cell r="C33">
            <v>253110</v>
          </cell>
          <cell r="D33">
            <v>251931</v>
          </cell>
          <cell r="E33">
            <v>3705</v>
          </cell>
          <cell r="G33">
            <v>869.73</v>
          </cell>
          <cell r="H33" t="str">
            <v>Resi Truck 3705 Decals</v>
          </cell>
          <cell r="I33" t="str">
            <v>New</v>
          </cell>
          <cell r="J33" t="str">
            <v>ASL</v>
          </cell>
          <cell r="K33" t="str">
            <v>Resi</v>
          </cell>
        </row>
        <row r="34">
          <cell r="C34">
            <v>258547</v>
          </cell>
          <cell r="D34">
            <v>251931</v>
          </cell>
          <cell r="E34">
            <v>3705</v>
          </cell>
          <cell r="G34">
            <v>471.74</v>
          </cell>
          <cell r="H34" t="str">
            <v>Truck 3705 License</v>
          </cell>
          <cell r="I34" t="str">
            <v>New</v>
          </cell>
          <cell r="J34" t="str">
            <v>ASL</v>
          </cell>
          <cell r="K34" t="str">
            <v>Resi</v>
          </cell>
        </row>
        <row r="35">
          <cell r="C35">
            <v>259121</v>
          </cell>
          <cell r="D35">
            <v>251931</v>
          </cell>
          <cell r="E35">
            <v>3705</v>
          </cell>
          <cell r="G35">
            <v>792.27</v>
          </cell>
          <cell r="H35" t="str">
            <v>Truck 3705 Radio</v>
          </cell>
          <cell r="I35" t="str">
            <v>New</v>
          </cell>
          <cell r="J35" t="str">
            <v>ASL</v>
          </cell>
          <cell r="K35" t="str">
            <v>Resi</v>
          </cell>
        </row>
        <row r="36">
          <cell r="C36">
            <v>259223</v>
          </cell>
          <cell r="D36">
            <v>251931</v>
          </cell>
          <cell r="E36">
            <v>3705</v>
          </cell>
          <cell r="G36">
            <v>4187.6000000000004</v>
          </cell>
          <cell r="H36" t="str">
            <v>2021 Peterbilt ASL Truck - Warranties - COVID 2183-20-0023</v>
          </cell>
          <cell r="I36" t="str">
            <v>New</v>
          </cell>
          <cell r="J36" t="str">
            <v>ASL</v>
          </cell>
          <cell r="K36" t="str">
            <v>Resi</v>
          </cell>
        </row>
        <row r="37">
          <cell r="C37">
            <v>255410</v>
          </cell>
          <cell r="D37" t="str">
            <v>P</v>
          </cell>
          <cell r="E37">
            <v>3718</v>
          </cell>
          <cell r="G37">
            <v>369905.83</v>
          </cell>
          <cell r="H37" t="str">
            <v>2022 Peterbilt ASL Truck</v>
          </cell>
          <cell r="I37" t="str">
            <v>New</v>
          </cell>
          <cell r="J37" t="str">
            <v>ASL</v>
          </cell>
          <cell r="K37" t="str">
            <v>Resi</v>
          </cell>
        </row>
        <row r="38">
          <cell r="C38">
            <v>251601</v>
          </cell>
          <cell r="D38" t="str">
            <v>P</v>
          </cell>
          <cell r="F38">
            <v>1</v>
          </cell>
          <cell r="G38">
            <v>1297</v>
          </cell>
          <cell r="H38" t="str">
            <v>HP ProBook 630 Serial # 5CD112SS94</v>
          </cell>
          <cell r="I38" t="str">
            <v>New</v>
          </cell>
          <cell r="K38" t="str">
            <v>DM Laptop</v>
          </cell>
        </row>
        <row r="39">
          <cell r="C39">
            <v>259333</v>
          </cell>
          <cell r="D39">
            <v>255411</v>
          </cell>
          <cell r="E39">
            <v>3717</v>
          </cell>
          <cell r="G39">
            <v>377.5</v>
          </cell>
          <cell r="H39" t="str">
            <v>Truck 3717 License</v>
          </cell>
          <cell r="I39" t="str">
            <v>New</v>
          </cell>
          <cell r="K39" t="str">
            <v>Resi MSW</v>
          </cell>
        </row>
        <row r="40">
          <cell r="C40">
            <v>259347</v>
          </cell>
          <cell r="D40">
            <v>258549</v>
          </cell>
          <cell r="E40">
            <v>3719</v>
          </cell>
          <cell r="G40">
            <v>343.5</v>
          </cell>
          <cell r="H40" t="str">
            <v>Truck 3719 License</v>
          </cell>
          <cell r="I40" t="str">
            <v>New</v>
          </cell>
          <cell r="K40" t="str">
            <v>Resi Recycle</v>
          </cell>
        </row>
        <row r="41">
          <cell r="C41">
            <v>259348</v>
          </cell>
          <cell r="D41">
            <v>258549</v>
          </cell>
          <cell r="E41">
            <v>3719</v>
          </cell>
          <cell r="G41">
            <v>1078.1099999999999</v>
          </cell>
          <cell r="H41" t="str">
            <v>Decals for Truck #3719</v>
          </cell>
          <cell r="I41" t="str">
            <v>New</v>
          </cell>
          <cell r="K41" t="str">
            <v>Resi Recycle</v>
          </cell>
        </row>
        <row r="42">
          <cell r="C42">
            <v>260743</v>
          </cell>
          <cell r="D42">
            <v>258549</v>
          </cell>
          <cell r="E42">
            <v>3719</v>
          </cell>
          <cell r="G42">
            <v>686.07</v>
          </cell>
          <cell r="H42" t="str">
            <v>Truck 3719 Radio</v>
          </cell>
          <cell r="I42" t="str">
            <v>New</v>
          </cell>
          <cell r="K42" t="str">
            <v>Resi Recycle</v>
          </cell>
        </row>
        <row r="43">
          <cell r="C43">
            <v>251872</v>
          </cell>
          <cell r="D43">
            <v>253162</v>
          </cell>
          <cell r="F43">
            <v>25</v>
          </cell>
          <cell r="G43">
            <v>70255</v>
          </cell>
          <cell r="H43" t="str">
            <v>Plastic RO Lids</v>
          </cell>
          <cell r="I43" t="str">
            <v>New</v>
          </cell>
          <cell r="K43" t="str">
            <v>RO</v>
          </cell>
        </row>
        <row r="44">
          <cell r="C44">
            <v>259355</v>
          </cell>
          <cell r="D44">
            <v>255410</v>
          </cell>
          <cell r="E44">
            <v>3718</v>
          </cell>
          <cell r="G44">
            <v>957.25</v>
          </cell>
          <cell r="H44" t="str">
            <v>Decals for Truck 3718</v>
          </cell>
          <cell r="I44" t="str">
            <v>New</v>
          </cell>
          <cell r="J44" t="str">
            <v>ASL</v>
          </cell>
          <cell r="K44" t="str">
            <v>Resi</v>
          </cell>
        </row>
        <row r="45">
          <cell r="C45">
            <v>259331</v>
          </cell>
          <cell r="D45">
            <v>255410</v>
          </cell>
          <cell r="E45">
            <v>3718</v>
          </cell>
          <cell r="G45">
            <v>389.92</v>
          </cell>
          <cell r="H45" t="str">
            <v>License for Truck 3718</v>
          </cell>
          <cell r="I45" t="str">
            <v>New</v>
          </cell>
          <cell r="J45" t="str">
            <v>ASL</v>
          </cell>
          <cell r="K45" t="str">
            <v>Resi</v>
          </cell>
        </row>
        <row r="46">
          <cell r="C46">
            <v>245709</v>
          </cell>
          <cell r="D46">
            <v>242814</v>
          </cell>
          <cell r="E46">
            <v>5051</v>
          </cell>
          <cell r="G46">
            <v>784.07</v>
          </cell>
          <cell r="H46" t="str">
            <v>Truck 5051 Radio</v>
          </cell>
          <cell r="I46" t="str">
            <v>New</v>
          </cell>
          <cell r="J46" t="str">
            <v>Glass</v>
          </cell>
          <cell r="K46" t="str">
            <v>Resi Glass</v>
          </cell>
        </row>
        <row r="47">
          <cell r="C47">
            <v>249588</v>
          </cell>
          <cell r="D47">
            <v>242814</v>
          </cell>
          <cell r="E47">
            <v>5051</v>
          </cell>
          <cell r="G47">
            <v>705.63</v>
          </cell>
          <cell r="H47" t="str">
            <v>Glass Truck 5051 Decals</v>
          </cell>
          <cell r="I47" t="str">
            <v>New</v>
          </cell>
          <cell r="J47" t="str">
            <v>Glass</v>
          </cell>
          <cell r="K47" t="str">
            <v>Resi Glass</v>
          </cell>
        </row>
        <row r="48">
          <cell r="C48">
            <v>247406</v>
          </cell>
          <cell r="D48">
            <v>219336</v>
          </cell>
          <cell r="E48">
            <v>6060</v>
          </cell>
          <cell r="G48">
            <v>-300</v>
          </cell>
          <cell r="H48" t="str">
            <v>Tommie Vaugh Rebate</v>
          </cell>
          <cell r="I48" t="str">
            <v>New</v>
          </cell>
          <cell r="J48" t="str">
            <v>Supervisor Pickup</v>
          </cell>
        </row>
        <row r="49">
          <cell r="C49">
            <v>245844</v>
          </cell>
          <cell r="D49" t="str">
            <v>P</v>
          </cell>
          <cell r="F49">
            <v>702</v>
          </cell>
          <cell r="G49">
            <v>32670.21</v>
          </cell>
          <cell r="H49" t="str">
            <v>95 Gallon Recycle Totes</v>
          </cell>
          <cell r="I49" t="str">
            <v>New</v>
          </cell>
          <cell r="K49" t="str">
            <v>Resi Recycle</v>
          </cell>
        </row>
        <row r="50">
          <cell r="C50">
            <v>245845</v>
          </cell>
          <cell r="D50" t="str">
            <v>P</v>
          </cell>
          <cell r="F50">
            <v>702</v>
          </cell>
          <cell r="G50">
            <v>32670.21</v>
          </cell>
          <cell r="H50" t="str">
            <v>95 Gallon Yardwaste Totes</v>
          </cell>
          <cell r="I50" t="str">
            <v>New</v>
          </cell>
          <cell r="K50" t="str">
            <v>Resi Yardwaste</v>
          </cell>
        </row>
        <row r="51">
          <cell r="C51">
            <v>258549</v>
          </cell>
          <cell r="D51" t="str">
            <v>P</v>
          </cell>
          <cell r="E51">
            <v>3719</v>
          </cell>
          <cell r="G51">
            <v>390365.12</v>
          </cell>
          <cell r="H51" t="str">
            <v>2022 Peterbilt ASL Truck</v>
          </cell>
          <cell r="I51" t="str">
            <v>New</v>
          </cell>
          <cell r="J51" t="str">
            <v>ASL</v>
          </cell>
          <cell r="K51" t="str">
            <v>Resi Recycle</v>
          </cell>
        </row>
        <row r="52">
          <cell r="C52">
            <v>247407</v>
          </cell>
          <cell r="D52">
            <v>219338</v>
          </cell>
          <cell r="E52">
            <v>6062</v>
          </cell>
          <cell r="G52">
            <v>-300</v>
          </cell>
          <cell r="H52" t="str">
            <v>Tommie Vaugh Rebate</v>
          </cell>
          <cell r="I52" t="str">
            <v>New</v>
          </cell>
          <cell r="J52" t="str">
            <v>Supervisor Pickup</v>
          </cell>
        </row>
        <row r="53">
          <cell r="C53">
            <v>254227</v>
          </cell>
          <cell r="D53" t="str">
            <v>P</v>
          </cell>
          <cell r="F53">
            <v>4</v>
          </cell>
          <cell r="G53">
            <v>2813.2</v>
          </cell>
          <cell r="H53" t="str">
            <v>2Yd Metal REL Container</v>
          </cell>
          <cell r="I53" t="str">
            <v>New</v>
          </cell>
          <cell r="K53" t="str">
            <v>Commercial MSW &amp; Recycle</v>
          </cell>
        </row>
        <row r="54">
          <cell r="C54">
            <v>253162</v>
          </cell>
          <cell r="D54" t="str">
            <v>P</v>
          </cell>
          <cell r="F54">
            <v>10</v>
          </cell>
          <cell r="G54">
            <v>63500</v>
          </cell>
          <cell r="H54" t="str">
            <v>30yd Metal RO Boxes</v>
          </cell>
          <cell r="I54" t="str">
            <v>New</v>
          </cell>
          <cell r="K54" t="str">
            <v>RO</v>
          </cell>
        </row>
        <row r="55">
          <cell r="C55">
            <v>253163</v>
          </cell>
          <cell r="D55" t="str">
            <v>P</v>
          </cell>
          <cell r="F55">
            <v>5</v>
          </cell>
          <cell r="G55">
            <v>3516.5</v>
          </cell>
          <cell r="H55" t="str">
            <v>2Yd Metal REL Containers</v>
          </cell>
          <cell r="I55" t="str">
            <v>New</v>
          </cell>
          <cell r="K55" t="str">
            <v>Commercial MSW &amp; Recycle</v>
          </cell>
        </row>
        <row r="56">
          <cell r="C56">
            <v>253164</v>
          </cell>
          <cell r="D56" t="str">
            <v>P</v>
          </cell>
          <cell r="F56">
            <v>10</v>
          </cell>
          <cell r="G56">
            <v>7033</v>
          </cell>
          <cell r="H56" t="str">
            <v>2Yd Metal REL Containers</v>
          </cell>
          <cell r="I56" t="str">
            <v>New</v>
          </cell>
          <cell r="K56" t="str">
            <v>Commercial MSW &amp; Recycle</v>
          </cell>
        </row>
        <row r="57">
          <cell r="C57">
            <v>253165</v>
          </cell>
          <cell r="D57" t="str">
            <v>P</v>
          </cell>
          <cell r="F57">
            <v>10</v>
          </cell>
          <cell r="G57">
            <v>7033</v>
          </cell>
          <cell r="H57" t="str">
            <v>2yd Metal REL Containers</v>
          </cell>
          <cell r="I57" t="str">
            <v>New</v>
          </cell>
          <cell r="K57" t="str">
            <v>Commercial MSW &amp; Recycle</v>
          </cell>
        </row>
        <row r="58">
          <cell r="C58">
            <v>253166</v>
          </cell>
          <cell r="D58" t="str">
            <v>P</v>
          </cell>
          <cell r="F58">
            <v>6</v>
          </cell>
          <cell r="G58">
            <v>8147.46</v>
          </cell>
          <cell r="H58" t="str">
            <v>6yd Metal FEL Containers</v>
          </cell>
          <cell r="I58" t="str">
            <v>New</v>
          </cell>
          <cell r="K58" t="str">
            <v>Commercial MSW &amp; Recycle</v>
          </cell>
        </row>
        <row r="59">
          <cell r="C59">
            <v>254228</v>
          </cell>
          <cell r="D59" t="str">
            <v>P</v>
          </cell>
          <cell r="F59">
            <v>6</v>
          </cell>
          <cell r="G59">
            <v>4219.8</v>
          </cell>
          <cell r="H59" t="str">
            <v>2Yd Metal REL Container</v>
          </cell>
          <cell r="I59" t="str">
            <v>New</v>
          </cell>
          <cell r="K59" t="str">
            <v>Commercial MSW &amp; Recycle</v>
          </cell>
        </row>
        <row r="60">
          <cell r="C60">
            <v>254229</v>
          </cell>
          <cell r="D60" t="str">
            <v>P</v>
          </cell>
          <cell r="F60">
            <v>5</v>
          </cell>
          <cell r="G60">
            <v>3516.5</v>
          </cell>
          <cell r="H60" t="str">
            <v>2Yd Metal REL Container</v>
          </cell>
          <cell r="I60" t="str">
            <v>New</v>
          </cell>
          <cell r="K60" t="str">
            <v>Commercial MSW &amp; Recycle</v>
          </cell>
        </row>
        <row r="61">
          <cell r="C61">
            <v>254230</v>
          </cell>
          <cell r="D61" t="str">
            <v>P</v>
          </cell>
          <cell r="F61">
            <v>4</v>
          </cell>
          <cell r="G61">
            <v>5431.64</v>
          </cell>
          <cell r="H61" t="str">
            <v>6 Yd Metal FEL Containers</v>
          </cell>
          <cell r="I61" t="str">
            <v>New</v>
          </cell>
          <cell r="K61" t="str">
            <v>Commercial MSW &amp; Recycle</v>
          </cell>
        </row>
        <row r="62">
          <cell r="C62">
            <v>254231</v>
          </cell>
          <cell r="D62" t="str">
            <v>P</v>
          </cell>
          <cell r="F62">
            <v>6</v>
          </cell>
          <cell r="G62">
            <v>8147.46</v>
          </cell>
          <cell r="H62" t="str">
            <v>6 Yd Metal FEL Containers</v>
          </cell>
          <cell r="I62" t="str">
            <v>New</v>
          </cell>
          <cell r="K62" t="str">
            <v>Commercial MSW &amp; Recycle</v>
          </cell>
        </row>
        <row r="63">
          <cell r="C63">
            <v>255162</v>
          </cell>
          <cell r="D63" t="str">
            <v>P</v>
          </cell>
          <cell r="F63">
            <v>5</v>
          </cell>
          <cell r="G63">
            <v>6789.55</v>
          </cell>
          <cell r="H63" t="str">
            <v>6 Yd Metal FEL Containers</v>
          </cell>
          <cell r="I63" t="str">
            <v>New</v>
          </cell>
          <cell r="K63" t="str">
            <v>Commercial MSW &amp; Recycle</v>
          </cell>
        </row>
        <row r="64">
          <cell r="C64">
            <v>255163</v>
          </cell>
          <cell r="D64" t="str">
            <v>P</v>
          </cell>
          <cell r="F64">
            <v>3</v>
          </cell>
          <cell r="G64">
            <v>4073.73</v>
          </cell>
          <cell r="H64" t="str">
            <v>6 Yd Metal FEL Containers</v>
          </cell>
          <cell r="I64" t="str">
            <v>New</v>
          </cell>
          <cell r="K64" t="str">
            <v>Commercial MSW &amp; Recycle</v>
          </cell>
        </row>
        <row r="65">
          <cell r="C65">
            <v>253863</v>
          </cell>
          <cell r="D65" t="str">
            <v>P</v>
          </cell>
          <cell r="F65">
            <v>702</v>
          </cell>
          <cell r="G65">
            <v>41213.94</v>
          </cell>
          <cell r="H65" t="str">
            <v>95gal Recycle Totes</v>
          </cell>
          <cell r="I65" t="str">
            <v>New</v>
          </cell>
          <cell r="K65" t="str">
            <v>Resi Recycle</v>
          </cell>
        </row>
        <row r="66">
          <cell r="C66">
            <v>253861</v>
          </cell>
          <cell r="D66" t="str">
            <v>P</v>
          </cell>
          <cell r="F66">
            <v>468</v>
          </cell>
          <cell r="G66">
            <v>23936.400000000001</v>
          </cell>
          <cell r="H66" t="str">
            <v>65gal Garbage Totes</v>
          </cell>
          <cell r="I66" t="str">
            <v>New</v>
          </cell>
          <cell r="K66" t="str">
            <v>Resi MSW</v>
          </cell>
        </row>
        <row r="67">
          <cell r="C67">
            <v>253862</v>
          </cell>
          <cell r="D67" t="str">
            <v>P</v>
          </cell>
          <cell r="F67">
            <v>351</v>
          </cell>
          <cell r="G67">
            <v>19923.36</v>
          </cell>
          <cell r="H67" t="str">
            <v>95gal Garbage Totes</v>
          </cell>
          <cell r="I67" t="str">
            <v>New</v>
          </cell>
          <cell r="K67" t="str">
            <v>Resi MSW</v>
          </cell>
        </row>
        <row r="68">
          <cell r="C68">
            <v>250272</v>
          </cell>
          <cell r="D68" t="str">
            <v>P</v>
          </cell>
          <cell r="F68">
            <v>702</v>
          </cell>
          <cell r="G68">
            <v>36924.86</v>
          </cell>
          <cell r="H68" t="str">
            <v>95 Gallon Refuse Totes</v>
          </cell>
          <cell r="I68" t="str">
            <v>New</v>
          </cell>
          <cell r="K68" t="str">
            <v>Resi MSW</v>
          </cell>
        </row>
        <row r="69">
          <cell r="C69">
            <v>250273</v>
          </cell>
          <cell r="D69" t="str">
            <v>P</v>
          </cell>
          <cell r="F69">
            <v>702</v>
          </cell>
          <cell r="G69">
            <v>36924.870000000003</v>
          </cell>
          <cell r="H69" t="str">
            <v>95 Gallon Yardwaste Totes</v>
          </cell>
          <cell r="I69" t="str">
            <v>New</v>
          </cell>
          <cell r="K69" t="str">
            <v>Resi Yardwaste</v>
          </cell>
        </row>
        <row r="70">
          <cell r="C70">
            <v>252620</v>
          </cell>
          <cell r="D70" t="str">
            <v>P</v>
          </cell>
          <cell r="F70">
            <v>936</v>
          </cell>
          <cell r="G70">
            <v>50349.29</v>
          </cell>
          <cell r="H70" t="str">
            <v>65 Gallon Refuse Totes</v>
          </cell>
          <cell r="I70" t="str">
            <v>New</v>
          </cell>
          <cell r="K70" t="str">
            <v>Resi MSW</v>
          </cell>
        </row>
        <row r="71">
          <cell r="C71">
            <v>253161</v>
          </cell>
          <cell r="D71" t="str">
            <v>P</v>
          </cell>
          <cell r="F71">
            <v>702</v>
          </cell>
          <cell r="G71">
            <v>42116.46</v>
          </cell>
          <cell r="H71" t="str">
            <v>95 Gallon Recycle Totes</v>
          </cell>
          <cell r="I71" t="str">
            <v>New</v>
          </cell>
          <cell r="K71" t="str">
            <v>Resi Recycle</v>
          </cell>
        </row>
        <row r="72">
          <cell r="C72">
            <v>254290</v>
          </cell>
          <cell r="D72" t="str">
            <v>P</v>
          </cell>
          <cell r="F72">
            <v>24</v>
          </cell>
          <cell r="G72">
            <v>16016.16</v>
          </cell>
          <cell r="H72" t="str">
            <v>1 Yd Metal REL Containers</v>
          </cell>
          <cell r="I72" t="str">
            <v>New</v>
          </cell>
          <cell r="K72" t="str">
            <v>Commercial MSW &amp; Recycle</v>
          </cell>
        </row>
        <row r="73">
          <cell r="C73">
            <v>255161</v>
          </cell>
          <cell r="D73" t="str">
            <v>P</v>
          </cell>
          <cell r="F73">
            <v>15</v>
          </cell>
          <cell r="G73">
            <v>85650</v>
          </cell>
          <cell r="H73" t="str">
            <v>20yd Metal RO Boxes</v>
          </cell>
          <cell r="I73" t="str">
            <v>New</v>
          </cell>
          <cell r="K73" t="str">
            <v>RO</v>
          </cell>
        </row>
        <row r="74">
          <cell r="C74">
            <v>253112</v>
          </cell>
          <cell r="D74" t="str">
            <v>P</v>
          </cell>
          <cell r="E74">
            <v>2063</v>
          </cell>
          <cell r="G74">
            <v>183322.84</v>
          </cell>
          <cell r="H74" t="str">
            <v>2020 Peterbilt FEL Truck -Chassis</v>
          </cell>
          <cell r="I74" t="str">
            <v>New</v>
          </cell>
          <cell r="J74" t="str">
            <v>FEL</v>
          </cell>
          <cell r="K74" t="str">
            <v>Commercial</v>
          </cell>
        </row>
        <row r="75">
          <cell r="C75">
            <v>253111</v>
          </cell>
          <cell r="D75">
            <v>253112</v>
          </cell>
          <cell r="E75">
            <v>2063</v>
          </cell>
          <cell r="G75">
            <v>157373.95000000001</v>
          </cell>
          <cell r="H75" t="str">
            <v>2020 Peterbilt FEL Truck -Body</v>
          </cell>
          <cell r="I75" t="str">
            <v>New</v>
          </cell>
          <cell r="J75" t="str">
            <v>FEL</v>
          </cell>
          <cell r="K75" t="str">
            <v>Commercial</v>
          </cell>
        </row>
        <row r="76">
          <cell r="C76">
            <v>255150</v>
          </cell>
          <cell r="D76">
            <v>253112</v>
          </cell>
          <cell r="E76">
            <v>2063</v>
          </cell>
          <cell r="G76">
            <v>681.66</v>
          </cell>
          <cell r="H76" t="str">
            <v>Truck 2063 Radio</v>
          </cell>
          <cell r="I76" t="str">
            <v>New</v>
          </cell>
          <cell r="J76" t="str">
            <v>FEL</v>
          </cell>
          <cell r="K76" t="str">
            <v>Commercial</v>
          </cell>
        </row>
        <row r="77">
          <cell r="C77">
            <v>256277</v>
          </cell>
          <cell r="D77">
            <v>253112</v>
          </cell>
          <cell r="E77">
            <v>2063</v>
          </cell>
          <cell r="G77">
            <v>952.16</v>
          </cell>
          <cell r="H77" t="str">
            <v>Truck 2063 Decals</v>
          </cell>
          <cell r="I77" t="str">
            <v>New</v>
          </cell>
          <cell r="J77" t="str">
            <v>FEL</v>
          </cell>
          <cell r="K77" t="str">
            <v>Commercial</v>
          </cell>
        </row>
        <row r="78">
          <cell r="C78">
            <v>256278</v>
          </cell>
          <cell r="D78">
            <v>253112</v>
          </cell>
          <cell r="E78">
            <v>2063</v>
          </cell>
          <cell r="G78">
            <v>555.69000000000005</v>
          </cell>
          <cell r="H78" t="str">
            <v>Truck 2063 License</v>
          </cell>
          <cell r="I78" t="str">
            <v>New</v>
          </cell>
          <cell r="J78" t="str">
            <v>FEL</v>
          </cell>
          <cell r="K78" t="str">
            <v>Commercial</v>
          </cell>
        </row>
        <row r="79">
          <cell r="C79">
            <v>259345</v>
          </cell>
          <cell r="D79">
            <v>258548</v>
          </cell>
          <cell r="E79">
            <v>6065</v>
          </cell>
          <cell r="G79">
            <v>705.24</v>
          </cell>
          <cell r="H79" t="str">
            <v>Toolbox for truck #6065</v>
          </cell>
          <cell r="I79" t="str">
            <v>New</v>
          </cell>
          <cell r="J79" t="str">
            <v>Supervisor Pickup</v>
          </cell>
        </row>
        <row r="80">
          <cell r="C80">
            <v>259346</v>
          </cell>
          <cell r="D80">
            <v>258548</v>
          </cell>
          <cell r="E80">
            <v>6065</v>
          </cell>
          <cell r="G80">
            <v>2417.0100000000002</v>
          </cell>
          <cell r="H80" t="str">
            <v>License for truck 6065</v>
          </cell>
          <cell r="I80" t="str">
            <v>New</v>
          </cell>
          <cell r="J80" t="str">
            <v>Supervisor Pickup</v>
          </cell>
        </row>
        <row r="81">
          <cell r="C81">
            <v>258548</v>
          </cell>
          <cell r="D81" t="str">
            <v>P</v>
          </cell>
          <cell r="E81">
            <v>6065</v>
          </cell>
          <cell r="G81">
            <v>25411.4</v>
          </cell>
          <cell r="H81" t="str">
            <v>2021 Ford Pickup Truck</v>
          </cell>
          <cell r="I81" t="str">
            <v>New</v>
          </cell>
          <cell r="J81" t="str">
            <v>Supervisor Pickup</v>
          </cell>
        </row>
        <row r="82">
          <cell r="C82">
            <v>246980</v>
          </cell>
          <cell r="D82" t="str">
            <v>P</v>
          </cell>
          <cell r="F82">
            <v>702</v>
          </cell>
          <cell r="G82">
            <v>33896.949999999997</v>
          </cell>
          <cell r="H82" t="str">
            <v>95 Gallon Recycle Totes</v>
          </cell>
          <cell r="I82" t="str">
            <v>New</v>
          </cell>
          <cell r="K82" t="str">
            <v>Resi Recycle</v>
          </cell>
        </row>
        <row r="83">
          <cell r="C83">
            <v>254289</v>
          </cell>
          <cell r="D83" t="str">
            <v>P</v>
          </cell>
          <cell r="F83">
            <v>20</v>
          </cell>
          <cell r="G83">
            <v>13675</v>
          </cell>
          <cell r="H83" t="str">
            <v>1.5 Yd Metal REL Containers</v>
          </cell>
          <cell r="I83" t="str">
            <v>New</v>
          </cell>
          <cell r="K83" t="str">
            <v>Commercial MSW &amp; Recycle</v>
          </cell>
        </row>
        <row r="84">
          <cell r="C84">
            <v>254291</v>
          </cell>
          <cell r="D84" t="str">
            <v>P</v>
          </cell>
          <cell r="F84">
            <v>1</v>
          </cell>
          <cell r="G84">
            <v>667.34</v>
          </cell>
          <cell r="H84" t="str">
            <v>1 Yd Metal REL Containers</v>
          </cell>
          <cell r="I84" t="str">
            <v>New</v>
          </cell>
          <cell r="K84" t="str">
            <v>Commercial MSW &amp; Recycle</v>
          </cell>
        </row>
        <row r="85">
          <cell r="C85">
            <v>255882</v>
          </cell>
          <cell r="D85" t="str">
            <v>P</v>
          </cell>
          <cell r="F85">
            <v>10</v>
          </cell>
          <cell r="G85">
            <v>9683.9</v>
          </cell>
          <cell r="H85" t="str">
            <v>4 yd Metal FEL Commercial Containers</v>
          </cell>
          <cell r="I85" t="str">
            <v>New</v>
          </cell>
          <cell r="K85" t="str">
            <v>Commercial MSW &amp; Recycle</v>
          </cell>
        </row>
        <row r="86">
          <cell r="C86">
            <v>255883</v>
          </cell>
          <cell r="D86" t="str">
            <v>P</v>
          </cell>
          <cell r="F86">
            <v>10</v>
          </cell>
          <cell r="G86">
            <v>9683.9</v>
          </cell>
          <cell r="H86" t="str">
            <v>4 yd Metal FEL Commercial Containers</v>
          </cell>
          <cell r="I86" t="str">
            <v>New</v>
          </cell>
          <cell r="K86" t="str">
            <v>Commercial MSW &amp; Recycle</v>
          </cell>
        </row>
        <row r="87">
          <cell r="C87">
            <v>247912</v>
          </cell>
          <cell r="D87" t="str">
            <v>P</v>
          </cell>
          <cell r="F87">
            <v>936</v>
          </cell>
          <cell r="G87">
            <v>39294.17</v>
          </cell>
          <cell r="H87" t="str">
            <v>65 Gallon Garbage Carts</v>
          </cell>
          <cell r="I87" t="str">
            <v>New</v>
          </cell>
          <cell r="K87" t="str">
            <v>Resi MSW</v>
          </cell>
        </row>
        <row r="88">
          <cell r="C88">
            <v>255412</v>
          </cell>
          <cell r="D88" t="str">
            <v>P</v>
          </cell>
          <cell r="E88">
            <v>3716</v>
          </cell>
          <cell r="G88">
            <v>370212.96</v>
          </cell>
          <cell r="H88" t="str">
            <v>2021 Peterbilt ASL Truck</v>
          </cell>
          <cell r="I88" t="str">
            <v>New</v>
          </cell>
          <cell r="J88" t="str">
            <v>ASL</v>
          </cell>
          <cell r="K88" t="str">
            <v>Resi</v>
          </cell>
        </row>
        <row r="89">
          <cell r="C89">
            <v>256279</v>
          </cell>
          <cell r="D89">
            <v>255412</v>
          </cell>
          <cell r="E89">
            <v>3716</v>
          </cell>
          <cell r="G89">
            <v>984.62</v>
          </cell>
          <cell r="H89" t="str">
            <v>Truck 3716 Decals</v>
          </cell>
          <cell r="I89" t="str">
            <v>New</v>
          </cell>
          <cell r="J89" t="str">
            <v>ASL</v>
          </cell>
          <cell r="K89" t="str">
            <v>Resi</v>
          </cell>
        </row>
        <row r="90">
          <cell r="C90">
            <v>255413</v>
          </cell>
          <cell r="D90" t="str">
            <v>P</v>
          </cell>
          <cell r="E90">
            <v>5664</v>
          </cell>
          <cell r="G90">
            <v>180793.02</v>
          </cell>
          <cell r="H90" t="str">
            <v>2022 Peterbilt Transfer Tractor</v>
          </cell>
          <cell r="I90" t="str">
            <v>New</v>
          </cell>
          <cell r="K90" t="str">
            <v>Long Haul</v>
          </cell>
        </row>
        <row r="91">
          <cell r="C91">
            <v>254292</v>
          </cell>
          <cell r="D91" t="str">
            <v>P</v>
          </cell>
          <cell r="F91">
            <v>25</v>
          </cell>
          <cell r="G91">
            <v>17777.5</v>
          </cell>
          <cell r="H91" t="str">
            <v>2YD Metal REL Container</v>
          </cell>
          <cell r="I91" t="str">
            <v>New</v>
          </cell>
          <cell r="K91" t="str">
            <v>Commercial MSW &amp; Recycle</v>
          </cell>
        </row>
        <row r="92">
          <cell r="C92">
            <v>251868</v>
          </cell>
          <cell r="D92" t="str">
            <v>P</v>
          </cell>
          <cell r="F92">
            <v>25</v>
          </cell>
          <cell r="G92">
            <v>14269.44</v>
          </cell>
          <cell r="H92" t="str">
            <v>1Yd FEL Metal Container</v>
          </cell>
          <cell r="I92" t="str">
            <v>New</v>
          </cell>
          <cell r="K92" t="str">
            <v>Commercial MSW &amp; Recycle</v>
          </cell>
        </row>
        <row r="93">
          <cell r="C93">
            <v>259508</v>
          </cell>
          <cell r="D93">
            <v>255412</v>
          </cell>
          <cell r="E93">
            <v>3716</v>
          </cell>
          <cell r="G93">
            <v>368.61</v>
          </cell>
          <cell r="H93" t="str">
            <v>License for truck # 3716</v>
          </cell>
          <cell r="I93" t="str">
            <v>New</v>
          </cell>
          <cell r="J93" t="str">
            <v>ASL</v>
          </cell>
          <cell r="K93" t="str">
            <v>Resi</v>
          </cell>
        </row>
        <row r="94">
          <cell r="C94">
            <v>259509</v>
          </cell>
          <cell r="D94">
            <v>255413</v>
          </cell>
          <cell r="E94">
            <v>5664</v>
          </cell>
          <cell r="G94">
            <v>1355.95</v>
          </cell>
          <cell r="H94" t="str">
            <v>License for truck #5664</v>
          </cell>
          <cell r="I94" t="str">
            <v>New</v>
          </cell>
          <cell r="K94" t="str">
            <v>Long Haul</v>
          </cell>
        </row>
        <row r="95">
          <cell r="C95">
            <v>251869</v>
          </cell>
          <cell r="D95" t="str">
            <v>P</v>
          </cell>
          <cell r="F95">
            <v>15</v>
          </cell>
          <cell r="G95">
            <v>10125.790000000001</v>
          </cell>
          <cell r="H95" t="str">
            <v>2Yd FEL Metal Container</v>
          </cell>
          <cell r="I95" t="str">
            <v>New</v>
          </cell>
          <cell r="K95" t="str">
            <v>Commercial MSW &amp; Recycle</v>
          </cell>
        </row>
        <row r="96">
          <cell r="C96">
            <v>251870</v>
          </cell>
          <cell r="D96" t="str">
            <v>P</v>
          </cell>
          <cell r="F96">
            <v>3</v>
          </cell>
          <cell r="G96">
            <v>2350.33</v>
          </cell>
          <cell r="H96" t="str">
            <v>3Yd FEL Metal Container</v>
          </cell>
          <cell r="I96" t="str">
            <v>New</v>
          </cell>
          <cell r="K96" t="str">
            <v>Commercial MSW &amp; Recycle</v>
          </cell>
        </row>
        <row r="97">
          <cell r="C97">
            <v>255160</v>
          </cell>
          <cell r="D97" t="str">
            <v>P</v>
          </cell>
          <cell r="F97">
            <v>702</v>
          </cell>
          <cell r="G97">
            <v>40388.49</v>
          </cell>
          <cell r="H97" t="str">
            <v>95 Gallon Plastic YardwasteTotes</v>
          </cell>
          <cell r="I97" t="str">
            <v>New</v>
          </cell>
          <cell r="K97" t="str">
            <v>Resi Yardwaste</v>
          </cell>
        </row>
        <row r="98">
          <cell r="C98">
            <v>251871</v>
          </cell>
          <cell r="D98" t="str">
            <v>P</v>
          </cell>
          <cell r="F98">
            <v>3</v>
          </cell>
          <cell r="G98">
            <v>2611.7199999999998</v>
          </cell>
          <cell r="H98" t="str">
            <v>4Yd FEL Metal Container</v>
          </cell>
          <cell r="I98" t="str">
            <v>New</v>
          </cell>
          <cell r="K98" t="str">
            <v>Commercial MSW &amp; Recycle</v>
          </cell>
        </row>
        <row r="99">
          <cell r="C99">
            <v>253028</v>
          </cell>
          <cell r="D99" t="str">
            <v>P</v>
          </cell>
          <cell r="F99">
            <v>1</v>
          </cell>
          <cell r="G99">
            <v>1079.8599999999999</v>
          </cell>
          <cell r="H99" t="str">
            <v>HP Probook 430G8 Serial # 5CD115JV41</v>
          </cell>
          <cell r="I99" t="str">
            <v>New</v>
          </cell>
          <cell r="K99" t="str">
            <v>SM Laptop</v>
          </cell>
        </row>
        <row r="100">
          <cell r="C100">
            <v>253140</v>
          </cell>
          <cell r="D100">
            <v>253028</v>
          </cell>
          <cell r="F100">
            <v>1</v>
          </cell>
          <cell r="G100">
            <v>207.66</v>
          </cell>
          <cell r="H100" t="str">
            <v>Docking Station</v>
          </cell>
          <cell r="I100" t="str">
            <v>New</v>
          </cell>
          <cell r="K100" t="str">
            <v>SM Laptop</v>
          </cell>
        </row>
        <row r="101">
          <cell r="C101">
            <v>255686</v>
          </cell>
          <cell r="D101" t="str">
            <v>P</v>
          </cell>
          <cell r="F101">
            <v>2</v>
          </cell>
          <cell r="G101">
            <v>1078.0999999999999</v>
          </cell>
          <cell r="H101" t="str">
            <v>Drive Cams</v>
          </cell>
          <cell r="I101" t="str">
            <v>New</v>
          </cell>
        </row>
        <row r="102">
          <cell r="C102">
            <v>255879</v>
          </cell>
          <cell r="D102" t="str">
            <v>P</v>
          </cell>
          <cell r="F102">
            <v>5</v>
          </cell>
          <cell r="G102">
            <v>3918.95</v>
          </cell>
          <cell r="H102" t="str">
            <v>1 yd REL Metal Containers</v>
          </cell>
          <cell r="I102" t="str">
            <v>New</v>
          </cell>
          <cell r="K102" t="str">
            <v>Commercial MSW &amp; Recycle</v>
          </cell>
        </row>
        <row r="103">
          <cell r="C103">
            <v>255880</v>
          </cell>
          <cell r="D103" t="str">
            <v>P</v>
          </cell>
          <cell r="F103">
            <v>5</v>
          </cell>
          <cell r="G103">
            <v>4087.74</v>
          </cell>
          <cell r="H103" t="str">
            <v>1.5 yd REL Metal Containers</v>
          </cell>
          <cell r="I103" t="str">
            <v>New</v>
          </cell>
          <cell r="K103" t="str">
            <v>Commercial MSW &amp; Recycle</v>
          </cell>
        </row>
        <row r="104">
          <cell r="C104">
            <v>258987</v>
          </cell>
          <cell r="D104" t="str">
            <v>P</v>
          </cell>
          <cell r="F104">
            <v>6</v>
          </cell>
          <cell r="G104">
            <v>4706.7</v>
          </cell>
          <cell r="H104" t="str">
            <v>2Yd Metal FEL Commercial Container</v>
          </cell>
          <cell r="I104" t="str">
            <v>New</v>
          </cell>
          <cell r="K104" t="str">
            <v>Commercial MSW &amp; Recycle</v>
          </cell>
        </row>
        <row r="105">
          <cell r="C105">
            <v>260020</v>
          </cell>
          <cell r="D105" t="str">
            <v>P</v>
          </cell>
          <cell r="F105">
            <v>14</v>
          </cell>
          <cell r="G105">
            <v>10982.3</v>
          </cell>
          <cell r="H105" t="str">
            <v>2Yd Metal FEL Commercial Container</v>
          </cell>
          <cell r="I105" t="str">
            <v>New</v>
          </cell>
          <cell r="K105" t="str">
            <v>Commercial MSW &amp; Recycle</v>
          </cell>
        </row>
        <row r="106">
          <cell r="C106">
            <v>255881</v>
          </cell>
          <cell r="D106" t="str">
            <v>P</v>
          </cell>
          <cell r="F106">
            <v>5</v>
          </cell>
          <cell r="G106">
            <v>4610.47</v>
          </cell>
          <cell r="H106" t="str">
            <v>2 yd REL Metal Containers</v>
          </cell>
          <cell r="I106" t="str">
            <v>New</v>
          </cell>
          <cell r="K106" t="str">
            <v>Commercial MSW &amp; Recycle</v>
          </cell>
        </row>
        <row r="107">
          <cell r="C107">
            <v>259132</v>
          </cell>
          <cell r="D107" t="str">
            <v>P</v>
          </cell>
          <cell r="F107">
            <v>351</v>
          </cell>
          <cell r="G107">
            <v>22261.599999999999</v>
          </cell>
          <cell r="H107" t="str">
            <v>95gal MSW Totes</v>
          </cell>
          <cell r="I107" t="str">
            <v>New</v>
          </cell>
          <cell r="K107" t="str">
            <v>Resi MSW</v>
          </cell>
        </row>
        <row r="108">
          <cell r="C108">
            <v>259133</v>
          </cell>
          <cell r="D108" t="str">
            <v>P</v>
          </cell>
          <cell r="F108">
            <v>351</v>
          </cell>
          <cell r="G108">
            <v>22949.63</v>
          </cell>
          <cell r="H108" t="str">
            <v>95gal Recycle Totes</v>
          </cell>
          <cell r="I108" t="str">
            <v>New</v>
          </cell>
          <cell r="K108" t="str">
            <v>Resi MSW</v>
          </cell>
        </row>
        <row r="109">
          <cell r="C109">
            <v>255878</v>
          </cell>
          <cell r="D109" t="str">
            <v>P</v>
          </cell>
          <cell r="F109">
            <v>702</v>
          </cell>
          <cell r="G109">
            <v>40388.49</v>
          </cell>
          <cell r="H109" t="str">
            <v>95 Gallon Plastic Refuse Totes</v>
          </cell>
          <cell r="I109" t="str">
            <v>New</v>
          </cell>
          <cell r="K109" t="str">
            <v>Resi MSW</v>
          </cell>
        </row>
        <row r="110">
          <cell r="C110">
            <v>260013</v>
          </cell>
          <cell r="D110" t="str">
            <v>P</v>
          </cell>
          <cell r="F110">
            <v>15</v>
          </cell>
          <cell r="G110">
            <v>9893.7199999999993</v>
          </cell>
          <cell r="H110" t="str">
            <v>1.5Yd Metal FEL Commercial Containers</v>
          </cell>
          <cell r="I110" t="str">
            <v>New</v>
          </cell>
          <cell r="K110" t="str">
            <v>Commercial MSW &amp; Recycle</v>
          </cell>
        </row>
        <row r="111">
          <cell r="C111">
            <v>260014</v>
          </cell>
          <cell r="D111" t="str">
            <v>P</v>
          </cell>
          <cell r="F111">
            <v>10</v>
          </cell>
          <cell r="G111">
            <v>6902.15</v>
          </cell>
          <cell r="H111" t="str">
            <v>2Yd Metal FEL Commercial Containers</v>
          </cell>
          <cell r="I111" t="str">
            <v>New</v>
          </cell>
          <cell r="K111" t="str">
            <v>Commercial MSW &amp; Recycle</v>
          </cell>
        </row>
        <row r="112">
          <cell r="C112">
            <v>260015</v>
          </cell>
          <cell r="D112" t="str">
            <v>P</v>
          </cell>
          <cell r="F112">
            <v>10</v>
          </cell>
          <cell r="G112">
            <v>7328.81</v>
          </cell>
          <cell r="H112" t="str">
            <v>3Yd Metal FEL Commercial Containers</v>
          </cell>
          <cell r="I112" t="str">
            <v>New</v>
          </cell>
          <cell r="K112" t="str">
            <v>Commercial MSW &amp; Recycle</v>
          </cell>
        </row>
        <row r="113">
          <cell r="C113">
            <v>260016</v>
          </cell>
          <cell r="D113" t="str">
            <v>P</v>
          </cell>
          <cell r="F113">
            <v>7</v>
          </cell>
          <cell r="G113">
            <v>7795.15</v>
          </cell>
          <cell r="H113" t="str">
            <v>5Yd Metal FEL Commercial Containers</v>
          </cell>
          <cell r="I113" t="str">
            <v>New</v>
          </cell>
          <cell r="K113" t="str">
            <v>Commercial MSW &amp; Recycle</v>
          </cell>
        </row>
        <row r="114">
          <cell r="C114">
            <v>258995</v>
          </cell>
          <cell r="D114" t="str">
            <v>P</v>
          </cell>
          <cell r="F114">
            <v>8</v>
          </cell>
          <cell r="G114">
            <v>7054.64</v>
          </cell>
          <cell r="H114" t="str">
            <v>3Yd Metal FEL Commercial Containers</v>
          </cell>
          <cell r="I114" t="str">
            <v>New</v>
          </cell>
          <cell r="K114" t="str">
            <v>Commercial MSW &amp; Recycle</v>
          </cell>
        </row>
        <row r="115">
          <cell r="C115">
            <v>258996</v>
          </cell>
          <cell r="D115" t="str">
            <v>P</v>
          </cell>
          <cell r="F115">
            <v>12</v>
          </cell>
          <cell r="G115">
            <v>10581.96</v>
          </cell>
          <cell r="H115" t="str">
            <v>3Yd Metal FEL Commercial Containers</v>
          </cell>
          <cell r="I115" t="str">
            <v>New</v>
          </cell>
          <cell r="K115" t="str">
            <v>Commercial MSW &amp; Recycle</v>
          </cell>
        </row>
        <row r="116">
          <cell r="C116">
            <v>260018</v>
          </cell>
          <cell r="D116" t="str">
            <v>P</v>
          </cell>
          <cell r="F116">
            <v>2</v>
          </cell>
          <cell r="G116">
            <v>2249.0700000000002</v>
          </cell>
          <cell r="H116" t="str">
            <v>6Yd Metal FEL Commercial Containers</v>
          </cell>
          <cell r="I116" t="str">
            <v>New</v>
          </cell>
          <cell r="K116" t="str">
            <v>Commercial MSW &amp; Recycle</v>
          </cell>
        </row>
        <row r="117">
          <cell r="C117">
            <v>260017</v>
          </cell>
          <cell r="D117" t="str">
            <v>P</v>
          </cell>
          <cell r="F117">
            <v>13</v>
          </cell>
          <cell r="G117">
            <v>14938.59</v>
          </cell>
          <cell r="H117" t="str">
            <v>5Yd Metal FEL Commercial Containers</v>
          </cell>
          <cell r="I117" t="str">
            <v>New</v>
          </cell>
          <cell r="K117" t="str">
            <v>Commercial MSW &amp; Recycle</v>
          </cell>
        </row>
        <row r="118">
          <cell r="C118">
            <v>260019</v>
          </cell>
          <cell r="D118" t="str">
            <v>P</v>
          </cell>
          <cell r="F118">
            <v>13</v>
          </cell>
          <cell r="G118">
            <v>15080.79</v>
          </cell>
          <cell r="H118" t="str">
            <v>6Yd Metal FEL Commercial Containers</v>
          </cell>
          <cell r="I118" t="str">
            <v>New</v>
          </cell>
          <cell r="K118" t="str">
            <v>Commercial MSW &amp; Recycle</v>
          </cell>
        </row>
        <row r="119">
          <cell r="C119">
            <v>263292</v>
          </cell>
          <cell r="D119" t="str">
            <v>P</v>
          </cell>
          <cell r="F119">
            <v>2</v>
          </cell>
          <cell r="G119">
            <v>16820</v>
          </cell>
          <cell r="H119" t="str">
            <v>40YD Metal RO Containers</v>
          </cell>
          <cell r="I119" t="str">
            <v>New</v>
          </cell>
          <cell r="K119" t="str">
            <v>RO</v>
          </cell>
        </row>
        <row r="120">
          <cell r="C120">
            <v>261239</v>
          </cell>
          <cell r="D120" t="str">
            <v>P</v>
          </cell>
          <cell r="F120">
            <v>2</v>
          </cell>
          <cell r="G120">
            <v>18440</v>
          </cell>
          <cell r="H120" t="str">
            <v>20Yd Lidded RO Boxes</v>
          </cell>
          <cell r="I120" t="str">
            <v>New</v>
          </cell>
          <cell r="K120" t="str">
            <v>RO</v>
          </cell>
        </row>
        <row r="121">
          <cell r="C121">
            <v>261240</v>
          </cell>
          <cell r="D121" t="str">
            <v>P</v>
          </cell>
          <cell r="F121">
            <v>1</v>
          </cell>
          <cell r="G121">
            <v>9716</v>
          </cell>
          <cell r="H121" t="str">
            <v>20YD Lidded RO Boxes</v>
          </cell>
          <cell r="I121" t="str">
            <v>New</v>
          </cell>
          <cell r="K121" t="str">
            <v>RO</v>
          </cell>
        </row>
        <row r="122">
          <cell r="C122">
            <v>261238</v>
          </cell>
          <cell r="D122" t="str">
            <v>P</v>
          </cell>
          <cell r="F122">
            <v>5</v>
          </cell>
          <cell r="G122">
            <v>6719.13</v>
          </cell>
          <cell r="H122" t="str">
            <v>8 Yd FEL Container</v>
          </cell>
          <cell r="I122" t="str">
            <v>New</v>
          </cell>
          <cell r="K122" t="str">
            <v>Commercial MSW &amp; Recycle</v>
          </cell>
        </row>
        <row r="123">
          <cell r="C123">
            <v>257730</v>
          </cell>
          <cell r="D123" t="str">
            <v>P</v>
          </cell>
          <cell r="G123">
            <v>2795091.88</v>
          </cell>
          <cell r="H123" t="str">
            <v>New Office Building</v>
          </cell>
          <cell r="I123" t="str">
            <v>New</v>
          </cell>
        </row>
        <row r="124">
          <cell r="C124">
            <v>259140</v>
          </cell>
          <cell r="D124">
            <v>257730</v>
          </cell>
          <cell r="G124">
            <v>2893.75</v>
          </cell>
          <cell r="H124" t="str">
            <v>New Office Building</v>
          </cell>
          <cell r="I124" t="str">
            <v>New</v>
          </cell>
        </row>
        <row r="125">
          <cell r="C125">
            <v>259256</v>
          </cell>
          <cell r="D125">
            <v>257730</v>
          </cell>
          <cell r="G125">
            <v>975.05</v>
          </cell>
          <cell r="H125" t="str">
            <v>New Office Building</v>
          </cell>
          <cell r="I125" t="str">
            <v>New</v>
          </cell>
        </row>
        <row r="126">
          <cell r="C126">
            <v>260210</v>
          </cell>
          <cell r="D126">
            <v>257730</v>
          </cell>
          <cell r="G126">
            <v>2394.5</v>
          </cell>
          <cell r="H126" t="str">
            <v>New Office Building</v>
          </cell>
          <cell r="I126" t="str">
            <v>New</v>
          </cell>
        </row>
        <row r="127">
          <cell r="C127">
            <v>260344</v>
          </cell>
          <cell r="D127">
            <v>257730</v>
          </cell>
          <cell r="G127">
            <v>237461.87</v>
          </cell>
          <cell r="H127" t="str">
            <v>New Office Building</v>
          </cell>
          <cell r="I127" t="str">
            <v>New</v>
          </cell>
        </row>
        <row r="128">
          <cell r="C128">
            <v>260754</v>
          </cell>
          <cell r="D128">
            <v>257730</v>
          </cell>
          <cell r="G128">
            <v>520</v>
          </cell>
          <cell r="H128" t="str">
            <v>New Office Building</v>
          </cell>
          <cell r="I128" t="str">
            <v>New</v>
          </cell>
        </row>
        <row r="129">
          <cell r="C129">
            <v>257731</v>
          </cell>
          <cell r="D129" t="str">
            <v>P</v>
          </cell>
          <cell r="G129">
            <v>612645.63</v>
          </cell>
          <cell r="H129" t="str">
            <v>New Office Building</v>
          </cell>
          <cell r="I129" t="str">
            <v>New</v>
          </cell>
        </row>
        <row r="130">
          <cell r="C130">
            <v>257732</v>
          </cell>
          <cell r="D130" t="str">
            <v>P</v>
          </cell>
          <cell r="G130">
            <v>43504.53</v>
          </cell>
          <cell r="H130" t="str">
            <v>New Office Permitting</v>
          </cell>
          <cell r="I130" t="str">
            <v>New</v>
          </cell>
        </row>
        <row r="131">
          <cell r="C131">
            <v>257733</v>
          </cell>
          <cell r="D131" t="str">
            <v>P</v>
          </cell>
          <cell r="G131">
            <v>20782.810000000001</v>
          </cell>
          <cell r="H131" t="str">
            <v>New Office Building</v>
          </cell>
          <cell r="I131" t="str">
            <v>New</v>
          </cell>
        </row>
        <row r="132">
          <cell r="C132">
            <v>257734</v>
          </cell>
          <cell r="D132" t="str">
            <v>P</v>
          </cell>
          <cell r="G132">
            <v>72541.67</v>
          </cell>
          <cell r="H132" t="str">
            <v>New Pacific Office Building</v>
          </cell>
          <cell r="I132" t="str">
            <v>New</v>
          </cell>
        </row>
        <row r="133">
          <cell r="C133">
            <v>257735</v>
          </cell>
          <cell r="D133" t="str">
            <v>P</v>
          </cell>
          <cell r="G133">
            <v>82386.27</v>
          </cell>
          <cell r="H133" t="str">
            <v>New Pacific Office building</v>
          </cell>
          <cell r="I133" t="str">
            <v>New</v>
          </cell>
        </row>
        <row r="134">
          <cell r="C134">
            <v>261236</v>
          </cell>
          <cell r="D134" t="str">
            <v>P</v>
          </cell>
          <cell r="F134">
            <v>10</v>
          </cell>
          <cell r="G134">
            <v>8115.23</v>
          </cell>
          <cell r="H134" t="str">
            <v>3 Yd FEL Container</v>
          </cell>
          <cell r="I134" t="str">
            <v>New</v>
          </cell>
          <cell r="K134" t="str">
            <v>Commercial MSW &amp; Recycle</v>
          </cell>
        </row>
        <row r="135">
          <cell r="C135">
            <v>261237</v>
          </cell>
          <cell r="D135" t="str">
            <v>P</v>
          </cell>
          <cell r="F135">
            <v>5</v>
          </cell>
          <cell r="G135">
            <v>4536.7700000000004</v>
          </cell>
          <cell r="H135" t="str">
            <v>4Yd FEL Container</v>
          </cell>
          <cell r="I135" t="str">
            <v>New</v>
          </cell>
          <cell r="K135" t="str">
            <v>Commercial MSW &amp; Recycle</v>
          </cell>
        </row>
        <row r="136">
          <cell r="C136">
            <v>261230</v>
          </cell>
          <cell r="D136" t="str">
            <v>P</v>
          </cell>
          <cell r="F136">
            <v>936</v>
          </cell>
          <cell r="G136">
            <v>47461.66</v>
          </cell>
          <cell r="H136" t="str">
            <v>65 Gallon Plastic Refuse Totes</v>
          </cell>
          <cell r="I136" t="str">
            <v>New</v>
          </cell>
          <cell r="K136" t="str">
            <v>Resi MSW</v>
          </cell>
        </row>
        <row r="137">
          <cell r="C137">
            <v>259971</v>
          </cell>
          <cell r="D137" t="str">
            <v>P</v>
          </cell>
          <cell r="F137">
            <v>324</v>
          </cell>
          <cell r="G137">
            <v>18520.5</v>
          </cell>
          <cell r="H137" t="str">
            <v>65gal MSW Totes</v>
          </cell>
          <cell r="I137" t="str">
            <v>New</v>
          </cell>
          <cell r="K137" t="str">
            <v>Resi MSW</v>
          </cell>
        </row>
        <row r="138">
          <cell r="C138">
            <v>259972</v>
          </cell>
          <cell r="D138" t="str">
            <v>P</v>
          </cell>
          <cell r="F138">
            <v>351</v>
          </cell>
          <cell r="G138">
            <v>22460.31</v>
          </cell>
          <cell r="H138" t="str">
            <v>95gal Yardwaste Totes</v>
          </cell>
          <cell r="I138" t="str">
            <v>New</v>
          </cell>
          <cell r="K138" t="str">
            <v>Yard Waste</v>
          </cell>
        </row>
        <row r="139">
          <cell r="C139">
            <v>261231</v>
          </cell>
          <cell r="D139" t="str">
            <v>P</v>
          </cell>
          <cell r="F139">
            <v>702</v>
          </cell>
          <cell r="G139">
            <v>40388.49</v>
          </cell>
          <cell r="H139" t="str">
            <v>95 Gallon Plastic YardwasteTotes</v>
          </cell>
          <cell r="I139" t="str">
            <v>New</v>
          </cell>
          <cell r="K139" t="str">
            <v>Resi Yardwaste</v>
          </cell>
        </row>
        <row r="140">
          <cell r="C140">
            <v>261232</v>
          </cell>
          <cell r="D140" t="str">
            <v>P</v>
          </cell>
          <cell r="F140">
            <v>4</v>
          </cell>
          <cell r="G140">
            <v>7701.76</v>
          </cell>
          <cell r="H140" t="str">
            <v>8yd FEL Metal OCC Containers</v>
          </cell>
          <cell r="I140" t="str">
            <v>New</v>
          </cell>
          <cell r="K140" t="str">
            <v>T/S</v>
          </cell>
        </row>
        <row r="141">
          <cell r="C141">
            <v>261233</v>
          </cell>
          <cell r="D141" t="str">
            <v>P</v>
          </cell>
          <cell r="F141">
            <v>7</v>
          </cell>
          <cell r="G141">
            <v>13478.08</v>
          </cell>
          <cell r="H141" t="str">
            <v>8yd FEL  Metal OCC Containers</v>
          </cell>
          <cell r="I141" t="str">
            <v>New</v>
          </cell>
          <cell r="K141" t="str">
            <v>T/S</v>
          </cell>
        </row>
        <row r="142">
          <cell r="C142">
            <v>261234</v>
          </cell>
          <cell r="D142" t="str">
            <v>P</v>
          </cell>
          <cell r="F142">
            <v>7</v>
          </cell>
          <cell r="G142">
            <v>13478.08</v>
          </cell>
          <cell r="H142" t="str">
            <v>8yd FEL Metal OCC Containers</v>
          </cell>
          <cell r="I142" t="str">
            <v>New</v>
          </cell>
          <cell r="K142" t="str">
            <v>T/S</v>
          </cell>
        </row>
        <row r="143">
          <cell r="C143">
            <v>261235</v>
          </cell>
          <cell r="D143" t="str">
            <v>P</v>
          </cell>
          <cell r="F143">
            <v>7</v>
          </cell>
          <cell r="G143">
            <v>13478.08</v>
          </cell>
          <cell r="H143" t="str">
            <v>8yd Metal FEL OCC Containers</v>
          </cell>
          <cell r="I143" t="str">
            <v>New</v>
          </cell>
          <cell r="K143" t="str">
            <v>T/S</v>
          </cell>
        </row>
        <row r="144">
          <cell r="C144">
            <v>263763</v>
          </cell>
          <cell r="D144">
            <v>61268</v>
          </cell>
          <cell r="G144">
            <v>4655.1499999999996</v>
          </cell>
          <cell r="H144" t="str">
            <v>REL Truck 1057 Engine Repair</v>
          </cell>
          <cell r="I144" t="str">
            <v>New</v>
          </cell>
          <cell r="K144" t="str">
            <v>Commercial MSW</v>
          </cell>
        </row>
        <row r="145">
          <cell r="C145">
            <v>262701</v>
          </cell>
          <cell r="D145" t="str">
            <v>P</v>
          </cell>
          <cell r="F145">
            <v>2</v>
          </cell>
          <cell r="G145">
            <v>5723</v>
          </cell>
          <cell r="H145" t="str">
            <v>40yd RO Box</v>
          </cell>
          <cell r="I145" t="str">
            <v>New</v>
          </cell>
          <cell r="K145" t="str">
            <v>RO</v>
          </cell>
        </row>
        <row r="146">
          <cell r="C146">
            <v>264743</v>
          </cell>
          <cell r="D146" t="str">
            <v>P</v>
          </cell>
          <cell r="G146">
            <v>14000</v>
          </cell>
          <cell r="H146" t="str">
            <v>2010 Cheetah Chassis  SN 5EF3GC411AB774251</v>
          </cell>
          <cell r="I146" t="str">
            <v>New</v>
          </cell>
          <cell r="K146" t="str">
            <v>Long Haul</v>
          </cell>
        </row>
        <row r="147">
          <cell r="C147">
            <v>263290</v>
          </cell>
          <cell r="D147" t="str">
            <v>P</v>
          </cell>
          <cell r="F147">
            <v>1080</v>
          </cell>
          <cell r="G147">
            <v>47461.65</v>
          </cell>
          <cell r="H147" t="str">
            <v>35 Gallon refuse Containers</v>
          </cell>
          <cell r="I147" t="str">
            <v>New</v>
          </cell>
          <cell r="K147" t="str">
            <v>Resi MSW</v>
          </cell>
        </row>
        <row r="148">
          <cell r="C148">
            <v>263291</v>
          </cell>
          <cell r="D148" t="str">
            <v>P</v>
          </cell>
          <cell r="F148">
            <v>702</v>
          </cell>
          <cell r="G148">
            <v>40388.5</v>
          </cell>
          <cell r="H148" t="str">
            <v>95 Gallon Recycle Containers</v>
          </cell>
          <cell r="I148" t="str">
            <v>New</v>
          </cell>
          <cell r="K148" t="str">
            <v>Resi Recycle</v>
          </cell>
        </row>
        <row r="149">
          <cell r="C149">
            <v>264418</v>
          </cell>
          <cell r="D149" t="str">
            <v>P</v>
          </cell>
          <cell r="G149">
            <v>139900.24</v>
          </cell>
          <cell r="H149" t="str">
            <v>New Office Building - Furniture</v>
          </cell>
          <cell r="I149" t="str">
            <v>New</v>
          </cell>
        </row>
        <row r="150">
          <cell r="C150">
            <v>264419</v>
          </cell>
          <cell r="D150" t="str">
            <v>P</v>
          </cell>
          <cell r="G150">
            <v>2122.54</v>
          </cell>
          <cell r="H150" t="str">
            <v>New Office Building - Cameras</v>
          </cell>
          <cell r="I150" t="str">
            <v>New</v>
          </cell>
        </row>
        <row r="151">
          <cell r="C151">
            <v>264420</v>
          </cell>
          <cell r="D151" t="str">
            <v>P</v>
          </cell>
          <cell r="G151">
            <v>19435.64</v>
          </cell>
          <cell r="H151" t="str">
            <v>New Office Building - IT Equipment</v>
          </cell>
          <cell r="I151" t="str">
            <v>New</v>
          </cell>
        </row>
        <row r="152">
          <cell r="C152">
            <v>264775</v>
          </cell>
          <cell r="D152" t="str">
            <v>P</v>
          </cell>
          <cell r="F152">
            <v>14</v>
          </cell>
          <cell r="G152">
            <v>13465.86</v>
          </cell>
          <cell r="H152" t="str">
            <v>4YD FEL Metal Containers</v>
          </cell>
          <cell r="I152" t="str">
            <v>New</v>
          </cell>
          <cell r="K152" t="str">
            <v>Commercial MSW &amp; Recycle</v>
          </cell>
        </row>
        <row r="153">
          <cell r="C153">
            <v>264808</v>
          </cell>
          <cell r="D153">
            <v>257730</v>
          </cell>
          <cell r="G153">
            <v>2298.5</v>
          </cell>
          <cell r="H153" t="str">
            <v>New Office Building</v>
          </cell>
          <cell r="I153" t="str">
            <v>New</v>
          </cell>
        </row>
        <row r="154">
          <cell r="C154">
            <v>264774</v>
          </cell>
          <cell r="D154" t="str">
            <v>P</v>
          </cell>
          <cell r="F154">
            <v>14</v>
          </cell>
          <cell r="G154">
            <v>13465.85</v>
          </cell>
          <cell r="H154" t="str">
            <v>4YD FEL Metal Containers</v>
          </cell>
          <cell r="I154" t="str">
            <v>New</v>
          </cell>
          <cell r="K154" t="str">
            <v>Commercial MSW &amp; Recycle</v>
          </cell>
        </row>
        <row r="155">
          <cell r="C155">
            <v>264776</v>
          </cell>
          <cell r="D155" t="str">
            <v>P</v>
          </cell>
          <cell r="F155">
            <v>12</v>
          </cell>
          <cell r="G155">
            <v>11664.65</v>
          </cell>
          <cell r="H155" t="str">
            <v>4YD FEL Metal Containers</v>
          </cell>
          <cell r="I155" t="str">
            <v>New</v>
          </cell>
          <cell r="K155" t="str">
            <v>Commercial MSW &amp; Recycle</v>
          </cell>
        </row>
        <row r="156">
          <cell r="C156">
            <v>264434</v>
          </cell>
          <cell r="D156" t="str">
            <v>P</v>
          </cell>
          <cell r="G156">
            <v>227442.33</v>
          </cell>
          <cell r="H156" t="str">
            <v>2022 Peterbilt ROL Truck</v>
          </cell>
          <cell r="I156" t="str">
            <v>New</v>
          </cell>
          <cell r="J156" t="str">
            <v>RO</v>
          </cell>
          <cell r="K156" t="str">
            <v>Roll Off</v>
          </cell>
        </row>
      </sheetData>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184"/>
      <sheetName val="Trucks 2184"/>
      <sheetName val="Containers District 2184"/>
      <sheetName val="2184 Other Equipment"/>
      <sheetName val="LeMay Global - 2184"/>
    </sheetNames>
    <sheetDataSet>
      <sheetData sheetId="0" refreshError="1"/>
      <sheetData sheetId="1" refreshError="1">
        <row r="2">
          <cell r="P2">
            <v>12</v>
          </cell>
        </row>
        <row r="3">
          <cell r="P3">
            <v>0</v>
          </cell>
        </row>
        <row r="4">
          <cell r="P4">
            <v>2012</v>
          </cell>
        </row>
        <row r="5">
          <cell r="P5">
            <v>2013</v>
          </cell>
        </row>
      </sheetData>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184"/>
      <sheetName val="Trucks 2184"/>
      <sheetName val="Containers District 2184"/>
      <sheetName val="2184 Other Equipment"/>
    </sheetNames>
    <sheetDataSet>
      <sheetData sheetId="0" refreshError="1"/>
      <sheetData sheetId="1" refreshError="1"/>
      <sheetData sheetId="2" refreshError="1"/>
      <sheetData sheetId="3" refreshError="1">
        <row r="3">
          <cell r="P3">
            <v>0</v>
          </cell>
        </row>
        <row r="4">
          <cell r="P4">
            <v>2014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efreshError="1">
        <row r="107">
          <cell r="L107">
            <v>1755086.2007667283</v>
          </cell>
        </row>
        <row r="214">
          <cell r="L214">
            <v>861493.18580596044</v>
          </cell>
        </row>
        <row r="278">
          <cell r="L278">
            <v>840474.49671344017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23">
          <cell r="L23">
            <v>2329.3388396454475</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G Garbage"/>
      <sheetName val=" LG recycle"/>
      <sheetName val="LG Yardwaste"/>
      <sheetName val="LG MF Recycle"/>
      <sheetName val="Proforma"/>
      <sheetName val="matrix"/>
      <sheetName val="COS"/>
      <sheetName val="Price Out-Reg EASTSIDE-Resi"/>
      <sheetName val="Price Out-Comm MSW"/>
      <sheetName val="Price Out-Drop Box"/>
      <sheetName val="Price Out-MF Recycle 2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Z3" t="str">
            <v>Region</v>
          </cell>
        </row>
        <row r="4">
          <cell r="Z4" t="str">
            <v>District</v>
          </cell>
        </row>
        <row r="5">
          <cell r="Z5" t="str">
            <v>Multiple Districts</v>
          </cell>
        </row>
      </sheetData>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ow r="3">
          <cell r="E3" t="str">
            <v>Western</v>
          </cell>
        </row>
      </sheetData>
      <sheetData sheetId="2" refreshError="1"/>
      <sheetData sheetId="3" refreshError="1"/>
      <sheetData sheetId="4"/>
      <sheetData sheetId="5" refreshError="1"/>
      <sheetData sheetId="6"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Western%20Region/WUTC/WIP%20Files/LeMay%20Companies/Depreciation%20General/2021%20FARs/2183%20FAR%2010.31.2021.xlsm"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indsay Waldram" refreshedDate="44566.435373726854" createdVersion="6" refreshedVersion="6" minRefreshableVersion="3" recordCount="726">
  <cacheSource type="worksheet">
    <worksheetSource ref="B13:AW739" sheet="Assets" r:id="rId2"/>
  </cacheSource>
  <cacheFields count="48">
    <cacheField name="District" numFmtId="0">
      <sharedItems containsSemiMixedTypes="0" containsString="0" containsNumber="1" containsInteger="1" minValue="2183" maxValue="2183"/>
    </cacheField>
    <cacheField name="Asset #" numFmtId="0">
      <sharedItems containsSemiMixedTypes="0" containsString="0" containsNumber="1" containsInteger="1" minValue="61019" maxValue="270329"/>
    </cacheField>
    <cacheField name="Parent/ Child" numFmtId="0">
      <sharedItems containsBlank="1" containsMixedTypes="1" containsNumber="1" containsInteger="1" minValue="61080" maxValue="264418"/>
    </cacheField>
    <cacheField name="Descr" numFmtId="0">
      <sharedItems/>
    </cacheField>
    <cacheField name="Container Count" numFmtId="0">
      <sharedItems containsString="0" containsBlank="1" containsNumber="1" containsInteger="1" minValue="0" maxValue="108090"/>
    </cacheField>
    <cacheField name="0" numFmtId="0">
      <sharedItems containsNonDate="0" containsString="0" containsBlank="1"/>
    </cacheField>
    <cacheField name="MFG Serial#" numFmtId="0">
      <sharedItems containsBlank="1" containsMixedTypes="1" containsNumber="1" containsInteger="1" minValue="0" maxValue="200254278"/>
    </cacheField>
    <cacheField name="License Plate" numFmtId="0">
      <sharedItems containsBlank="1"/>
    </cacheField>
    <cacheField name="Model Year" numFmtId="0">
      <sharedItems containsSemiMixedTypes="0" containsString="0" containsNumber="1" containsInteger="1" minValue="0" maxValue="2022"/>
    </cacheField>
    <cacheField name="Vendor/Mfg" numFmtId="0">
      <sharedItems containsBlank="1"/>
    </cacheField>
    <cacheField name="Body Mfg" numFmtId="0">
      <sharedItems containsBlank="1"/>
    </cacheField>
    <cacheField name="Ins Category" numFmtId="0">
      <sharedItems containsBlank="1"/>
    </cacheField>
    <cacheField name="In Service Date" numFmtId="164">
      <sharedItems containsSemiMixedTypes="0" containsNonDate="0" containsDate="1" containsString="0" minDate="1988-02-19T00:00:00" maxDate="2021-12-14T00:00:00"/>
    </cacheField>
    <cacheField name="Acq Date" numFmtId="164">
      <sharedItems containsNonDate="0" containsDate="1" containsString="0" containsBlank="1" minDate="1988-02-19T00:00:00" maxDate="2021-12-14T00:00:00"/>
    </cacheField>
    <cacheField name="CER #" numFmtId="0">
      <sharedItems containsBlank="1" containsMixedTypes="1" containsNumber="1" containsInteger="1" minValue="52144002" maxValue="52144002" count="286">
        <s v="1010-20-0033-2"/>
        <s v="1010-20-0033-1"/>
        <s v="2183-21-0016-1"/>
        <s v="2183-21-0015-1"/>
        <s v="2183-21-0001-1"/>
        <s v="1010-21-0038"/>
        <s v="2183-21-0017"/>
        <s v="2183-21-0016"/>
        <s v="2183-21-0001"/>
        <s v="2183-21-0014-1"/>
        <s v="2183-21-0006-1"/>
        <s v="2183-21-0004-1"/>
        <s v="2183-21-0003-1"/>
        <s v="2183-21-0004"/>
        <s v="2183-19-0001"/>
        <s v="2183-18-0016"/>
        <s v="2183-17-0001"/>
        <s v="2183-16-0023"/>
        <s v="2183-20-0019"/>
        <m/>
        <s v="06-2144-007"/>
        <s v="07-2144-005"/>
        <n v="52144002"/>
        <s v="2183-21-0006"/>
        <s v="2183-21-0013-1"/>
        <s v="2183-21-0003"/>
        <s v="2183-21-0012-1"/>
        <s v="2183-20-0023"/>
        <s v="2183-20-0024"/>
        <s v="2183-20-0028-1"/>
        <s v="2183-20-0026-1"/>
        <s v="2183-19-0017"/>
        <s v="2183-20-0036-1"/>
        <s v="2183-20-0028"/>
        <s v="2183-20-0035-1"/>
        <s v="2183-20-0026"/>
        <s v="2183-20-0025-1"/>
        <s v="Container Audit Input"/>
        <s v="2183-20-0037-1"/>
        <s v="2183-20-0025"/>
        <s v="2183-20-0027-1"/>
        <s v="2183-20-0021-1"/>
        <s v="2183-20-0033-1"/>
        <s v="2183-20-0021"/>
        <s v="2183-20-0034-1"/>
        <s v="2183-20-0027"/>
        <s v="2183-20-0029-1"/>
        <s v="2183-20-0008-1"/>
        <s v="2183-20-0008"/>
        <s v="2183-20-0031-1"/>
        <s v="2183-20-0030-1"/>
        <s v="2183-19-0025-1"/>
        <s v="2183-19-0011-1"/>
        <s v="2183-19-0010-1"/>
        <s v="2183-19-0012"/>
        <s v="2183-19-0033-1"/>
        <s v="2183-19-0019-1"/>
        <s v="2183-19-0015-1"/>
        <s v="2183-19-0013-1"/>
        <s v="2183-19-0020-1"/>
        <s v="2183-19-0014-1"/>
        <s v="2183-19-0020"/>
        <s v="2183-19-0011"/>
        <s v="2183-19-0018-1"/>
        <s v="2183-19-0017-1"/>
        <s v="2180-15-0016-1"/>
        <s v="2180-15-0041-1"/>
        <s v="2183-19-0019"/>
        <s v="2183-19-0029-1"/>
        <s v="2188-13-0004-4"/>
        <s v="2188-14-0024-2"/>
        <s v="2183-19-0032-1"/>
        <s v="2183-19-0009-1"/>
        <s v="2183-19-0015"/>
        <s v="2183-19-0014"/>
        <s v="2183-19-0013"/>
        <s v="2183-19-0010"/>
        <s v="2183-19-0028-1"/>
        <s v="2183-19-0022-1"/>
        <s v="2183-19-0026-1"/>
        <s v="2183-19-0016-1"/>
        <s v="2183-19-0024-1"/>
        <s v="2183-19-0023-1"/>
        <s v="2183-19-0021-1"/>
        <s v="2183-18-0028-1"/>
        <s v="2183-18-0006-1"/>
        <s v="2183-18-0025-1"/>
        <s v="2183-18-0027-1"/>
        <s v="2183-18-0017-1"/>
        <s v="2183-18-0004-1"/>
        <s v="2183-18-0022-1"/>
        <s v="2183-18-0021-1"/>
        <s v="2183-18-0007-1"/>
        <s v="2183-18-0005-1"/>
        <s v="2183-18-0002-1"/>
        <s v="2183-18-0008-1"/>
        <s v="2183-18-0015-1"/>
        <s v="2183-18-0026-1"/>
        <s v="2183-18-0024-1"/>
        <s v="2183-18-0003-1"/>
        <s v="2183-18-0023-1"/>
        <s v="2183-18-0001-1"/>
        <s v="2183-18-0020-1"/>
        <s v="2183-17-0021-1"/>
        <s v="2183-18-0019-1"/>
        <s v="2183-17-0032-1"/>
        <s v="2183-17-0027-1"/>
        <s v="2183-17-0020-1"/>
        <s v="2183-17-0037-1"/>
        <s v="2183-17-0034-1"/>
        <s v="2183-17-0035-1"/>
        <s v="2183-17-0019-1"/>
        <s v="2183-17-0017-1"/>
        <s v="2183-17-0016-1"/>
        <s v="2183-17-0031-1"/>
        <s v="2183-17-0026-1"/>
        <s v="2183-17-0025-1"/>
        <s v="2183-17-0033-1"/>
        <s v="2183-17-0029-1"/>
        <s v="2183-17-0030-1"/>
        <s v="2183-17-0028-1"/>
        <s v="2183-17-0024-1"/>
        <s v="2183-17-0023-1"/>
        <s v="2183-17-0022-1"/>
        <s v="2183-16-0036-1"/>
        <s v="2183-16-0039-1"/>
        <s v="2183-16-0022-1"/>
        <s v="2183-16-0035-1"/>
        <s v="2183-16-0011-1"/>
        <s v="2183-16-0013-1"/>
        <s v="2183-16-0038-1"/>
        <s v="2183-16-0012-1"/>
        <s v="2183-16-0034-1"/>
        <s v="2183-16-0033-1"/>
        <s v="2183-16-0017-1"/>
        <s v="2183-16-0031-1"/>
        <s v="2183-16-0032-1"/>
        <s v="2183-16-0024-1"/>
        <s v="2183-16-0026-1"/>
        <s v="2183-16-0029-1"/>
        <s v="2183-16-0028-1"/>
        <s v="2183-16-0028-2"/>
        <s v="2183-16-0027-1"/>
        <s v="2183-15-0033-1"/>
        <s v="2183-15-0037-1"/>
        <s v="2183-15-0009-1"/>
        <s v="2183-15-0008-1"/>
        <s v="2183-15-0036-1"/>
        <s v="2183-15-0032-1"/>
        <s v="2183-15-0031-2"/>
        <s v="2183-15-0031-1"/>
        <s v="2183-15-0029-1"/>
        <s v="2183-15-0028-1"/>
        <s v="2183-15-0025-1"/>
        <s v="2183-15-0027-1"/>
        <s v="2183-15-0015-1"/>
        <s v="2183-15-0026-1"/>
        <s v="2183-15-0023-1"/>
        <s v="2183-15-0020-1"/>
        <s v="2183-15-0022-1"/>
        <s v="2183-15-0021-1"/>
        <s v="2183-15-0018-1"/>
        <s v="2183-15-0019-1"/>
        <s v="2183-15-0017-1"/>
        <s v="2183-15-0016-1"/>
        <s v="2183-15-0016-4"/>
        <s v="2183-15-0016-3"/>
        <s v="2183-15-0016-2"/>
        <s v="2183-14-0029-1"/>
        <s v="2183-14-0025-1"/>
        <s v="2183-14-0029-2"/>
        <s v="2183-14-0013-1"/>
        <s v="2183-14-0014-1"/>
        <s v="2183-14-0026-1"/>
        <s v="2183-14-0026-2"/>
        <s v="2183-14-0028-2"/>
        <s v="2183-14-0027-1"/>
        <s v="2183-14-0024-1"/>
        <s v="2183-14-0024-2"/>
        <s v="2183-14-0022-1"/>
        <s v="2184-13-0005-1"/>
        <s v="2149-8-0026-8"/>
        <s v="U-03-2149-011"/>
        <s v="03-2149-001"/>
        <s v="1010-12-0018-1"/>
        <s v="2183-11-0019-1"/>
        <s v="2184-11-0009-1"/>
        <s v="2184-11-0010-1"/>
        <s v="2184-11-0008-1"/>
        <s v="2184-11-0007-1"/>
        <s v="2184-9-0011-1"/>
        <s v="2184-13-0001-2"/>
        <s v="2184-13-0001-1"/>
        <s v="2183-9-0019-1"/>
        <s v="2184-9-0001-1"/>
        <s v="2000-14-0006-1"/>
        <s v="2183-14-0021-1"/>
        <s v="2186-13-0004-1"/>
        <s v="2183-13-0015-1"/>
        <s v="2183-13-0018-1"/>
        <s v="2183-13-0017-1"/>
        <s v="2183-13-0004-3"/>
        <s v="2183-13-0004-2"/>
        <s v="2183-13-0004-1"/>
        <s v="2183-13-0016-1"/>
        <s v="2183-13-0016-2"/>
        <s v="2183-13-0016-3"/>
        <s v="2183-13-0008-1"/>
        <s v="2183-13-0008-3"/>
        <s v="2183-13-0008-5"/>
        <s v="2183-13-0008-2"/>
        <s v="2183-13-0013-1"/>
        <s v="2183-13-0014-1"/>
        <s v="2183-13-0002-5"/>
        <s v="2183-13-0002-4"/>
        <s v="2183-13-0002-6"/>
        <s v="2183-13-0003-2"/>
        <s v="2183-13-0003-1"/>
        <s v="2183-13-0012-1"/>
        <s v="2183-13-0001-1"/>
        <s v="2183-13-0002-2"/>
        <s v="2183-13-0002-3"/>
        <s v="2183-13-0010-1"/>
        <s v="2183-13-0002-1"/>
        <s v="2183-13-0009-1"/>
        <s v="2183-12-0021-1"/>
        <s v="2183-12-0007-1"/>
        <s v="2183-12-0015-1"/>
        <s v="2183-12-0018-1"/>
        <s v="2183-12-0022-1"/>
        <s v="2183-12-0014-6"/>
        <s v="2183-12-0014-5"/>
        <s v="2183-12-0005-1"/>
        <s v="2183-12-0017-1"/>
        <s v="2183-12-0018-4"/>
        <s v="2183-12-0018-3"/>
        <s v="2183-12-0018-5"/>
        <s v="2183-12-0018-2"/>
        <s v="2183-12-0014-4"/>
        <s v="2183-12-0014-3"/>
        <s v="2183-12-0014-2"/>
        <s v="2183-12-0014-1"/>
        <s v="2183-12-0019-1"/>
        <s v="2183-12-0016-1"/>
        <s v="2183-12-0012-1"/>
        <s v="2183-12-0011-1"/>
        <s v="2183-12-0010-1"/>
        <s v="2183-12-0009-1"/>
        <s v="2188-11-0014-1"/>
        <s v="2183-11-0022-1"/>
        <s v="2183-11-0023-1"/>
        <s v="2183-11-0020-1"/>
        <s v="2183-11-0009-1"/>
        <s v="2183-11-0001-1"/>
        <s v="2183-11-0017-1"/>
        <s v="2183-11-0016-1"/>
        <s v="2183-11-0015-1"/>
        <s v="2184-11-0006-1"/>
        <s v="2183-10-0024-1"/>
        <s v="2183-10-0022-1"/>
        <s v="2183-10-0030-1"/>
        <s v="2183-10-0028-1"/>
        <s v="2183-10-0025-1"/>
        <s v="2183-10-0005-1"/>
        <s v="2183-10-0019-1"/>
        <s v="1010-10-0028-1"/>
        <s v="2183-10-0017-1"/>
        <s v="2183-10-0015-1"/>
        <s v="2183-10-0023-1"/>
        <s v="2183-10-0021-1"/>
        <s v="2183-10-0018-1"/>
        <s v="2183-10-0016-1"/>
        <s v="2183-10-0011-1"/>
        <s v="2183-10-0010-1"/>
        <s v="2183-9-0029-1"/>
        <s v="2183-9-0027-1"/>
        <s v="2183-9-0022-1"/>
        <s v="2184-9-0005-1"/>
        <s v="2183-9-0018-1"/>
        <s v="2183-9-0024-1"/>
        <s v="2183-9-0020-1"/>
        <s v="2183-9-0007-1"/>
        <s v="2183-9-0001-1"/>
        <s v="2183-9-0002-1"/>
        <s v="2183-8-0004-1"/>
        <s v="2183-8-0002-1"/>
      </sharedItems>
    </cacheField>
    <cacheField name="Useful Life" numFmtId="0">
      <sharedItems containsSemiMixedTypes="0" containsString="0" containsNumber="1" containsInteger="1" minValue="0" maxValue="2000"/>
    </cacheField>
    <cacheField name="Asset Account" numFmtId="0">
      <sharedItems containsSemiMixedTypes="0" containsString="0" containsNumber="1" containsInteger="1" minValue="14000" maxValue="15260"/>
    </cacheField>
    <cacheField name="Cost" numFmtId="43">
      <sharedItems containsSemiMixedTypes="0" containsString="0" containsNumber="1" minValue="-1045249.13" maxValue="32885751"/>
    </cacheField>
    <cacheField name="Accum Account" numFmtId="0">
      <sharedItems containsSemiMixedTypes="0" containsString="0" containsNumber="1" containsInteger="1" minValue="14016" maxValue="15266"/>
    </cacheField>
    <cacheField name="Accum Life to Date" numFmtId="43">
      <sharedItems containsSemiMixedTypes="0" containsString="0" containsNumber="1" minValue="-4700.16" maxValue="1764941.66"/>
    </cacheField>
    <cacheField name="NBV" numFmtId="43">
      <sharedItems containsSemiMixedTypes="0" containsString="0" containsNumber="1" minValue="-1045249.13" maxValue="32885751"/>
    </cacheField>
    <cacheField name="Accum YTD" numFmtId="1">
      <sharedItems containsSemiMixedTypes="0" containsString="0" containsNumber="1" minValue="-29.4" maxValue="123658.33"/>
    </cacheField>
    <cacheField name="Expense Account" numFmtId="0">
      <sharedItems containsString="0" containsBlank="1" containsNumber="1" containsInteger="1" minValue="0" maxValue="70264"/>
    </cacheField>
    <cacheField name="Current Depr" numFmtId="43">
      <sharedItems containsSemiMixedTypes="0" containsString="0" containsNumber="1" minValue="-2.94" maxValue="11646.21"/>
    </cacheField>
    <cacheField name="Acq Type" numFmtId="0">
      <sharedItems/>
    </cacheField>
    <cacheField name="Former Company" numFmtId="0">
      <sharedItems containsBlank="1" containsMixedTypes="1" containsNumber="1" containsInteger="1" minValue="0" maxValue="0"/>
    </cacheField>
    <cacheField name="Invoice #" numFmtId="0">
      <sharedItems containsDate="1" containsBlank="1" containsMixedTypes="1" minDate="1900-01-08T01:35:04" maxDate="1900-01-01T23:24:05"/>
    </cacheField>
    <cacheField name="Company Asset #" numFmtId="0">
      <sharedItems containsString="0" containsBlank="1" containsNumber="1" containsInteger="1" minValue="25" maxValue="14050"/>
    </cacheField>
    <cacheField name="Book" numFmtId="0">
      <sharedItems/>
    </cacheField>
    <cacheField name="Activity Cd" numFmtId="0">
      <sharedItems/>
    </cacheField>
    <cacheField name="Depr Meth" numFmtId="0">
      <sharedItems/>
    </cacheField>
    <cacheField name="Beg Date" numFmtId="0">
      <sharedItems containsNonDate="0" containsDate="1" containsString="0" containsBlank="1" minDate="2009-04-30T00:00:00" maxDate="2021-12-01T00:00:00"/>
    </cacheField>
    <cacheField name="Dbase" numFmtId="0">
      <sharedItems/>
    </cacheField>
    <cacheField name="Seq" numFmtId="0">
      <sharedItems containsSemiMixedTypes="0" containsString="0" containsNumber="1" containsInteger="1" minValue="0" maxValue="18"/>
    </cacheField>
    <cacheField name="Beg Depr" numFmtId="0">
      <sharedItems containsSemiMixedTypes="0" containsString="0" containsNumber="1" minValue="0" maxValue="572647.9"/>
    </cacheField>
    <cacheField name="Truck #" numFmtId="0">
      <sharedItems containsString="0" containsBlank="1" containsNumber="1" containsInteger="1" minValue="1088" maxValue="6060"/>
    </cacheField>
    <cacheField name="Equipment Type" numFmtId="0">
      <sharedItems containsBlank="1"/>
    </cacheField>
    <cacheField name="Month" numFmtId="0">
      <sharedItems containsString="0" containsBlank="1" containsNumber="1" containsInteger="1" minValue="1" maxValue="12"/>
    </cacheField>
    <cacheField name="Year" numFmtId="0">
      <sharedItems containsString="0" containsBlank="1" containsNumber="1" containsInteger="1" minValue="2001" maxValue="2021"/>
    </cacheField>
    <cacheField name="Year Fully Dep" numFmtId="0">
      <sharedItems containsString="0" containsBlank="1" containsNumber="1" minValue="2007" maxValue="2041"/>
    </cacheField>
    <cacheField name="Year/Mo Fully Dep" numFmtId="166">
      <sharedItems containsString="0" containsBlank="1" containsNumber="1" minValue="2007.9166666666667" maxValue="2042"/>
    </cacheField>
    <cacheField name="Monthly Depreciation" numFmtId="167">
      <sharedItems containsString="0" containsBlank="1" containsNumber="1" minValue="-3.1017369727047144" maxValue="11646.216166666665"/>
    </cacheField>
    <cacheField name="Annual Depreciation" numFmtId="167">
      <sharedItems containsString="0" containsBlank="1" containsNumber="1" minValue="-37.220843672456574" maxValue="139754.59399999998"/>
    </cacheField>
    <cacheField name="Test Year Depreciation" numFmtId="167">
      <sharedItems containsString="0" containsBlank="1" containsNumber="1" minValue="-37.220843672456574" maxValue="139754.59399999998"/>
    </cacheField>
    <cacheField name="BOY Accum" numFmtId="167">
      <sharedItems containsString="0" containsBlank="1" containsNumber="1" minValue="0" maxValue="68000"/>
    </cacheField>
    <cacheField name="EOY Accum" numFmtId="167">
      <sharedItems containsString="0" containsBlank="1" containsNumber="1" minValue="-37.220843672456574" maxValue="139754.59399999998"/>
    </cacheField>
    <cacheField name="EOY Average Investment" numFmtId="167">
      <sharedItems containsString="0" containsBlank="1" containsNumber="1" minValue="-262.77915632754343" maxValue="2655337.2859999998"/>
    </cacheField>
    <cacheField name="Pre 2021 Add?"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indsay Waldram" refreshedDate="44573.395459953703" createdVersion="6" refreshedVersion="6" minRefreshableVersion="3" recordCount="89">
  <cacheSource type="worksheet">
    <worksheetSource ref="B13:AW102" sheet="Assets 2021"/>
  </cacheSource>
  <cacheFields count="48">
    <cacheField name="District" numFmtId="0">
      <sharedItems containsSemiMixedTypes="0" containsString="0" containsNumber="1" containsInteger="1" minValue="2183" maxValue="2183"/>
    </cacheField>
    <cacheField name="Asset #" numFmtId="0">
      <sharedItems containsSemiMixedTypes="0" containsString="0" containsNumber="1" containsInteger="1" minValue="245709" maxValue="270329"/>
    </cacheField>
    <cacheField name="Parent/ Child" numFmtId="0">
      <sharedItems containsMixedTypes="1" containsNumber="1" containsInteger="1" minValue="219336" maxValue="264418"/>
    </cacheField>
    <cacheField name="Descr" numFmtId="0">
      <sharedItems/>
    </cacheField>
    <cacheField name="Container Count" numFmtId="0">
      <sharedItems containsString="0" containsBlank="1" containsNumber="1" containsInteger="1" minValue="1" maxValue="1080"/>
    </cacheField>
    <cacheField name="0" numFmtId="0">
      <sharedItems containsNonDate="0" containsString="0" containsBlank="1"/>
    </cacheField>
    <cacheField name="MFG Serial#" numFmtId="0">
      <sharedItems containsBlank="1" containsMixedTypes="1" containsNumber="1" containsInteger="1" minValue="0" maxValue="0"/>
    </cacheField>
    <cacheField name="License Plate" numFmtId="0">
      <sharedItems containsBlank="1"/>
    </cacheField>
    <cacheField name="Model Year" numFmtId="0">
      <sharedItems containsSemiMixedTypes="0" containsString="0" containsNumber="1" containsInteger="1" minValue="0" maxValue="2022"/>
    </cacheField>
    <cacheField name="Vendor/Mfg" numFmtId="0">
      <sharedItems containsBlank="1"/>
    </cacheField>
    <cacheField name="Body Mfg" numFmtId="0">
      <sharedItems containsNonDate="0" containsString="0" containsBlank="1"/>
    </cacheField>
    <cacheField name="Ins Category" numFmtId="0">
      <sharedItems containsBlank="1"/>
    </cacheField>
    <cacheField name="In Service Date" numFmtId="171">
      <sharedItems containsSemiMixedTypes="0" containsNonDate="0" containsDate="1" containsString="0" minDate="2001-11-01T00:00:00" maxDate="2021-12-14T00:00:00"/>
    </cacheField>
    <cacheField name="Acq Date" numFmtId="171">
      <sharedItems containsSemiMixedTypes="0" containsNonDate="0" containsDate="1" containsString="0" minDate="2001-11-01T00:00:00" maxDate="2021-12-14T00:00:00"/>
    </cacheField>
    <cacheField name="CER #" numFmtId="0">
      <sharedItems containsBlank="1" containsMixedTypes="1" containsNumber="1" containsInteger="1" minValue="52144002" maxValue="52144002"/>
    </cacheField>
    <cacheField name="Useful Life" numFmtId="0">
      <sharedItems containsSemiMixedTypes="0" containsString="0" containsNumber="1" containsInteger="1" minValue="100" maxValue="2000"/>
    </cacheField>
    <cacheField name="Asset Account" numFmtId="0">
      <sharedItems containsSemiMixedTypes="0" containsString="0" containsNumber="1" containsInteger="1" minValue="14040" maxValue="14110"/>
    </cacheField>
    <cacheField name="Cost" numFmtId="43">
      <sharedItems containsSemiMixedTypes="0" containsString="0" containsNumber="1" minValue="-300" maxValue="2795091.88"/>
    </cacheField>
    <cacheField name="Accum Account" numFmtId="0">
      <sharedItems containsSemiMixedTypes="0" containsString="0" containsNumber="1" containsInteger="1" minValue="14046" maxValue="14116"/>
    </cacheField>
    <cacheField name="Accum Life to Date" numFmtId="43">
      <sharedItems containsSemiMixedTypes="0" containsString="0" containsNumber="1" minValue="-29.4" maxValue="68000"/>
    </cacheField>
    <cacheField name="NBV" numFmtId="43">
      <sharedItems containsSemiMixedTypes="0" containsString="0" containsNumber="1" minValue="-270.60000000000002" maxValue="2760153.23"/>
    </cacheField>
    <cacheField name="Accum YTD" numFmtId="1">
      <sharedItems containsSemiMixedTypes="0" containsString="0" containsNumber="1" minValue="-29.4" maxValue="34938.65"/>
    </cacheField>
    <cacheField name="Expense Account" numFmtId="0">
      <sharedItems containsSemiMixedTypes="0" containsString="0" containsNumber="1" containsInteger="1" minValue="51260" maxValue="70260"/>
    </cacheField>
    <cacheField name="Current Depr" numFmtId="43">
      <sharedItems containsSemiMixedTypes="0" containsString="0" containsNumber="1" minValue="-2.94" maxValue="11646.21"/>
    </cacheField>
    <cacheField name="Acq Type" numFmtId="0">
      <sharedItems/>
    </cacheField>
    <cacheField name="Former Company" numFmtId="0">
      <sharedItems containsBlank="1" containsMixedTypes="1" containsNumber="1" containsInteger="1" minValue="0" maxValue="0"/>
    </cacheField>
    <cacheField name="Invoice #" numFmtId="0">
      <sharedItems containsBlank="1" containsMixedTypes="1" containsNumber="1" containsInteger="1" minValue="2038" maxValue="80651184990"/>
    </cacheField>
    <cacheField name="Company Asset #" numFmtId="0">
      <sharedItems containsNonDate="0" containsString="0" containsBlank="1"/>
    </cacheField>
    <cacheField name="Book" numFmtId="0">
      <sharedItems/>
    </cacheField>
    <cacheField name="Activity Cd" numFmtId="0">
      <sharedItems/>
    </cacheField>
    <cacheField name="Depr Meth" numFmtId="0">
      <sharedItems/>
    </cacheField>
    <cacheField name="Beg Date" numFmtId="0">
      <sharedItems containsNonDate="0" containsDate="1" containsString="0" containsBlank="1" minDate="2021-05-31T00:00:00" maxDate="2021-12-01T00:00:00"/>
    </cacheField>
    <cacheField name="Dbase" numFmtId="0">
      <sharedItems/>
    </cacheField>
    <cacheField name="Seq" numFmtId="0">
      <sharedItems containsSemiMixedTypes="0" containsString="0" containsNumber="1" containsInteger="1" minValue="0" maxValue="0"/>
    </cacheField>
    <cacheField name="Beg Depr" numFmtId="0">
      <sharedItems containsSemiMixedTypes="0" containsString="0" containsNumber="1" minValue="0" maxValue="68000"/>
    </cacheField>
    <cacheField name="Truck #" numFmtId="0">
      <sharedItems containsString="0" containsBlank="1" containsNumber="1" containsInteger="1" minValue="1088" maxValue="6060"/>
    </cacheField>
    <cacheField name="Equipment Type" numFmtId="0">
      <sharedItems count="13">
        <s v="Service Equip"/>
        <s v="Building"/>
        <s v="MSW Carts"/>
        <s v="Recycling Carts"/>
        <s v="YW Carts"/>
        <s v="MSW/Recycle Containers"/>
        <s v="Res/Comm MSW Truck"/>
        <s v="Old"/>
        <s v="Commercial MSW Truck"/>
        <s v="Residential Recycling Truck"/>
        <s v="Commercial MSW" u="1"/>
        <s v="Resi" u="1"/>
        <s v="Residential Recycling" u="1"/>
      </sharedItems>
    </cacheField>
    <cacheField name="Month" numFmtId="0">
      <sharedItems containsSemiMixedTypes="0" containsString="0" containsNumber="1" containsInteger="1" minValue="1" maxValue="12"/>
    </cacheField>
    <cacheField name="Year" numFmtId="0">
      <sharedItems containsSemiMixedTypes="0" containsString="0" containsNumber="1" containsInteger="1" minValue="2001" maxValue="2021"/>
    </cacheField>
    <cacheField name="Year Fully Dep" numFmtId="0">
      <sharedItems containsSemiMixedTypes="0" containsString="0" containsNumber="1" minValue="2007" maxValue="2041"/>
    </cacheField>
    <cacheField name="Year/Mo Fully Dep" numFmtId="167">
      <sharedItems containsSemiMixedTypes="0" containsString="0" containsNumber="1" minValue="2007.9166666666667" maxValue="2042"/>
    </cacheField>
    <cacheField name="Monthly Depreciation" numFmtId="168">
      <sharedItems containsSemiMixedTypes="0" containsString="0" containsNumber="1" minValue="-3.1017369727047144" maxValue="11646.216166666665"/>
    </cacheField>
    <cacheField name="Annual Depreciation" numFmtId="168">
      <sharedItems containsSemiMixedTypes="0" containsString="0" containsNumber="1" minValue="-37.220843672456574" maxValue="139754.59399999998"/>
    </cacheField>
    <cacheField name="Test Year Depreciation" numFmtId="168">
      <sharedItems containsSemiMixedTypes="0" containsString="0" containsNumber="1" minValue="-37.220843672456574" maxValue="139754.59399999998"/>
    </cacheField>
    <cacheField name="BOY Accum" numFmtId="168">
      <sharedItems containsSemiMixedTypes="0" containsString="0" containsNumber="1" minValue="0" maxValue="68000"/>
    </cacheField>
    <cacheField name="EOY Accum" numFmtId="168">
      <sharedItems containsSemiMixedTypes="0" containsString="0" containsNumber="1" minValue="-37.220843672456574" maxValue="139754.59399999998"/>
    </cacheField>
    <cacheField name="EOY Average Investment" numFmtId="168">
      <sharedItems containsSemiMixedTypes="0" containsString="0" containsNumber="1" minValue="-262.77915632754343" maxValue="2655337.2859999998"/>
    </cacheField>
    <cacheField name="Pre 2021 Add?"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6">
  <r>
    <n v="2183"/>
    <n v="270329"/>
    <s v="P"/>
    <s v="40 RouteTab Mounts for 2183 Thurston Cty"/>
    <m/>
    <m/>
    <m/>
    <m/>
    <n v="0"/>
    <s v="PROCLIPUSA"/>
    <m/>
    <m/>
    <d v="2020-04-25T00:00:00"/>
    <d v="2020-04-25T00:00:00"/>
    <x v="0"/>
    <n v="300"/>
    <n v="14110"/>
    <n v="6335.92"/>
    <n v="14116"/>
    <n v="3343.95"/>
    <n v="2991.9700000000003"/>
    <n v="0"/>
    <n v="70260"/>
    <n v="0"/>
    <s v="P"/>
    <m/>
    <s v="SI-1171635"/>
    <m/>
    <s v="Internal"/>
    <s v="A"/>
    <s v="SL"/>
    <d v="2021-11-30T00:00:00"/>
    <s v="WCNX"/>
    <n v="0"/>
    <n v="3343.95"/>
    <m/>
    <s v="Service Equip"/>
    <n v="4"/>
    <n v="2020"/>
    <n v="2023"/>
    <n v="2023.3333333333333"/>
    <n v="175.99777777777777"/>
    <n v="2111.9733333333334"/>
    <n v="2111.9733333333334"/>
    <n v="2111.9733333333334"/>
    <n v="4223.9466666666667"/>
    <n v="2111.9733333333334"/>
    <m/>
  </r>
  <r>
    <n v="2183"/>
    <n v="270328"/>
    <s v="P"/>
    <s v="8 RouteTab Mounts for 2183 Yakima"/>
    <m/>
    <m/>
    <m/>
    <m/>
    <n v="0"/>
    <s v="PROCLIPUSA"/>
    <m/>
    <m/>
    <d v="2020-04-25T00:00:00"/>
    <d v="2020-04-25T00:00:00"/>
    <x v="0"/>
    <n v="300"/>
    <n v="14110"/>
    <n v="1267.19"/>
    <n v="14116"/>
    <n v="668.8"/>
    <n v="598.3900000000001"/>
    <n v="0"/>
    <n v="70260"/>
    <n v="0"/>
    <s v="P"/>
    <m/>
    <s v="SI-1171635"/>
    <m/>
    <s v="Internal"/>
    <s v="A"/>
    <s v="SL"/>
    <d v="2021-11-30T00:00:00"/>
    <s v="WCNX"/>
    <n v="0"/>
    <n v="668.8"/>
    <m/>
    <s v="Service Equip"/>
    <n v="4"/>
    <n v="2020"/>
    <n v="2023"/>
    <n v="2023.3333333333333"/>
    <n v="35.199722222222228"/>
    <n v="422.39666666666676"/>
    <n v="422.39666666666676"/>
    <n v="422.39666666666676"/>
    <n v="844.79333333333352"/>
    <n v="422.39666666666653"/>
    <m/>
  </r>
  <r>
    <n v="2183"/>
    <n v="270327"/>
    <s v="P"/>
    <s v="8 Samsung Active Pro Tablets for 2183"/>
    <m/>
    <m/>
    <m/>
    <m/>
    <n v="0"/>
    <s v="COMPLETE TABLET SOLUTIONS"/>
    <m/>
    <m/>
    <d v="2020-04-15T00:00:00"/>
    <d v="2020-04-15T00:00:00"/>
    <x v="1"/>
    <n v="100"/>
    <n v="14110"/>
    <n v="5473.36"/>
    <n v="14116"/>
    <n v="5473.36"/>
    <n v="0"/>
    <n v="0"/>
    <n v="70260"/>
    <n v="0"/>
    <s v="P"/>
    <m/>
    <n v="13279"/>
    <m/>
    <s v="Internal"/>
    <s v="A"/>
    <s v="SL"/>
    <d v="2021-11-30T00:00:00"/>
    <s v="WCNX"/>
    <n v="0"/>
    <n v="5473.36"/>
    <m/>
    <s v="Service Equip"/>
    <n v="4"/>
    <n v="2020"/>
    <n v="2021"/>
    <n v="2021.3333333333333"/>
    <n v="456.11333333333329"/>
    <n v="5473.36"/>
    <n v="0"/>
    <n v="5473.36"/>
    <n v="5473.36"/>
    <n v="0"/>
    <m/>
  </r>
  <r>
    <n v="2183"/>
    <n v="268710"/>
    <s v="P"/>
    <s v="New Office Building - Furniture"/>
    <m/>
    <m/>
    <m/>
    <m/>
    <n v="0"/>
    <s v="GORDON PRODUCTS INC"/>
    <m/>
    <m/>
    <d v="2021-11-17T00:00:00"/>
    <d v="2021-11-17T00:00:00"/>
    <x v="2"/>
    <n v="1000"/>
    <n v="14100"/>
    <n v="95331.73"/>
    <n v="14106"/>
    <n v="0"/>
    <n v="95331.73"/>
    <n v="0"/>
    <n v="70260"/>
    <n v="0"/>
    <s v="P"/>
    <m/>
    <s v="196256-0"/>
    <m/>
    <s v="Internal"/>
    <s v="A"/>
    <s v="SL"/>
    <m/>
    <s v="WCNX"/>
    <n v="0"/>
    <n v="0"/>
    <m/>
    <s v="Building"/>
    <n v="11"/>
    <n v="2021"/>
    <n v="2031"/>
    <n v="2031.9166666666667"/>
    <n v="794.43108333333328"/>
    <n v="9533.1729999999989"/>
    <n v="9533.1729999999989"/>
    <n v="0"/>
    <n v="9533.1729999999989"/>
    <n v="85798.557000000001"/>
    <m/>
  </r>
  <r>
    <n v="2183"/>
    <n v="268628"/>
    <s v="P"/>
    <s v="95 Gallon Refuse Containers"/>
    <n v="542"/>
    <m/>
    <m/>
    <m/>
    <n v="0"/>
    <s v="REHRIG PACIFIC COMPANY IN"/>
    <m/>
    <s v="Non-Container Audit"/>
    <d v="2021-12-13T00:00:00"/>
    <d v="2021-12-13T00:00:00"/>
    <x v="3"/>
    <n v="700"/>
    <n v="14050"/>
    <n v="39911.4"/>
    <n v="14056"/>
    <n v="0"/>
    <n v="39911.4"/>
    <n v="0"/>
    <n v="54260"/>
    <n v="0"/>
    <s v="P"/>
    <m/>
    <n v="50211980"/>
    <m/>
    <s v="Internal"/>
    <s v="A"/>
    <s v="SL"/>
    <m/>
    <s v="WCNX"/>
    <n v="0"/>
    <n v="0"/>
    <m/>
    <s v="MSW Carts"/>
    <n v="12"/>
    <n v="2021"/>
    <n v="2028"/>
    <n v="2029"/>
    <n v="475.1357142857143"/>
    <n v="5701.6285714285714"/>
    <n v="5701.6285714285714"/>
    <n v="0"/>
    <n v="5701.6285714285714"/>
    <n v="34209.771428571432"/>
    <m/>
  </r>
  <r>
    <n v="2183"/>
    <n v="267048"/>
    <n v="257730"/>
    <s v="New Office Building"/>
    <m/>
    <m/>
    <m/>
    <m/>
    <n v="0"/>
    <s v="SITTS &amp; HILL ENGINEERS IN"/>
    <m/>
    <m/>
    <d v="2021-12-08T00:00:00"/>
    <d v="2021-12-08T00:00:00"/>
    <x v="4"/>
    <n v="2000"/>
    <n v="14080"/>
    <n v="3947.5"/>
    <n v="14086"/>
    <n v="0"/>
    <n v="3947.5"/>
    <n v="0"/>
    <n v="57260"/>
    <n v="0"/>
    <s v="P"/>
    <m/>
    <s v="17974-32"/>
    <m/>
    <s v="Internal"/>
    <s v="A"/>
    <s v="SL"/>
    <m/>
    <s v="WCNX"/>
    <n v="0"/>
    <n v="0"/>
    <m/>
    <s v="Building"/>
    <n v="12"/>
    <n v="2021"/>
    <n v="2041"/>
    <n v="2042"/>
    <n v="16.447916666666668"/>
    <n v="197.375"/>
    <n v="197.375"/>
    <n v="0"/>
    <n v="197.375"/>
    <n v="3750.125"/>
    <m/>
  </r>
  <r>
    <n v="2183"/>
    <n v="266895"/>
    <n v="264418"/>
    <s v="New Office Furniture"/>
    <m/>
    <m/>
    <m/>
    <m/>
    <n v="0"/>
    <s v="GORDON PRODUCTS INC"/>
    <m/>
    <m/>
    <d v="2021-10-18T00:00:00"/>
    <d v="2021-10-18T00:00:00"/>
    <x v="2"/>
    <n v="1000"/>
    <n v="14100"/>
    <n v="18025.939999999999"/>
    <n v="14106"/>
    <n v="0"/>
    <n v="18025.939999999999"/>
    <n v="0"/>
    <n v="70260"/>
    <n v="0"/>
    <s v="P"/>
    <m/>
    <s v="196256-1"/>
    <m/>
    <s v="Internal"/>
    <s v="A"/>
    <s v="SL"/>
    <m/>
    <s v="WCNX"/>
    <n v="0"/>
    <n v="0"/>
    <m/>
    <s v="Building"/>
    <n v="10"/>
    <n v="2021"/>
    <n v="2031"/>
    <n v="2031.8333333333333"/>
    <n v="150.21616666666665"/>
    <n v="1802.5939999999998"/>
    <n v="1802.5939999999998"/>
    <n v="0"/>
    <n v="1802.5939999999998"/>
    <n v="16223.346"/>
    <m/>
  </r>
  <r>
    <n v="2183"/>
    <n v="266891"/>
    <n v="257730"/>
    <s v="New Office Building"/>
    <m/>
    <m/>
    <m/>
    <m/>
    <n v="0"/>
    <s v="MOUNTAIN CONSTRUCTION INC"/>
    <m/>
    <m/>
    <d v="2021-11-03T00:00:00"/>
    <d v="2021-11-03T00:00:00"/>
    <x v="4"/>
    <n v="2000"/>
    <n v="14080"/>
    <n v="164062.15"/>
    <n v="14086"/>
    <n v="0"/>
    <n v="164062.15"/>
    <n v="0"/>
    <n v="57260"/>
    <n v="0"/>
    <s v="P"/>
    <m/>
    <s v="20-8168-00 App No 14"/>
    <m/>
    <s v="Internal"/>
    <s v="A"/>
    <s v="SL"/>
    <m/>
    <s v="WCNX"/>
    <n v="0"/>
    <n v="0"/>
    <m/>
    <s v="Building"/>
    <n v="11"/>
    <n v="2021"/>
    <n v="2041"/>
    <n v="2041.9166666666667"/>
    <n v="683.59229166666671"/>
    <n v="8203.1075000000001"/>
    <n v="8203.1075000000001"/>
    <n v="0"/>
    <n v="8203.1075000000001"/>
    <n v="155859.04249999998"/>
    <m/>
  </r>
  <r>
    <n v="2183"/>
    <n v="265747"/>
    <n v="264418"/>
    <s v="75&quot; Television"/>
    <m/>
    <m/>
    <m/>
    <m/>
    <n v="0"/>
    <s v="BEST BUY"/>
    <m/>
    <m/>
    <d v="2021-10-18T00:00:00"/>
    <d v="2021-10-18T00:00:00"/>
    <x v="2"/>
    <n v="1000"/>
    <n v="14100"/>
    <n v="1358.09"/>
    <n v="14106"/>
    <n v="11.32"/>
    <n v="1346.77"/>
    <n v="11.32"/>
    <n v="70260"/>
    <n v="11.32"/>
    <s v="P"/>
    <m/>
    <n v="80651184990"/>
    <m/>
    <s v="Internal"/>
    <s v="A"/>
    <s v="SL"/>
    <m/>
    <s v="WCNX"/>
    <n v="0"/>
    <n v="0"/>
    <m/>
    <s v="Building"/>
    <n v="10"/>
    <n v="2021"/>
    <n v="2031"/>
    <n v="2031.8333333333333"/>
    <n v="11.317416666666666"/>
    <n v="135.809"/>
    <n v="135.809"/>
    <n v="0"/>
    <n v="135.809"/>
    <n v="1222.2809999999999"/>
    <m/>
  </r>
  <r>
    <n v="2183"/>
    <n v="265458"/>
    <s v="P"/>
    <s v="Drive Cam Units"/>
    <n v="3"/>
    <m/>
    <m/>
    <m/>
    <n v="0"/>
    <m/>
    <m/>
    <m/>
    <d v="2021-11-01T00:00:00"/>
    <d v="2021-11-01T00:00:00"/>
    <x v="5"/>
    <n v="500"/>
    <n v="14070"/>
    <n v="1617.15"/>
    <n v="14076"/>
    <n v="26.96"/>
    <n v="1590.19"/>
    <n v="26.96"/>
    <n v="51260"/>
    <n v="26.96"/>
    <s v="P"/>
    <m/>
    <m/>
    <m/>
    <s v="Internal"/>
    <s v="A"/>
    <s v="SL"/>
    <m/>
    <s v="WCNX"/>
    <n v="0"/>
    <n v="0"/>
    <m/>
    <s v="Service Equip"/>
    <n v="11"/>
    <n v="2021"/>
    <n v="2026"/>
    <n v="2026.9166666666667"/>
    <n v="26.952500000000001"/>
    <n v="323.43"/>
    <n v="323.43"/>
    <n v="0"/>
    <n v="323.43"/>
    <n v="1293.72"/>
    <m/>
  </r>
  <r>
    <n v="2183"/>
    <n v="264808"/>
    <n v="257730"/>
    <s v="New Office Building"/>
    <m/>
    <m/>
    <m/>
    <m/>
    <n v="0"/>
    <s v="SITTS &amp; HILL ENGINEERS IN"/>
    <m/>
    <m/>
    <d v="2021-11-03T00:00:00"/>
    <d v="2021-11-03T00:00:00"/>
    <x v="4"/>
    <n v="2000"/>
    <n v="14080"/>
    <n v="2298.5"/>
    <n v="14086"/>
    <n v="9.58"/>
    <n v="2288.92"/>
    <n v="9.58"/>
    <n v="57260"/>
    <n v="9.58"/>
    <s v="P"/>
    <m/>
    <s v="17974-31"/>
    <m/>
    <s v="Internal"/>
    <s v="A"/>
    <s v="SL"/>
    <m/>
    <s v="WCNX"/>
    <n v="0"/>
    <n v="0"/>
    <m/>
    <s v="Building"/>
    <n v="11"/>
    <n v="2021"/>
    <n v="2041"/>
    <n v="2041.9166666666667"/>
    <n v="9.5770833333333325"/>
    <n v="114.92499999999998"/>
    <n v="114.92499999999998"/>
    <n v="0"/>
    <n v="114.92499999999998"/>
    <n v="2183.5749999999998"/>
    <m/>
  </r>
  <r>
    <n v="2183"/>
    <n v="264420"/>
    <s v="P"/>
    <s v="New Office Building - IT Equipment"/>
    <m/>
    <m/>
    <m/>
    <m/>
    <n v="0"/>
    <m/>
    <m/>
    <m/>
    <d v="2021-10-18T00:00:00"/>
    <d v="2021-10-18T00:00:00"/>
    <x v="6"/>
    <n v="300"/>
    <n v="14110"/>
    <n v="19435.64"/>
    <n v="14116"/>
    <n v="539.88"/>
    <n v="18895.759999999998"/>
    <n v="539.88"/>
    <n v="70260"/>
    <n v="539.88"/>
    <s v="P"/>
    <m/>
    <m/>
    <m/>
    <s v="Internal"/>
    <s v="A"/>
    <s v="SL"/>
    <m/>
    <s v="WCNX"/>
    <n v="0"/>
    <n v="0"/>
    <m/>
    <s v="Building"/>
    <n v="10"/>
    <n v="2021"/>
    <n v="2024"/>
    <n v="2024.8333333333333"/>
    <n v="539.87888888888881"/>
    <n v="6478.5466666666653"/>
    <n v="6478.5466666666653"/>
    <n v="0"/>
    <n v="6478.5466666666653"/>
    <n v="12957.093333333334"/>
    <m/>
  </r>
  <r>
    <n v="2183"/>
    <n v="264419"/>
    <s v="P"/>
    <s v="New Office Building - Cameras"/>
    <m/>
    <m/>
    <m/>
    <m/>
    <n v="0"/>
    <m/>
    <m/>
    <m/>
    <d v="2021-10-18T00:00:00"/>
    <d v="2021-10-18T00:00:00"/>
    <x v="6"/>
    <n v="500"/>
    <n v="14070"/>
    <n v="2122.54"/>
    <n v="14076"/>
    <n v="35.380000000000003"/>
    <n v="2087.16"/>
    <n v="35.380000000000003"/>
    <n v="51260"/>
    <n v="35.380000000000003"/>
    <s v="P"/>
    <m/>
    <m/>
    <m/>
    <s v="Internal"/>
    <s v="A"/>
    <s v="SL"/>
    <m/>
    <s v="WCNX"/>
    <n v="0"/>
    <n v="0"/>
    <m/>
    <s v="Building"/>
    <n v="10"/>
    <n v="2021"/>
    <n v="2026"/>
    <n v="2026.8333333333333"/>
    <n v="35.375666666666667"/>
    <n v="424.50800000000004"/>
    <n v="424.50800000000004"/>
    <n v="0"/>
    <n v="424.50800000000004"/>
    <n v="1698.0319999999999"/>
    <m/>
  </r>
  <r>
    <n v="2183"/>
    <n v="264418"/>
    <s v="P"/>
    <s v="New Office Building - Furniture"/>
    <m/>
    <m/>
    <m/>
    <m/>
    <n v="0"/>
    <m/>
    <m/>
    <m/>
    <d v="2021-10-18T00:00:00"/>
    <d v="2021-10-18T00:00:00"/>
    <x v="7"/>
    <n v="1000"/>
    <n v="14100"/>
    <n v="139900.24"/>
    <n v="14106"/>
    <n v="1165.8399999999999"/>
    <n v="138734.39999999999"/>
    <n v="1165.8399999999999"/>
    <n v="70260"/>
    <n v="1165.8399999999999"/>
    <s v="P"/>
    <m/>
    <m/>
    <m/>
    <s v="Internal"/>
    <s v="A"/>
    <s v="SL"/>
    <m/>
    <s v="WCNX"/>
    <n v="0"/>
    <n v="0"/>
    <m/>
    <s v="Building"/>
    <n v="10"/>
    <n v="2021"/>
    <n v="2031"/>
    <n v="2031.8333333333333"/>
    <n v="1165.8353333333332"/>
    <n v="13990.023999999998"/>
    <n v="13990.023999999998"/>
    <n v="0"/>
    <n v="13990.023999999998"/>
    <n v="125910.21599999999"/>
    <m/>
  </r>
  <r>
    <n v="2183"/>
    <n v="263291"/>
    <s v="P"/>
    <s v="95 Gallon Recycle Containers"/>
    <n v="702"/>
    <m/>
    <m/>
    <m/>
    <n v="0"/>
    <s v="REHRIG PACIFIC COMPANY IN"/>
    <m/>
    <s v="Non-Container Audit"/>
    <d v="2021-10-15T00:00:00"/>
    <d v="2021-10-15T00:00:00"/>
    <x v="3"/>
    <n v="700"/>
    <n v="14050"/>
    <n v="40388.5"/>
    <n v="14056"/>
    <n v="961.63"/>
    <n v="39426.870000000003"/>
    <n v="961.63"/>
    <n v="54260"/>
    <n v="480.81"/>
    <s v="P"/>
    <m/>
    <n v="50200664"/>
    <m/>
    <s v="Internal"/>
    <s v="A"/>
    <s v="SL"/>
    <m/>
    <s v="WCNX"/>
    <n v="0"/>
    <n v="0"/>
    <m/>
    <s v="Recycling Carts"/>
    <n v="10"/>
    <n v="2021"/>
    <n v="2028"/>
    <n v="2028.8333333333333"/>
    <n v="480.8154761904762"/>
    <n v="5769.7857142857147"/>
    <n v="5769.7857142857147"/>
    <n v="0"/>
    <n v="5769.7857142857147"/>
    <n v="34618.714285714283"/>
    <m/>
  </r>
  <r>
    <n v="2183"/>
    <n v="263290"/>
    <s v="P"/>
    <s v="35 Gallon refuse Containers"/>
    <n v="1080"/>
    <m/>
    <m/>
    <m/>
    <n v="0"/>
    <s v="REHRIG PACIFIC COMPANY IN"/>
    <m/>
    <s v="Non-Container Audit"/>
    <d v="2021-10-15T00:00:00"/>
    <d v="2021-10-15T00:00:00"/>
    <x v="3"/>
    <n v="700"/>
    <n v="14050"/>
    <n v="47461.65"/>
    <n v="14056"/>
    <n v="1130.04"/>
    <n v="46331.61"/>
    <n v="1130.04"/>
    <n v="54260"/>
    <n v="565.02"/>
    <s v="P"/>
    <m/>
    <n v="50199769"/>
    <m/>
    <s v="Internal"/>
    <s v="A"/>
    <s v="SL"/>
    <m/>
    <s v="WCNX"/>
    <n v="0"/>
    <n v="0"/>
    <m/>
    <s v="MSW Carts"/>
    <n v="10"/>
    <n v="2021"/>
    <n v="2028"/>
    <n v="2028.8333333333333"/>
    <n v="565.01964285714291"/>
    <n v="6780.2357142857145"/>
    <n v="6780.2357142857145"/>
    <n v="0"/>
    <n v="6780.2357142857145"/>
    <n v="40681.414285714287"/>
    <m/>
  </r>
  <r>
    <n v="2183"/>
    <n v="261231"/>
    <s v="P"/>
    <s v="95 Gallon Plastic YardwasteTotes"/>
    <n v="702"/>
    <m/>
    <m/>
    <m/>
    <n v="0"/>
    <s v="REHRIG PACIFIC COMPANY IN"/>
    <m/>
    <s v="Non-Contianer Audit"/>
    <d v="2021-09-13T00:00:00"/>
    <d v="2021-09-13T00:00:00"/>
    <x v="3"/>
    <n v="700"/>
    <n v="14050"/>
    <n v="40388.49"/>
    <n v="14056"/>
    <n v="1442.45"/>
    <n v="38946.04"/>
    <n v="1442.45"/>
    <n v="54260"/>
    <n v="480.82"/>
    <s v="P"/>
    <m/>
    <n v="50192891"/>
    <m/>
    <s v="Internal"/>
    <s v="A"/>
    <s v="SL"/>
    <m/>
    <s v="WCNX"/>
    <n v="0"/>
    <n v="0"/>
    <m/>
    <s v="YW Carts"/>
    <n v="9"/>
    <n v="2021"/>
    <n v="2028"/>
    <n v="2028.75"/>
    <n v="480.81535714285707"/>
    <n v="5769.784285714285"/>
    <n v="5769.784285714285"/>
    <n v="0"/>
    <n v="5769.784285714285"/>
    <n v="34618.705714285716"/>
    <m/>
  </r>
  <r>
    <n v="2183"/>
    <n v="261230"/>
    <s v="P"/>
    <s v="65 Gallon Plastic Refuse Totes"/>
    <n v="936"/>
    <m/>
    <m/>
    <m/>
    <n v="0"/>
    <s v="REHRIG PACIFIC COMPANY IN"/>
    <m/>
    <s v="Non-Contianer Audit"/>
    <d v="2021-09-02T00:00:00"/>
    <d v="2021-09-02T00:00:00"/>
    <x v="3"/>
    <n v="700"/>
    <n v="14050"/>
    <n v="47461.66"/>
    <n v="14056"/>
    <n v="1695.06"/>
    <n v="45766.600000000006"/>
    <n v="1695.06"/>
    <n v="54260"/>
    <n v="565.02"/>
    <s v="P"/>
    <m/>
    <n v="50191497"/>
    <m/>
    <s v="Internal"/>
    <s v="A"/>
    <s v="SL"/>
    <m/>
    <s v="WCNX"/>
    <n v="0"/>
    <n v="0"/>
    <m/>
    <s v="MSW Carts"/>
    <n v="9"/>
    <n v="2021"/>
    <n v="2028"/>
    <n v="2028.75"/>
    <n v="565.01976190476194"/>
    <n v="6780.2371428571432"/>
    <n v="6780.2371428571432"/>
    <n v="0"/>
    <n v="6780.2371428571432"/>
    <n v="40681.422857142861"/>
    <m/>
  </r>
  <r>
    <n v="2183"/>
    <n v="260754"/>
    <n v="257730"/>
    <s v="New Office Building"/>
    <m/>
    <m/>
    <m/>
    <m/>
    <n v="0"/>
    <s v="MAYES TESTING ENGINEERS I"/>
    <m/>
    <m/>
    <d v="2021-08-31T00:00:00"/>
    <d v="2021-08-31T00:00:00"/>
    <x v="4"/>
    <n v="2000"/>
    <n v="14080"/>
    <n v="520"/>
    <n v="14086"/>
    <n v="6.5"/>
    <n v="513.5"/>
    <n v="6.5"/>
    <n v="57260"/>
    <n v="2.16"/>
    <s v="P"/>
    <m/>
    <s v="TF67689"/>
    <m/>
    <s v="Internal"/>
    <s v="A"/>
    <s v="SL"/>
    <m/>
    <s v="WCNX"/>
    <n v="0"/>
    <n v="0"/>
    <m/>
    <s v="Building"/>
    <n v="8"/>
    <n v="2021"/>
    <n v="2041"/>
    <n v="2041.6666666666667"/>
    <n v="2.1666666666666665"/>
    <n v="26"/>
    <n v="26"/>
    <n v="0"/>
    <n v="26"/>
    <n v="494"/>
    <m/>
  </r>
  <r>
    <n v="2183"/>
    <n v="260344"/>
    <n v="257730"/>
    <s v="New Office Building"/>
    <m/>
    <m/>
    <m/>
    <m/>
    <n v="0"/>
    <s v="MOUNTAIN CONSTRUCTION INC"/>
    <m/>
    <m/>
    <d v="2021-08-31T00:00:00"/>
    <d v="2021-08-31T00:00:00"/>
    <x v="4"/>
    <n v="2000"/>
    <n v="14080"/>
    <n v="237461.87"/>
    <n v="14086"/>
    <n v="2968.28"/>
    <n v="234493.59"/>
    <n v="2968.28"/>
    <n v="57260"/>
    <n v="989.43"/>
    <s v="P"/>
    <m/>
    <s v="20-8168-00 App No 13"/>
    <m/>
    <s v="Internal"/>
    <s v="A"/>
    <s v="SL"/>
    <m/>
    <s v="WCNX"/>
    <n v="0"/>
    <n v="0"/>
    <m/>
    <s v="Building"/>
    <n v="8"/>
    <n v="2021"/>
    <n v="2041"/>
    <n v="2041.6666666666667"/>
    <n v="989.42445833333329"/>
    <n v="11873.093499999999"/>
    <n v="11873.093499999999"/>
    <n v="0"/>
    <n v="11873.093499999999"/>
    <n v="225588.77650000001"/>
    <m/>
  </r>
  <r>
    <n v="2183"/>
    <n v="260210"/>
    <n v="257730"/>
    <s v="New Office Building"/>
    <m/>
    <m/>
    <m/>
    <m/>
    <n v="0"/>
    <m/>
    <m/>
    <m/>
    <d v="2021-08-31T00:00:00"/>
    <d v="2021-08-31T00:00:00"/>
    <x v="8"/>
    <n v="2000"/>
    <n v="14080"/>
    <n v="2394.5"/>
    <n v="14086"/>
    <n v="29.93"/>
    <n v="2364.5700000000002"/>
    <n v="29.93"/>
    <n v="57260"/>
    <n v="9.9700000000000006"/>
    <s v="P"/>
    <m/>
    <m/>
    <m/>
    <s v="Internal"/>
    <s v="A"/>
    <s v="SL"/>
    <m/>
    <s v="WCNX"/>
    <n v="0"/>
    <n v="0"/>
    <m/>
    <s v="Building"/>
    <n v="8"/>
    <n v="2021"/>
    <n v="2041"/>
    <n v="2041.6666666666667"/>
    <n v="9.9770833333333329"/>
    <n v="119.72499999999999"/>
    <n v="119.72499999999999"/>
    <n v="0"/>
    <n v="119.72499999999999"/>
    <n v="2274.7750000000001"/>
    <m/>
  </r>
  <r>
    <n v="2183"/>
    <n v="260019"/>
    <s v="P"/>
    <s v="6Yd Metal FEL Commercial Containers"/>
    <n v="13"/>
    <m/>
    <m/>
    <m/>
    <n v="0"/>
    <s v="WASTEQUIP LLC"/>
    <m/>
    <s v="6 YD FEL Container"/>
    <d v="2021-08-23T00:00:00"/>
    <d v="2021-08-23T00:00:00"/>
    <x v="9"/>
    <n v="1200"/>
    <n v="14050"/>
    <n v="15080.79"/>
    <n v="14056"/>
    <n v="314.18"/>
    <n v="14766.61"/>
    <n v="314.18"/>
    <n v="54260"/>
    <n v="104.72"/>
    <s v="P"/>
    <m/>
    <s v="20INV000023168"/>
    <m/>
    <s v="Internal"/>
    <s v="A"/>
    <s v="SL"/>
    <m/>
    <s v="WCNX"/>
    <n v="0"/>
    <n v="0"/>
    <m/>
    <s v="MSW/Recycle Containers"/>
    <n v="8"/>
    <n v="2021"/>
    <n v="2033"/>
    <n v="2033.6666666666667"/>
    <n v="104.72770833333334"/>
    <n v="1256.7325000000001"/>
    <n v="1256.7325000000001"/>
    <n v="0"/>
    <n v="1256.7325000000001"/>
    <n v="13824.057500000001"/>
    <m/>
  </r>
  <r>
    <n v="2183"/>
    <n v="260018"/>
    <s v="P"/>
    <s v="6Yd Metal FEL Commercial Containers"/>
    <n v="2"/>
    <m/>
    <m/>
    <m/>
    <n v="0"/>
    <s v="WASTEQUIP LLC"/>
    <m/>
    <s v="6 YD FEL Container"/>
    <d v="2021-08-19T00:00:00"/>
    <d v="2021-08-19T00:00:00"/>
    <x v="9"/>
    <n v="1200"/>
    <n v="14050"/>
    <n v="2249.0700000000002"/>
    <n v="14056"/>
    <n v="46.86"/>
    <n v="2202.21"/>
    <n v="46.86"/>
    <n v="54260"/>
    <n v="15.62"/>
    <s v="P"/>
    <m/>
    <s v="20INV000023020"/>
    <m/>
    <s v="Internal"/>
    <s v="A"/>
    <s v="SL"/>
    <m/>
    <s v="WCNX"/>
    <n v="0"/>
    <n v="0"/>
    <m/>
    <s v="MSW/Recycle Containers"/>
    <n v="8"/>
    <n v="2021"/>
    <n v="2033"/>
    <n v="2033.6666666666667"/>
    <n v="15.618541666666667"/>
    <n v="187.42250000000001"/>
    <n v="187.42250000000001"/>
    <n v="0"/>
    <n v="187.42250000000001"/>
    <n v="2061.6475"/>
    <m/>
  </r>
  <r>
    <n v="2183"/>
    <n v="260017"/>
    <s v="P"/>
    <s v="5Yd Metal FEL Commercial Containers"/>
    <n v="13"/>
    <m/>
    <m/>
    <m/>
    <n v="0"/>
    <s v="WASTEQUIP LLC"/>
    <m/>
    <s v="5 YD FEL Container"/>
    <d v="2021-08-23T00:00:00"/>
    <d v="2021-08-23T00:00:00"/>
    <x v="9"/>
    <n v="1200"/>
    <n v="14050"/>
    <n v="14938.59"/>
    <n v="14056"/>
    <n v="311.22000000000003"/>
    <n v="14627.37"/>
    <n v="311.22000000000003"/>
    <n v="54260"/>
    <n v="103.74"/>
    <s v="P"/>
    <m/>
    <s v="20INV000023168"/>
    <m/>
    <s v="Internal"/>
    <s v="A"/>
    <s v="SL"/>
    <m/>
    <s v="WCNX"/>
    <n v="0"/>
    <n v="0"/>
    <m/>
    <s v="MSW/Recycle Containers"/>
    <n v="8"/>
    <n v="2021"/>
    <n v="2033"/>
    <n v="2033.6666666666667"/>
    <n v="103.74020833333333"/>
    <n v="1244.8824999999999"/>
    <n v="1244.8824999999999"/>
    <n v="0"/>
    <n v="1244.8824999999999"/>
    <n v="13693.7075"/>
    <m/>
  </r>
  <r>
    <n v="2183"/>
    <n v="260016"/>
    <s v="P"/>
    <s v="5Yd Metal FEL Commercial Containers"/>
    <n v="7"/>
    <m/>
    <m/>
    <m/>
    <n v="0"/>
    <s v="WASTEQUIP LLC"/>
    <m/>
    <s v="5 YD FEL Container"/>
    <d v="2021-08-19T00:00:00"/>
    <d v="2021-08-19T00:00:00"/>
    <x v="9"/>
    <n v="1200"/>
    <n v="14050"/>
    <n v="7795.15"/>
    <n v="14056"/>
    <n v="162.4"/>
    <n v="7632.75"/>
    <n v="162.4"/>
    <n v="54260"/>
    <n v="54.13"/>
    <s v="P"/>
    <m/>
    <s v="20INV000023020"/>
    <m/>
    <s v="Internal"/>
    <s v="A"/>
    <s v="SL"/>
    <m/>
    <s v="WCNX"/>
    <n v="0"/>
    <n v="0"/>
    <m/>
    <s v="MSW/Recycle Containers"/>
    <n v="8"/>
    <n v="2021"/>
    <n v="2033"/>
    <n v="2033.6666666666667"/>
    <n v="54.132986111111109"/>
    <n v="649.5958333333333"/>
    <n v="649.5958333333333"/>
    <n v="0"/>
    <n v="649.5958333333333"/>
    <n v="7145.5541666666668"/>
    <m/>
  </r>
  <r>
    <n v="2183"/>
    <n v="260015"/>
    <s v="P"/>
    <s v="3Yd Metal FEL Commercial Containers"/>
    <n v="10"/>
    <m/>
    <m/>
    <m/>
    <n v="0"/>
    <s v="WASTEQUIP LLC"/>
    <m/>
    <s v="3 YD FEL Container"/>
    <d v="2021-08-19T00:00:00"/>
    <d v="2021-08-19T00:00:00"/>
    <x v="9"/>
    <n v="1200"/>
    <n v="14050"/>
    <n v="7328.81"/>
    <n v="14056"/>
    <n v="152.69"/>
    <n v="7176.1200000000008"/>
    <n v="152.69"/>
    <n v="54260"/>
    <n v="50.9"/>
    <s v="P"/>
    <m/>
    <s v="20INV000023020"/>
    <m/>
    <s v="Internal"/>
    <s v="A"/>
    <s v="SL"/>
    <m/>
    <s v="WCNX"/>
    <n v="0"/>
    <n v="0"/>
    <m/>
    <s v="MSW/Recycle Containers"/>
    <n v="8"/>
    <n v="2021"/>
    <n v="2033"/>
    <n v="2033.6666666666667"/>
    <n v="50.894513888888895"/>
    <n v="610.73416666666674"/>
    <n v="610.73416666666674"/>
    <n v="0"/>
    <n v="610.73416666666674"/>
    <n v="6718.0758333333333"/>
    <m/>
  </r>
  <r>
    <n v="2183"/>
    <n v="260014"/>
    <s v="P"/>
    <s v="2Yd Metal FEL Commercial Containers"/>
    <n v="10"/>
    <m/>
    <m/>
    <m/>
    <n v="0"/>
    <s v="WASTEQUIP LLC"/>
    <m/>
    <s v="2 YD FEL Container"/>
    <d v="2021-08-19T00:00:00"/>
    <d v="2021-08-19T00:00:00"/>
    <x v="9"/>
    <n v="1200"/>
    <n v="14050"/>
    <n v="6902.15"/>
    <n v="14056"/>
    <n v="143.80000000000001"/>
    <n v="6758.3499999999995"/>
    <n v="143.80000000000001"/>
    <n v="54260"/>
    <n v="47.93"/>
    <s v="P"/>
    <m/>
    <s v="20INV000023020"/>
    <m/>
    <s v="Internal"/>
    <s v="A"/>
    <s v="SL"/>
    <m/>
    <s v="WCNX"/>
    <n v="0"/>
    <n v="0"/>
    <m/>
    <s v="MSW/Recycle Containers"/>
    <n v="8"/>
    <n v="2021"/>
    <n v="2033"/>
    <n v="2033.6666666666667"/>
    <n v="47.931597222222223"/>
    <n v="575.17916666666667"/>
    <n v="575.17916666666667"/>
    <n v="0"/>
    <n v="575.17916666666667"/>
    <n v="6326.9708333333328"/>
    <m/>
  </r>
  <r>
    <n v="2183"/>
    <n v="260013"/>
    <s v="P"/>
    <s v="1.5Yd Metal FEL Commercial Containers"/>
    <n v="15"/>
    <m/>
    <m/>
    <m/>
    <n v="0"/>
    <s v="WASTEQUIP LLC"/>
    <m/>
    <s v="1.5 YD FEL Container"/>
    <d v="2021-08-19T00:00:00"/>
    <d v="2021-08-19T00:00:00"/>
    <x v="9"/>
    <n v="1200"/>
    <n v="14050"/>
    <n v="9893.7199999999993"/>
    <n v="14056"/>
    <n v="206.12"/>
    <n v="9687.5999999999985"/>
    <n v="206.12"/>
    <n v="54260"/>
    <n v="68.7"/>
    <s v="P"/>
    <m/>
    <s v="20INV000023020"/>
    <m/>
    <s v="Internal"/>
    <s v="A"/>
    <s v="SL"/>
    <m/>
    <s v="WCNX"/>
    <n v="0"/>
    <n v="0"/>
    <m/>
    <s v="MSW/Recycle Containers"/>
    <n v="8"/>
    <n v="2021"/>
    <n v="2033"/>
    <n v="2033.6666666666667"/>
    <n v="68.706388888888881"/>
    <n v="824.47666666666657"/>
    <n v="824.47666666666657"/>
    <n v="0"/>
    <n v="824.47666666666657"/>
    <n v="9069.243333333332"/>
    <m/>
  </r>
  <r>
    <n v="2183"/>
    <n v="259355"/>
    <n v="255410"/>
    <s v="Decals for Truck 3718"/>
    <m/>
    <m/>
    <m/>
    <m/>
    <n v="2022"/>
    <s v="Larsen Sign Co."/>
    <m/>
    <s v="Non-Rolling Stock"/>
    <d v="2021-08-04T00:00:00"/>
    <d v="2021-08-04T00:00:00"/>
    <x v="10"/>
    <n v="1000"/>
    <n v="14040"/>
    <n v="957.25"/>
    <n v="14046"/>
    <n v="31.91"/>
    <n v="925.34"/>
    <n v="31.91"/>
    <n v="51260"/>
    <n v="7.98"/>
    <s v="P"/>
    <m/>
    <n v="29093"/>
    <m/>
    <s v="Internal"/>
    <s v="A"/>
    <s v="SL"/>
    <m/>
    <s v="WCNX"/>
    <n v="0"/>
    <n v="0"/>
    <n v="3718"/>
    <s v="Resi"/>
    <n v="8"/>
    <n v="2021"/>
    <n v="2031"/>
    <n v="2031.6666666666667"/>
    <n v="7.9770833333333329"/>
    <n v="95.724999999999994"/>
    <n v="95.724999999999994"/>
    <n v="0"/>
    <n v="95.724999999999994"/>
    <n v="861.52499999999998"/>
    <m/>
  </r>
  <r>
    <n v="2183"/>
    <n v="259331"/>
    <n v="255410"/>
    <s v="License for Truck 3718"/>
    <m/>
    <m/>
    <m/>
    <m/>
    <n v="0"/>
    <s v="WA State DOL"/>
    <m/>
    <s v="Non-Rolling Stock"/>
    <d v="2021-08-24T00:00:00"/>
    <d v="2021-08-24T00:00:00"/>
    <x v="10"/>
    <n v="1000"/>
    <n v="14040"/>
    <n v="389.92"/>
    <n v="14046"/>
    <n v="9.75"/>
    <n v="380.17"/>
    <n v="9.75"/>
    <n v="51260"/>
    <n v="3.25"/>
    <s v="P"/>
    <m/>
    <s v="C32037X"/>
    <m/>
    <s v="Internal"/>
    <s v="A"/>
    <s v="SL"/>
    <m/>
    <s v="WCNX"/>
    <n v="0"/>
    <n v="0"/>
    <n v="3718"/>
    <s v="Resi"/>
    <n v="8"/>
    <n v="2021"/>
    <n v="2031"/>
    <n v="2031.6666666666667"/>
    <n v="3.2493333333333339"/>
    <n v="38.992000000000004"/>
    <n v="38.992000000000004"/>
    <n v="0"/>
    <n v="38.992000000000004"/>
    <n v="350.928"/>
    <m/>
  </r>
  <r>
    <n v="2183"/>
    <n v="259256"/>
    <n v="257730"/>
    <s v="New Office Building"/>
    <m/>
    <m/>
    <m/>
    <m/>
    <n v="0"/>
    <s v="PUGET SOUND ENERGY"/>
    <m/>
    <m/>
    <d v="2021-08-31T00:00:00"/>
    <d v="2021-08-31T00:00:00"/>
    <x v="4"/>
    <n v="2000"/>
    <n v="14080"/>
    <n v="975.05"/>
    <n v="14086"/>
    <n v="12.17"/>
    <n v="962.88"/>
    <n v="12.17"/>
    <n v="57260"/>
    <n v="4.05"/>
    <s v="P"/>
    <m/>
    <n v="90722768"/>
    <m/>
    <s v="Internal"/>
    <s v="A"/>
    <s v="SL"/>
    <m/>
    <s v="WCNX"/>
    <n v="0"/>
    <n v="0"/>
    <m/>
    <s v="Building"/>
    <n v="8"/>
    <n v="2021"/>
    <n v="2041"/>
    <n v="2041.6666666666667"/>
    <n v="4.0627083333333331"/>
    <n v="48.752499999999998"/>
    <n v="48.752499999999998"/>
    <n v="0"/>
    <n v="48.752499999999998"/>
    <n v="926.2974999999999"/>
    <m/>
  </r>
  <r>
    <n v="2183"/>
    <n v="259223"/>
    <n v="251931"/>
    <s v="2021 Peterbilt ASL Truck - Warranties - COVID 2183-20-0023"/>
    <m/>
    <m/>
    <m/>
    <m/>
    <n v="0"/>
    <s v="WESTERN PETERBILT LLC"/>
    <m/>
    <s v="Non-Rolling Stock"/>
    <d v="2021-05-01T00:00:00"/>
    <d v="2021-05-01T00:00:00"/>
    <x v="11"/>
    <n v="1000"/>
    <n v="14040"/>
    <n v="4187.6000000000004"/>
    <n v="14046"/>
    <n v="244.27"/>
    <n v="3943.3300000000004"/>
    <n v="244.27"/>
    <n v="51260"/>
    <n v="34.89"/>
    <s v="P"/>
    <m/>
    <s v="PMF110112-M1W"/>
    <m/>
    <s v="Internal"/>
    <s v="A"/>
    <s v="SL"/>
    <m/>
    <s v="WCNX"/>
    <n v="0"/>
    <n v="0"/>
    <n v="3705"/>
    <s v="Resi"/>
    <n v="5"/>
    <n v="2021"/>
    <n v="2031"/>
    <n v="2031.4166666666667"/>
    <n v="34.896666666666668"/>
    <n v="418.76"/>
    <n v="418.76"/>
    <n v="0"/>
    <n v="418.76"/>
    <n v="3768.84"/>
    <m/>
  </r>
  <r>
    <n v="2183"/>
    <n v="259140"/>
    <n v="257730"/>
    <s v="New Office Building"/>
    <m/>
    <m/>
    <m/>
    <m/>
    <n v="0"/>
    <s v="SITTS &amp; HILL ENGINEERS IN"/>
    <m/>
    <m/>
    <d v="2021-08-31T00:00:00"/>
    <d v="2021-08-31T00:00:00"/>
    <x v="4"/>
    <n v="2000"/>
    <n v="14080"/>
    <n v="2893.75"/>
    <n v="14086"/>
    <n v="36.17"/>
    <n v="2857.58"/>
    <n v="36.17"/>
    <n v="57260"/>
    <n v="12.05"/>
    <s v="P"/>
    <m/>
    <s v="17974-28"/>
    <m/>
    <s v="Internal"/>
    <s v="A"/>
    <s v="SL"/>
    <m/>
    <s v="WCNX"/>
    <n v="0"/>
    <n v="0"/>
    <m/>
    <s v="Building"/>
    <n v="8"/>
    <n v="2021"/>
    <n v="2041"/>
    <n v="2041.6666666666667"/>
    <n v="12.057291666666666"/>
    <n v="144.6875"/>
    <n v="144.6875"/>
    <n v="0"/>
    <n v="144.6875"/>
    <n v="2749.0625"/>
    <m/>
  </r>
  <r>
    <n v="2183"/>
    <n v="259121"/>
    <n v="251931"/>
    <s v="Truck 3705 Radio"/>
    <m/>
    <m/>
    <m/>
    <m/>
    <n v="0"/>
    <s v="WHISLER COMMUNICATIONS"/>
    <m/>
    <s v="Non-Rolling Stock"/>
    <d v="2021-05-01T00:00:00"/>
    <d v="2021-05-01T00:00:00"/>
    <x v="11"/>
    <n v="500"/>
    <n v="14040"/>
    <n v="792.27"/>
    <n v="14046"/>
    <n v="92.44"/>
    <n v="699.82999999999993"/>
    <n v="92.44"/>
    <n v="51260"/>
    <n v="13.21"/>
    <s v="P"/>
    <m/>
    <n v="70966"/>
    <m/>
    <s v="Internal"/>
    <s v="A"/>
    <s v="SL"/>
    <m/>
    <s v="WCNX"/>
    <n v="0"/>
    <n v="0"/>
    <n v="3705"/>
    <s v="Resi"/>
    <n v="5"/>
    <n v="2021"/>
    <n v="2026"/>
    <n v="2026.4166666666667"/>
    <n v="13.204500000000001"/>
    <n v="158.45400000000001"/>
    <n v="158.45400000000001"/>
    <n v="0"/>
    <n v="158.45400000000001"/>
    <n v="633.81600000000003"/>
    <m/>
  </r>
  <r>
    <n v="2183"/>
    <n v="259120"/>
    <n v="249940"/>
    <s v="Truck 3704 Radio"/>
    <m/>
    <m/>
    <m/>
    <m/>
    <n v="0"/>
    <s v="WHISLER COMMUNICATIONS"/>
    <m/>
    <s v="Non-Rolling Stock"/>
    <d v="2021-04-02T00:00:00"/>
    <d v="2021-04-02T00:00:00"/>
    <x v="12"/>
    <n v="500"/>
    <n v="14040"/>
    <n v="792.27"/>
    <n v="14046"/>
    <n v="105.64"/>
    <n v="686.63"/>
    <n v="105.64"/>
    <n v="51260"/>
    <n v="13.21"/>
    <s v="P"/>
    <m/>
    <n v="70965"/>
    <m/>
    <s v="Internal"/>
    <s v="A"/>
    <s v="SL"/>
    <m/>
    <s v="WCNX"/>
    <n v="0"/>
    <n v="0"/>
    <n v="3704"/>
    <s v="Resi"/>
    <n v="4"/>
    <n v="2021"/>
    <n v="2026"/>
    <n v="2026.3333333333333"/>
    <n v="13.204500000000001"/>
    <n v="158.45400000000001"/>
    <n v="158.45400000000001"/>
    <n v="0"/>
    <n v="158.45400000000001"/>
    <n v="633.81600000000003"/>
    <m/>
  </r>
  <r>
    <n v="2183"/>
    <n v="258547"/>
    <n v="251931"/>
    <s v="Truck 3705 License"/>
    <m/>
    <m/>
    <m/>
    <m/>
    <n v="0"/>
    <m/>
    <m/>
    <s v="Non-Rolling Stock"/>
    <d v="2021-05-01T00:00:00"/>
    <d v="2021-05-01T00:00:00"/>
    <x v="13"/>
    <n v="1000"/>
    <n v="14040"/>
    <n v="471.74"/>
    <n v="14046"/>
    <n v="27.52"/>
    <n v="444.22"/>
    <n v="27.52"/>
    <n v="51260"/>
    <n v="3.93"/>
    <s v="P"/>
    <m/>
    <m/>
    <m/>
    <s v="Internal"/>
    <s v="A"/>
    <s v="SL"/>
    <m/>
    <s v="WCNX"/>
    <n v="0"/>
    <n v="0"/>
    <n v="3705"/>
    <s v="Resi"/>
    <n v="5"/>
    <n v="2021"/>
    <n v="2031"/>
    <n v="2031.4166666666667"/>
    <n v="3.9311666666666665"/>
    <n v="47.173999999999999"/>
    <n v="47.173999999999999"/>
    <n v="0"/>
    <n v="47.173999999999999"/>
    <n v="424.56600000000003"/>
    <m/>
  </r>
  <r>
    <n v="2183"/>
    <n v="257735"/>
    <s v="P"/>
    <s v="New Pacific Office building"/>
    <m/>
    <m/>
    <m/>
    <m/>
    <n v="0"/>
    <m/>
    <m/>
    <m/>
    <d v="2021-08-31T00:00:00"/>
    <d v="2021-08-31T00:00:00"/>
    <x v="14"/>
    <n v="2000"/>
    <n v="14080"/>
    <n v="82386.27"/>
    <n v="14086"/>
    <n v="1029.83"/>
    <n v="81356.44"/>
    <n v="1029.83"/>
    <n v="57260"/>
    <n v="343.27"/>
    <s v="P"/>
    <m/>
    <m/>
    <m/>
    <s v="Internal"/>
    <s v="A"/>
    <s v="SL"/>
    <m/>
    <s v="WCNX"/>
    <n v="0"/>
    <n v="0"/>
    <m/>
    <s v="Building"/>
    <n v="8"/>
    <n v="2021"/>
    <n v="2041"/>
    <n v="2041.6666666666667"/>
    <n v="343.27612500000004"/>
    <n v="4119.3135000000002"/>
    <n v="4119.3135000000002"/>
    <n v="0"/>
    <n v="4119.3135000000002"/>
    <n v="78266.9565"/>
    <m/>
  </r>
  <r>
    <n v="2183"/>
    <n v="257734"/>
    <s v="P"/>
    <s v="New Pacific Office building"/>
    <m/>
    <m/>
    <m/>
    <m/>
    <n v="0"/>
    <m/>
    <m/>
    <m/>
    <d v="2021-08-31T00:00:00"/>
    <d v="2021-08-31T00:00:00"/>
    <x v="15"/>
    <n v="2000"/>
    <n v="14080"/>
    <n v="72541.67"/>
    <n v="14086"/>
    <n v="906.77"/>
    <n v="71634.899999999994"/>
    <n v="906.77"/>
    <n v="57260"/>
    <n v="302.25"/>
    <s v="P"/>
    <m/>
    <m/>
    <m/>
    <s v="Internal"/>
    <s v="A"/>
    <s v="SL"/>
    <m/>
    <s v="WCNX"/>
    <n v="0"/>
    <n v="0"/>
    <m/>
    <s v="Building"/>
    <n v="8"/>
    <n v="2021"/>
    <n v="2041"/>
    <n v="2041.6666666666667"/>
    <n v="302.25695833333333"/>
    <n v="3627.0834999999997"/>
    <n v="3627.0834999999997"/>
    <n v="0"/>
    <n v="3627.0834999999997"/>
    <n v="68914.586500000005"/>
    <m/>
  </r>
  <r>
    <n v="2183"/>
    <n v="257733"/>
    <s v="P"/>
    <s v="New Office Building"/>
    <m/>
    <m/>
    <m/>
    <m/>
    <n v="0"/>
    <m/>
    <m/>
    <m/>
    <d v="2021-08-31T00:00:00"/>
    <d v="2021-08-31T00:00:00"/>
    <x v="16"/>
    <n v="2000"/>
    <n v="14080"/>
    <n v="20782.810000000001"/>
    <n v="14086"/>
    <n v="259.79000000000002"/>
    <n v="20523.02"/>
    <n v="259.79000000000002"/>
    <n v="57260"/>
    <n v="86.6"/>
    <s v="P"/>
    <m/>
    <m/>
    <m/>
    <s v="Internal"/>
    <s v="A"/>
    <s v="SL"/>
    <m/>
    <s v="WCNX"/>
    <n v="0"/>
    <n v="0"/>
    <m/>
    <s v="Building"/>
    <n v="8"/>
    <n v="2021"/>
    <n v="2041"/>
    <n v="2041.6666666666667"/>
    <n v="86.59504166666666"/>
    <n v="1039.1405"/>
    <n v="1039.1405"/>
    <n v="0"/>
    <n v="1039.1405"/>
    <n v="19743.6695"/>
    <m/>
  </r>
  <r>
    <n v="2183"/>
    <n v="257732"/>
    <s v="P"/>
    <s v="New Office Permitting"/>
    <m/>
    <m/>
    <m/>
    <m/>
    <n v="0"/>
    <m/>
    <m/>
    <m/>
    <d v="2021-08-31T00:00:00"/>
    <d v="2021-08-31T00:00:00"/>
    <x v="17"/>
    <n v="2000"/>
    <n v="14080"/>
    <n v="43504.53"/>
    <n v="14086"/>
    <n v="543.80999999999995"/>
    <n v="42960.72"/>
    <n v="543.80999999999995"/>
    <n v="57260"/>
    <n v="181.27"/>
    <s v="P"/>
    <m/>
    <m/>
    <m/>
    <s v="Internal"/>
    <s v="A"/>
    <s v="SL"/>
    <m/>
    <s v="WCNX"/>
    <n v="0"/>
    <n v="0"/>
    <m/>
    <s v="Building"/>
    <n v="8"/>
    <n v="2021"/>
    <n v="2041"/>
    <n v="2041.6666666666667"/>
    <n v="181.26887499999998"/>
    <n v="2175.2264999999998"/>
    <n v="2175.2264999999998"/>
    <n v="0"/>
    <n v="2175.2264999999998"/>
    <n v="41329.303500000002"/>
    <m/>
  </r>
  <r>
    <n v="2183"/>
    <n v="257731"/>
    <s v="P"/>
    <s v="New Office Building"/>
    <m/>
    <m/>
    <m/>
    <m/>
    <n v="0"/>
    <m/>
    <m/>
    <m/>
    <d v="2021-08-31T00:00:00"/>
    <d v="2021-08-31T00:00:00"/>
    <x v="18"/>
    <n v="2000"/>
    <n v="14080"/>
    <n v="612645.63"/>
    <n v="14086"/>
    <n v="7658.07"/>
    <n v="604987.56000000006"/>
    <n v="7658.07"/>
    <n v="57260"/>
    <n v="2552.69"/>
    <s v="P"/>
    <m/>
    <m/>
    <m/>
    <s v="Internal"/>
    <s v="A"/>
    <s v="SL"/>
    <m/>
    <s v="WCNX"/>
    <n v="0"/>
    <n v="0"/>
    <m/>
    <s v="Building"/>
    <n v="8"/>
    <n v="2021"/>
    <n v="2041"/>
    <n v="2041.6666666666667"/>
    <n v="2552.6901250000001"/>
    <n v="30632.281500000001"/>
    <n v="30632.281500000001"/>
    <n v="0"/>
    <n v="30632.281500000001"/>
    <n v="582013.34849999996"/>
    <m/>
  </r>
  <r>
    <n v="2183"/>
    <n v="257730"/>
    <s v="P"/>
    <s v="New Office Building"/>
    <m/>
    <m/>
    <m/>
    <m/>
    <n v="0"/>
    <m/>
    <m/>
    <m/>
    <d v="2021-08-31T00:00:00"/>
    <d v="2021-08-31T00:00:00"/>
    <x v="8"/>
    <n v="2000"/>
    <n v="14080"/>
    <n v="2795091.88"/>
    <n v="14086"/>
    <n v="34938.65"/>
    <n v="2760153.23"/>
    <n v="34938.65"/>
    <n v="57260"/>
    <n v="11646.21"/>
    <s v="P"/>
    <m/>
    <m/>
    <m/>
    <s v="Internal"/>
    <s v="A"/>
    <s v="SL"/>
    <m/>
    <s v="WCNX"/>
    <n v="0"/>
    <n v="0"/>
    <m/>
    <s v="Building"/>
    <n v="8"/>
    <n v="2021"/>
    <n v="2041"/>
    <n v="2041.6666666666667"/>
    <n v="11646.216166666665"/>
    <n v="139754.59399999998"/>
    <n v="139754.59399999998"/>
    <n v="0"/>
    <n v="139754.59399999998"/>
    <n v="2655337.2859999998"/>
    <m/>
  </r>
  <r>
    <n v="2183"/>
    <n v="257146"/>
    <s v="P"/>
    <s v="1 Yard REL Containers"/>
    <n v="57"/>
    <m/>
    <m/>
    <m/>
    <n v="0"/>
    <m/>
    <m/>
    <s v="1 YD FEL/REL/SL Metal"/>
    <d v="2001-11-01T00:00:00"/>
    <d v="2001-11-01T00:00:00"/>
    <x v="19"/>
    <n v="600"/>
    <n v="14050"/>
    <n v="1136.3699999999999"/>
    <n v="14056"/>
    <n v="1136.3699999999999"/>
    <n v="0"/>
    <n v="0"/>
    <n v="54260"/>
    <n v="0"/>
    <s v="A"/>
    <s v="Island"/>
    <m/>
    <m/>
    <s v="Internal"/>
    <s v="A"/>
    <s v="SL"/>
    <d v="2021-07-31T00:00:00"/>
    <s v="WCNX"/>
    <n v="0"/>
    <n v="1136.3699999999999"/>
    <m/>
    <s v="Old"/>
    <n v="11"/>
    <n v="2001"/>
    <n v="2007"/>
    <n v="2007.9166666666667"/>
    <n v="15.782916666666665"/>
    <n v="189.39499999999998"/>
    <n v="0"/>
    <n v="1136.3699999999999"/>
    <n v="1136.3699999999999"/>
    <n v="0"/>
    <m/>
  </r>
  <r>
    <n v="2183"/>
    <n v="257145"/>
    <s v="P"/>
    <s v="1.5YD FEL"/>
    <n v="1"/>
    <m/>
    <n v="0"/>
    <m/>
    <n v="0"/>
    <s v="CAPITAL INDUSTRIES, INC."/>
    <m/>
    <s v="1.5 YD FEL/REL/SL Metal"/>
    <d v="2006-08-24T00:00:00"/>
    <d v="2006-08-24T00:00:00"/>
    <x v="20"/>
    <n v="1200"/>
    <n v="14050"/>
    <n v="451.52"/>
    <n v="14056"/>
    <n v="451.52"/>
    <n v="0"/>
    <n v="0"/>
    <n v="54260"/>
    <n v="0"/>
    <s v="P"/>
    <m/>
    <n v="14574"/>
    <m/>
    <s v="Internal"/>
    <s v="A"/>
    <s v="SL"/>
    <d v="2021-07-31T00:00:00"/>
    <s v="WCNX"/>
    <n v="0"/>
    <n v="451.52"/>
    <m/>
    <s v="Old"/>
    <n v="8"/>
    <n v="2006"/>
    <n v="2018"/>
    <n v="2018.6666666666667"/>
    <n v="3.1355555555555554"/>
    <n v="37.626666666666665"/>
    <n v="0"/>
    <n v="451.52"/>
    <n v="451.52"/>
    <n v="0"/>
    <m/>
  </r>
  <r>
    <n v="2183"/>
    <n v="257144"/>
    <s v="P"/>
    <s v="2 yard rear load containers"/>
    <n v="3"/>
    <m/>
    <n v="0"/>
    <m/>
    <n v="0"/>
    <s v="CAPITAL INDUSTRIES, INC."/>
    <m/>
    <s v="2 YD FEL/REL/SL Metal"/>
    <d v="2007-08-16T00:00:00"/>
    <d v="2007-08-16T00:00:00"/>
    <x v="21"/>
    <n v="1200"/>
    <n v="14050"/>
    <n v="1421.15"/>
    <n v="14056"/>
    <n v="1421.15"/>
    <n v="0"/>
    <n v="0"/>
    <n v="54260"/>
    <n v="0"/>
    <s v="P"/>
    <m/>
    <n v="25786"/>
    <m/>
    <s v="Internal"/>
    <s v="A"/>
    <s v="SL"/>
    <d v="2021-07-31T00:00:00"/>
    <s v="WCNX"/>
    <n v="0"/>
    <n v="1421.15"/>
    <m/>
    <s v="Old"/>
    <n v="8"/>
    <n v="2007"/>
    <n v="2019"/>
    <n v="2019.6666666666667"/>
    <n v="9.8690972222222229"/>
    <n v="118.42916666666667"/>
    <n v="0"/>
    <n v="1421.15"/>
    <n v="1421.15"/>
    <n v="0"/>
    <m/>
  </r>
  <r>
    <n v="2183"/>
    <n v="257143"/>
    <s v="P"/>
    <s v="4YD Containers"/>
    <n v="11"/>
    <m/>
    <m/>
    <m/>
    <n v="0"/>
    <m/>
    <m/>
    <s v="4 YD FEL/REL/SL Metal"/>
    <d v="2008-11-03T00:00:00"/>
    <d v="2008-11-03T00:00:00"/>
    <x v="19"/>
    <n v="700"/>
    <n v="14050"/>
    <n v="528"/>
    <n v="14056"/>
    <n v="528"/>
    <n v="0"/>
    <n v="0"/>
    <n v="54260"/>
    <n v="0"/>
    <s v="A"/>
    <s v="LeMay Enterprises"/>
    <m/>
    <m/>
    <s v="Internal"/>
    <s v="A"/>
    <s v="SL"/>
    <d v="2021-07-31T00:00:00"/>
    <s v="WCNX"/>
    <n v="0"/>
    <n v="528"/>
    <m/>
    <s v="Old"/>
    <n v="11"/>
    <n v="2008"/>
    <n v="2015"/>
    <n v="2015.9166666666667"/>
    <n v="6.2857142857142856"/>
    <n v="75.428571428571431"/>
    <n v="0"/>
    <n v="528"/>
    <n v="528"/>
    <n v="0"/>
    <m/>
  </r>
  <r>
    <n v="2183"/>
    <n v="257142"/>
    <s v="P"/>
    <s v="1.5 Yard Commercial Containers"/>
    <n v="37"/>
    <m/>
    <m/>
    <m/>
    <n v="0"/>
    <m/>
    <m/>
    <s v="1.5 YD FEL/REL/SL Metal"/>
    <d v="2008-11-03T00:00:00"/>
    <d v="2008-11-03T00:00:00"/>
    <x v="19"/>
    <n v="1200"/>
    <n v="14050"/>
    <n v="4347.5"/>
    <n v="14056"/>
    <n v="4347.5"/>
    <n v="0"/>
    <n v="0"/>
    <n v="54260"/>
    <n v="0"/>
    <s v="A"/>
    <s v="LeMay Enterprises"/>
    <m/>
    <m/>
    <s v="Internal"/>
    <s v="A"/>
    <s v="SL"/>
    <d v="2021-07-31T00:00:00"/>
    <s v="WCNX"/>
    <n v="0"/>
    <n v="4347.5"/>
    <m/>
    <s v="Old"/>
    <n v="11"/>
    <n v="2008"/>
    <n v="2020"/>
    <n v="2020.9166666666667"/>
    <n v="30.190972222222225"/>
    <n v="362.29166666666669"/>
    <n v="0"/>
    <n v="4347.5"/>
    <n v="4347.5"/>
    <n v="0"/>
    <m/>
  </r>
  <r>
    <n v="2183"/>
    <n v="257141"/>
    <s v="P"/>
    <s v="3 Yard Commercial Containers"/>
    <n v="8"/>
    <m/>
    <m/>
    <m/>
    <n v="0"/>
    <m/>
    <m/>
    <s v="3 YD FEL/REL/SL Metal"/>
    <d v="2008-11-03T00:00:00"/>
    <d v="2008-11-03T00:00:00"/>
    <x v="19"/>
    <n v="1200"/>
    <n v="14050"/>
    <n v="1480"/>
    <n v="14056"/>
    <n v="1480"/>
    <n v="0"/>
    <n v="0"/>
    <n v="54260"/>
    <n v="0"/>
    <s v="A"/>
    <s v="LeMay Enterprises"/>
    <m/>
    <m/>
    <s v="Internal"/>
    <s v="A"/>
    <s v="SL"/>
    <d v="2021-07-31T00:00:00"/>
    <s v="WCNX"/>
    <n v="0"/>
    <n v="1480"/>
    <m/>
    <s v="Old"/>
    <n v="11"/>
    <n v="2008"/>
    <n v="2020"/>
    <n v="2020.9166666666667"/>
    <n v="10.277777777777777"/>
    <n v="123.33333333333331"/>
    <n v="0"/>
    <n v="1480"/>
    <n v="1480"/>
    <n v="0"/>
    <m/>
  </r>
  <r>
    <n v="2183"/>
    <n v="257140"/>
    <s v="P"/>
    <s v="1YD Containers"/>
    <n v="3"/>
    <m/>
    <m/>
    <m/>
    <n v="0"/>
    <m/>
    <m/>
    <s v="1 YD FEL/REL/SL Metal"/>
    <d v="2008-11-03T00:00:00"/>
    <d v="2008-11-03T00:00:00"/>
    <x v="19"/>
    <n v="700"/>
    <n v="14050"/>
    <n v="144"/>
    <n v="14056"/>
    <n v="144"/>
    <n v="0"/>
    <n v="0"/>
    <n v="54260"/>
    <n v="0"/>
    <s v="A"/>
    <s v="LeMay Enterprises"/>
    <m/>
    <m/>
    <s v="Internal"/>
    <s v="A"/>
    <s v="SL"/>
    <d v="2021-07-31T00:00:00"/>
    <s v="WCNX"/>
    <n v="0"/>
    <n v="144"/>
    <m/>
    <s v="Old"/>
    <n v="11"/>
    <n v="2008"/>
    <n v="2015"/>
    <n v="2015.9166666666667"/>
    <n v="1.7142857142857144"/>
    <n v="20.571428571428573"/>
    <n v="0"/>
    <n v="144"/>
    <n v="144"/>
    <n v="0"/>
    <m/>
  </r>
  <r>
    <n v="2183"/>
    <n v="257139"/>
    <s v="P"/>
    <s v="30YD Containers"/>
    <n v="5"/>
    <m/>
    <m/>
    <m/>
    <n v="0"/>
    <m/>
    <m/>
    <s v="30 YD RO Box"/>
    <d v="2008-11-03T00:00:00"/>
    <d v="2008-11-03T00:00:00"/>
    <x v="19"/>
    <n v="700"/>
    <n v="14050"/>
    <n v="701.55"/>
    <n v="14056"/>
    <n v="701.55"/>
    <n v="0"/>
    <n v="0"/>
    <n v="54260"/>
    <n v="0"/>
    <s v="A"/>
    <s v="LeMay Enterprises"/>
    <m/>
    <m/>
    <s v="Internal"/>
    <s v="A"/>
    <s v="SL"/>
    <d v="2021-07-31T00:00:00"/>
    <s v="WCNX"/>
    <n v="0"/>
    <n v="701.55"/>
    <m/>
    <s v="Old"/>
    <n v="11"/>
    <n v="2008"/>
    <n v="2015"/>
    <n v="2015.9166666666667"/>
    <n v="8.3517857142857128"/>
    <n v="100.22142857142856"/>
    <n v="0"/>
    <n v="701.55"/>
    <n v="701.55"/>
    <n v="0"/>
    <m/>
  </r>
  <r>
    <n v="2183"/>
    <n v="257138"/>
    <s v="P"/>
    <s v="1YD Containers"/>
    <n v="6"/>
    <m/>
    <m/>
    <m/>
    <n v="0"/>
    <m/>
    <m/>
    <s v="1 YD FEL/REL/SL Metal"/>
    <d v="2008-11-03T00:00:00"/>
    <d v="2008-11-03T00:00:00"/>
    <x v="19"/>
    <n v="700"/>
    <n v="14050"/>
    <n v="411.72"/>
    <n v="14056"/>
    <n v="411.72"/>
    <n v="0"/>
    <n v="0"/>
    <n v="54260"/>
    <n v="0"/>
    <s v="A"/>
    <s v="LeMay Enterprises"/>
    <m/>
    <m/>
    <s v="Internal"/>
    <s v="A"/>
    <s v="SL"/>
    <d v="2021-07-31T00:00:00"/>
    <s v="WCNX"/>
    <n v="0"/>
    <n v="411.72"/>
    <m/>
    <s v="Old"/>
    <n v="11"/>
    <n v="2008"/>
    <n v="2015"/>
    <n v="2015.9166666666667"/>
    <n v="4.9014285714285721"/>
    <n v="58.817142857142869"/>
    <n v="0"/>
    <n v="411.72"/>
    <n v="411.72"/>
    <n v="0"/>
    <m/>
  </r>
  <r>
    <n v="2183"/>
    <n v="256603"/>
    <s v="P"/>
    <s v="1 Yard Commercial Containers"/>
    <n v="34"/>
    <m/>
    <m/>
    <m/>
    <n v="0"/>
    <m/>
    <m/>
    <s v="1 YD FEL/REL/SL Metal"/>
    <d v="2008-11-03T00:00:00"/>
    <d v="2008-11-03T00:00:00"/>
    <x v="19"/>
    <n v="1200"/>
    <n v="14050"/>
    <n v="3230"/>
    <n v="14056"/>
    <n v="3230"/>
    <n v="0"/>
    <n v="0"/>
    <n v="54260"/>
    <n v="0"/>
    <s v="A"/>
    <s v="LeMay Enterprises"/>
    <m/>
    <m/>
    <s v="Internal"/>
    <s v="A"/>
    <s v="SL"/>
    <d v="2021-07-31T00:00:00"/>
    <s v="WCNX"/>
    <n v="0"/>
    <n v="3230"/>
    <m/>
    <s v="Old"/>
    <n v="11"/>
    <n v="2008"/>
    <n v="2020"/>
    <n v="2020.9166666666667"/>
    <n v="22.430555555555557"/>
    <n v="269.16666666666669"/>
    <n v="0"/>
    <n v="3230"/>
    <n v="3230"/>
    <n v="0"/>
    <m/>
  </r>
  <r>
    <n v="2183"/>
    <n v="256602"/>
    <s v="P"/>
    <s v="1 Yard Commercial Containers"/>
    <n v="7"/>
    <m/>
    <m/>
    <m/>
    <n v="0"/>
    <m/>
    <m/>
    <s v="1 YD FEL/REL/SL Metal"/>
    <d v="2008-11-03T00:00:00"/>
    <d v="2008-11-03T00:00:00"/>
    <x v="19"/>
    <n v="1200"/>
    <n v="14050"/>
    <n v="665"/>
    <n v="14056"/>
    <n v="665"/>
    <n v="0"/>
    <n v="0"/>
    <n v="54260"/>
    <n v="0"/>
    <s v="A"/>
    <s v="LeMay Enterprises"/>
    <m/>
    <m/>
    <s v="Internal"/>
    <s v="A"/>
    <s v="SL"/>
    <d v="2021-07-31T00:00:00"/>
    <s v="WCNX"/>
    <n v="0"/>
    <n v="665"/>
    <m/>
    <s v="Old"/>
    <n v="11"/>
    <n v="2008"/>
    <n v="2020"/>
    <n v="2020.9166666666667"/>
    <n v="4.6180555555555554"/>
    <n v="55.416666666666664"/>
    <n v="0"/>
    <n v="665"/>
    <n v="665"/>
    <n v="0"/>
    <m/>
  </r>
  <r>
    <n v="2183"/>
    <n v="256601"/>
    <s v="P"/>
    <s v="2 yard rear load containers"/>
    <n v="4"/>
    <m/>
    <n v="0"/>
    <m/>
    <n v="0"/>
    <s v="CAPITAL INDUSTRIES, INC."/>
    <m/>
    <s v="2 YD FEL/REL/SL Metal"/>
    <d v="2007-08-16T00:00:00"/>
    <d v="2007-08-16T00:00:00"/>
    <x v="21"/>
    <n v="1200"/>
    <n v="14050"/>
    <n v="1894.86"/>
    <n v="14056"/>
    <n v="1894.86"/>
    <n v="0"/>
    <n v="0"/>
    <n v="54260"/>
    <n v="0"/>
    <s v="P"/>
    <m/>
    <n v="25785"/>
    <m/>
    <s v="Internal"/>
    <s v="A"/>
    <s v="SL"/>
    <d v="2021-07-31T00:00:00"/>
    <s v="WCNX"/>
    <n v="0"/>
    <n v="1894.86"/>
    <m/>
    <s v="Old"/>
    <n v="8"/>
    <n v="2007"/>
    <n v="2019"/>
    <n v="2019.6666666666667"/>
    <n v="13.15875"/>
    <n v="157.905"/>
    <n v="0"/>
    <n v="1894.86"/>
    <n v="1894.86"/>
    <n v="0"/>
    <m/>
  </r>
  <r>
    <n v="2183"/>
    <n v="256600"/>
    <s v="P"/>
    <s v="2 yard rear load containers"/>
    <n v="12"/>
    <m/>
    <n v="0"/>
    <m/>
    <n v="0"/>
    <s v="CAPITAL INDUSTRIES, INC."/>
    <m/>
    <s v="2 YD FEL/REL/SL Metal"/>
    <d v="2007-08-16T00:00:00"/>
    <d v="2007-08-16T00:00:00"/>
    <x v="21"/>
    <n v="1200"/>
    <n v="14050"/>
    <n v="5684.58"/>
    <n v="14056"/>
    <n v="5684.58"/>
    <n v="0"/>
    <n v="0"/>
    <n v="54260"/>
    <n v="0"/>
    <s v="P"/>
    <m/>
    <n v="25765"/>
    <m/>
    <s v="Internal"/>
    <s v="A"/>
    <s v="SL"/>
    <d v="2021-07-31T00:00:00"/>
    <s v="WCNX"/>
    <n v="0"/>
    <n v="5684.58"/>
    <m/>
    <s v="Old"/>
    <n v="8"/>
    <n v="2007"/>
    <n v="2019"/>
    <n v="2019.6666666666667"/>
    <n v="39.47625"/>
    <n v="473.71500000000003"/>
    <n v="0"/>
    <n v="5684.58"/>
    <n v="5684.58"/>
    <n v="0"/>
    <m/>
  </r>
  <r>
    <n v="2183"/>
    <n v="256599"/>
    <s v="P"/>
    <s v="1.5YD FEL"/>
    <n v="10"/>
    <m/>
    <n v="0"/>
    <m/>
    <n v="0"/>
    <s v="CAPITAL INDUSTRIES, INC."/>
    <m/>
    <s v="1.5 YD FEL/REL/SL Metal"/>
    <d v="2006-08-24T00:00:00"/>
    <d v="2006-08-24T00:00:00"/>
    <x v="20"/>
    <n v="1200"/>
    <n v="14050"/>
    <n v="4515.2"/>
    <n v="14056"/>
    <n v="4515.2"/>
    <n v="0"/>
    <n v="0"/>
    <n v="54260"/>
    <n v="0"/>
    <s v="P"/>
    <m/>
    <n v="14556"/>
    <m/>
    <s v="Internal"/>
    <s v="A"/>
    <s v="SL"/>
    <d v="2021-07-31T00:00:00"/>
    <s v="WCNX"/>
    <n v="0"/>
    <n v="4515.2"/>
    <m/>
    <s v="Old"/>
    <n v="8"/>
    <n v="2006"/>
    <n v="2018"/>
    <n v="2018.6666666666667"/>
    <n v="31.355555555555554"/>
    <n v="376.26666666666665"/>
    <n v="0"/>
    <n v="4515.2"/>
    <n v="4515.2"/>
    <n v="0"/>
    <m/>
  </r>
  <r>
    <n v="2183"/>
    <n v="256598"/>
    <s v="P"/>
    <s v="1.5 Yd RL Gavl. Containers"/>
    <n v="12"/>
    <m/>
    <m/>
    <m/>
    <n v="0"/>
    <s v="CAPITAL INDUSTRIES, INC."/>
    <m/>
    <s v="1.5 YD FEL/REL/SL Metal"/>
    <d v="2005-08-31T00:00:00"/>
    <d v="2005-08-31T00:00:00"/>
    <x v="22"/>
    <n v="1200"/>
    <n v="14050"/>
    <n v="6780"/>
    <n v="14056"/>
    <n v="6780"/>
    <n v="0"/>
    <n v="0"/>
    <n v="54260"/>
    <n v="0"/>
    <s v="P"/>
    <n v="0"/>
    <n v="2038"/>
    <m/>
    <s v="Internal"/>
    <s v="A"/>
    <s v="SL"/>
    <d v="2021-07-31T00:00:00"/>
    <s v="WCNX"/>
    <n v="0"/>
    <n v="6780"/>
    <m/>
    <s v="Old"/>
    <n v="8"/>
    <n v="2005"/>
    <n v="2017"/>
    <n v="2017.6666666666667"/>
    <n v="47.083333333333336"/>
    <n v="565"/>
    <n v="0"/>
    <n v="6780"/>
    <n v="6780"/>
    <n v="0"/>
    <m/>
  </r>
  <r>
    <n v="2183"/>
    <n v="255878"/>
    <s v="P"/>
    <s v="95 Gallon Plastic Refuse Totes"/>
    <n v="702"/>
    <m/>
    <m/>
    <m/>
    <n v="0"/>
    <s v="REHRIG PACIFIC COMPANY IN"/>
    <m/>
    <s v="Non-Container Audit"/>
    <d v="2021-07-12T00:00:00"/>
    <d v="2021-07-12T00:00:00"/>
    <x v="3"/>
    <n v="700"/>
    <n v="14050"/>
    <n v="40388.49"/>
    <n v="14056"/>
    <n v="2404.08"/>
    <n v="37984.409999999996"/>
    <n v="2404.08"/>
    <n v="54260"/>
    <n v="480.82"/>
    <s v="P"/>
    <m/>
    <n v="50180289"/>
    <m/>
    <s v="Internal"/>
    <s v="A"/>
    <s v="SL"/>
    <m/>
    <s v="WCNX"/>
    <n v="0"/>
    <n v="0"/>
    <m/>
    <s v="MSW Carts"/>
    <n v="7"/>
    <n v="2021"/>
    <n v="2028"/>
    <n v="2028.5833333333333"/>
    <n v="480.81535714285707"/>
    <n v="5769.784285714285"/>
    <n v="5769.784285714285"/>
    <n v="0"/>
    <n v="5769.784285714285"/>
    <n v="34618.705714285716"/>
    <m/>
  </r>
  <r>
    <n v="2183"/>
    <n v="255410"/>
    <s v="P"/>
    <s v="2022 Peterbilt ASL Truck"/>
    <m/>
    <m/>
    <s v="3BPDLK0X8NF111051"/>
    <m/>
    <n v="2022"/>
    <m/>
    <m/>
    <s v="Automated Sideload"/>
    <d v="2021-07-20T00:00:00"/>
    <d v="2021-07-20T00:00:00"/>
    <x v="23"/>
    <n v="1000"/>
    <n v="14040"/>
    <n v="369905.83"/>
    <n v="14046"/>
    <n v="12330.19"/>
    <n v="357575.64"/>
    <n v="12330.19"/>
    <n v="51260"/>
    <n v="3082.55"/>
    <s v="P"/>
    <m/>
    <m/>
    <m/>
    <s v="Internal"/>
    <s v="A"/>
    <s v="SL"/>
    <m/>
    <s v="WCNX"/>
    <n v="0"/>
    <n v="0"/>
    <n v="3718"/>
    <s v="Resi"/>
    <n v="7"/>
    <n v="2021"/>
    <n v="2031"/>
    <n v="2031.5833333333333"/>
    <n v="3082.5485833333332"/>
    <n v="36990.582999999999"/>
    <n v="36990.582999999999"/>
    <n v="0"/>
    <n v="36990.582999999999"/>
    <n v="332915.24700000003"/>
    <m/>
  </r>
  <r>
    <n v="2183"/>
    <n v="255160"/>
    <s v="P"/>
    <s v="95 Gallon Plastic YardwasteTotes"/>
    <n v="702"/>
    <m/>
    <m/>
    <m/>
    <n v="0"/>
    <s v="REHRIG PACIFIC COMPANY IN"/>
    <m/>
    <s v="Non-Container Audit"/>
    <d v="2021-07-09T00:00:00"/>
    <d v="2021-07-09T00:00:00"/>
    <x v="3"/>
    <n v="700"/>
    <n v="14050"/>
    <n v="40388.49"/>
    <n v="14056"/>
    <n v="2404.08"/>
    <n v="37984.409999999996"/>
    <n v="2404.08"/>
    <n v="54260"/>
    <n v="480.82"/>
    <s v="P"/>
    <m/>
    <n v="50180462"/>
    <m/>
    <s v="Internal"/>
    <s v="A"/>
    <s v="SL"/>
    <m/>
    <s v="WCNX"/>
    <n v="0"/>
    <n v="0"/>
    <m/>
    <s v="YW Carts"/>
    <n v="7"/>
    <n v="2021"/>
    <n v="2028"/>
    <n v="2028.5833333333333"/>
    <n v="480.81535714285707"/>
    <n v="5769.784285714285"/>
    <n v="5769.784285714285"/>
    <n v="0"/>
    <n v="5769.784285714285"/>
    <n v="34618.705714285716"/>
    <m/>
  </r>
  <r>
    <n v="2183"/>
    <n v="254292"/>
    <s v="P"/>
    <s v="2YD Metal REL Container"/>
    <n v="25"/>
    <m/>
    <m/>
    <m/>
    <n v="0"/>
    <s v="CAPITAL INDUSTRIES INC"/>
    <m/>
    <s v="2 YD REL Container"/>
    <d v="2021-06-10T00:00:00"/>
    <d v="2021-06-10T00:00:00"/>
    <x v="24"/>
    <n v="1200"/>
    <n v="14050"/>
    <n v="17777.5"/>
    <n v="14056"/>
    <n v="740.73"/>
    <n v="17036.77"/>
    <n v="740.73"/>
    <n v="54260"/>
    <n v="123.46"/>
    <s v="P"/>
    <m/>
    <n v="167089"/>
    <m/>
    <s v="Internal"/>
    <s v="A"/>
    <s v="SL"/>
    <m/>
    <s v="WCNX"/>
    <n v="0"/>
    <n v="0"/>
    <m/>
    <s v="MSW/Recycle Containers"/>
    <n v="6"/>
    <n v="2021"/>
    <n v="2033"/>
    <n v="2033.5"/>
    <n v="123.4548611111111"/>
    <n v="1481.4583333333333"/>
    <n v="1481.4583333333333"/>
    <n v="0"/>
    <n v="1481.4583333333333"/>
    <n v="16296.041666666666"/>
    <m/>
  </r>
  <r>
    <n v="2183"/>
    <n v="254291"/>
    <s v="P"/>
    <s v="1 Yd Metal REL Containers"/>
    <n v="1"/>
    <m/>
    <m/>
    <m/>
    <n v="0"/>
    <s v="CAPITAL INDUSTRIES INC"/>
    <m/>
    <s v="1 YD REL Container"/>
    <d v="2021-06-10T00:00:00"/>
    <d v="2021-06-10T00:00:00"/>
    <x v="24"/>
    <n v="1200"/>
    <n v="14050"/>
    <n v="667.34"/>
    <n v="14056"/>
    <n v="27.81"/>
    <n v="639.53000000000009"/>
    <n v="27.81"/>
    <n v="54260"/>
    <n v="4.6399999999999997"/>
    <s v="P"/>
    <m/>
    <n v="167130"/>
    <m/>
    <s v="Internal"/>
    <s v="A"/>
    <s v="SL"/>
    <m/>
    <s v="WCNX"/>
    <n v="0"/>
    <n v="0"/>
    <m/>
    <s v="MSW/Recycle Containers"/>
    <n v="6"/>
    <n v="2021"/>
    <n v="2033"/>
    <n v="2033.5"/>
    <n v="4.6343055555555557"/>
    <n v="55.611666666666665"/>
    <n v="55.611666666666665"/>
    <n v="0"/>
    <n v="55.611666666666665"/>
    <n v="611.72833333333335"/>
    <m/>
  </r>
  <r>
    <n v="2183"/>
    <n v="254290"/>
    <s v="P"/>
    <s v="1 Yd Metal REL Containers"/>
    <n v="24"/>
    <m/>
    <m/>
    <m/>
    <n v="0"/>
    <s v="CAPITAL INDUSTRIES INC"/>
    <m/>
    <s v="1 YD REL Container"/>
    <d v="2021-06-07T00:00:00"/>
    <d v="2021-06-07T00:00:00"/>
    <x v="24"/>
    <n v="1200"/>
    <n v="14050"/>
    <n v="16016.16"/>
    <n v="14056"/>
    <n v="667.34"/>
    <n v="15348.82"/>
    <n v="667.34"/>
    <n v="54260"/>
    <n v="111.23"/>
    <s v="P"/>
    <m/>
    <n v="167123"/>
    <m/>
    <s v="Internal"/>
    <s v="A"/>
    <s v="SL"/>
    <m/>
    <s v="WCNX"/>
    <n v="0"/>
    <n v="0"/>
    <m/>
    <s v="MSW/Recycle Containers"/>
    <n v="6"/>
    <n v="2021"/>
    <n v="2033"/>
    <n v="2033.5"/>
    <n v="111.22333333333334"/>
    <n v="1334.68"/>
    <n v="1334.68"/>
    <n v="0"/>
    <n v="1334.68"/>
    <n v="14681.48"/>
    <m/>
  </r>
  <r>
    <n v="2183"/>
    <n v="254289"/>
    <s v="P"/>
    <s v="1.5 Yd Metal REL Containers"/>
    <n v="20"/>
    <m/>
    <m/>
    <m/>
    <n v="0"/>
    <s v="CAPITAL INDUSTRIES INC"/>
    <m/>
    <s v="1.5 YD REL Container"/>
    <d v="2021-06-10T00:00:00"/>
    <d v="2021-06-10T00:00:00"/>
    <x v="24"/>
    <n v="1200"/>
    <n v="14050"/>
    <n v="13675"/>
    <n v="14056"/>
    <n v="569.79"/>
    <n v="13105.21"/>
    <n v="569.79"/>
    <n v="54260"/>
    <n v="94.96"/>
    <s v="P"/>
    <m/>
    <n v="167088"/>
    <m/>
    <s v="Internal"/>
    <s v="A"/>
    <s v="SL"/>
    <m/>
    <s v="WCNX"/>
    <n v="0"/>
    <n v="0"/>
    <m/>
    <s v="MSW/Recycle Containers"/>
    <n v="6"/>
    <n v="2021"/>
    <n v="2033"/>
    <n v="2033.5"/>
    <n v="94.965277777777771"/>
    <n v="1139.5833333333333"/>
    <n v="1139.5833333333333"/>
    <n v="0"/>
    <n v="1139.5833333333333"/>
    <n v="12535.416666666666"/>
    <m/>
  </r>
  <r>
    <n v="2183"/>
    <n v="253972"/>
    <n v="249940"/>
    <s v="Decals &amp; License"/>
    <m/>
    <m/>
    <m/>
    <m/>
    <n v="2021"/>
    <m/>
    <m/>
    <s v="Non-Rolling Stock"/>
    <d v="2021-04-02T00:00:00"/>
    <d v="2021-04-02T00:00:00"/>
    <x v="25"/>
    <n v="1000"/>
    <n v="14040"/>
    <n v="1595.85"/>
    <n v="14046"/>
    <n v="106.39"/>
    <n v="1489.4599999999998"/>
    <n v="106.39"/>
    <n v="51260"/>
    <n v="13.3"/>
    <s v="P"/>
    <m/>
    <m/>
    <m/>
    <s v="Internal"/>
    <s v="A"/>
    <s v="SL"/>
    <m/>
    <s v="WCNX"/>
    <n v="0"/>
    <n v="0"/>
    <n v="3704"/>
    <s v="Resi"/>
    <n v="4"/>
    <n v="2021"/>
    <n v="2031"/>
    <n v="2031.3333333333333"/>
    <n v="13.298749999999998"/>
    <n v="159.58499999999998"/>
    <n v="159.58499999999998"/>
    <n v="0"/>
    <n v="159.58499999999998"/>
    <n v="1436.2649999999999"/>
    <m/>
  </r>
  <r>
    <n v="2183"/>
    <n v="253467"/>
    <s v="P"/>
    <s v="5 YD Container"/>
    <n v="258"/>
    <m/>
    <m/>
    <m/>
    <n v="0"/>
    <m/>
    <m/>
    <m/>
    <d v="2008-11-03T00:00:00"/>
    <d v="2008-11-03T00:00:00"/>
    <x v="19"/>
    <n v="700"/>
    <n v="14050"/>
    <n v="25800"/>
    <n v="14056"/>
    <n v="25800"/>
    <n v="0"/>
    <n v="0"/>
    <n v="54260"/>
    <n v="0"/>
    <s v="A"/>
    <s v="LeMay Enterprises"/>
    <m/>
    <m/>
    <s v="Internal"/>
    <s v="A"/>
    <s v="SL"/>
    <d v="2021-05-31T00:00:00"/>
    <s v="WCNX"/>
    <n v="0"/>
    <n v="25800"/>
    <m/>
    <s v="Old"/>
    <n v="11"/>
    <n v="2008"/>
    <n v="2015"/>
    <n v="2015.9166666666667"/>
    <n v="307.14285714285717"/>
    <n v="3685.7142857142862"/>
    <n v="0"/>
    <n v="25800"/>
    <n v="25800"/>
    <n v="0"/>
    <m/>
  </r>
  <r>
    <n v="2183"/>
    <n v="253466"/>
    <s v="P"/>
    <s v="4 YD Container"/>
    <n v="97"/>
    <m/>
    <m/>
    <m/>
    <n v="0"/>
    <m/>
    <m/>
    <m/>
    <d v="2008-11-03T00:00:00"/>
    <d v="2008-11-03T00:00:00"/>
    <x v="19"/>
    <n v="700"/>
    <n v="14050"/>
    <n v="9700"/>
    <n v="14056"/>
    <n v="9700"/>
    <n v="0"/>
    <n v="0"/>
    <n v="54260"/>
    <n v="0"/>
    <s v="A"/>
    <s v="LeMay Enterprises"/>
    <m/>
    <m/>
    <s v="Internal"/>
    <s v="A"/>
    <s v="SL"/>
    <d v="2021-05-31T00:00:00"/>
    <s v="WCNX"/>
    <n v="0"/>
    <n v="9700"/>
    <m/>
    <s v="Old"/>
    <n v="11"/>
    <n v="2008"/>
    <n v="2015"/>
    <n v="2015.9166666666667"/>
    <n v="115.47619047619048"/>
    <n v="1385.7142857142858"/>
    <n v="0"/>
    <n v="9700"/>
    <n v="9700"/>
    <n v="0"/>
    <m/>
  </r>
  <r>
    <n v="2183"/>
    <n v="253465"/>
    <s v="P"/>
    <s v="3 YD Container"/>
    <n v="209"/>
    <m/>
    <m/>
    <m/>
    <n v="0"/>
    <m/>
    <m/>
    <m/>
    <d v="2008-11-03T00:00:00"/>
    <d v="2008-11-03T00:00:00"/>
    <x v="19"/>
    <n v="700"/>
    <n v="14050"/>
    <n v="20900"/>
    <n v="14056"/>
    <n v="20900"/>
    <n v="0"/>
    <n v="0"/>
    <n v="54260"/>
    <n v="0"/>
    <s v="A"/>
    <s v="LeMay Enterprises"/>
    <m/>
    <m/>
    <s v="Internal"/>
    <s v="A"/>
    <s v="SL"/>
    <d v="2021-05-31T00:00:00"/>
    <s v="WCNX"/>
    <n v="0"/>
    <n v="20900"/>
    <m/>
    <s v="Old"/>
    <n v="11"/>
    <n v="2008"/>
    <n v="2015"/>
    <n v="2015.9166666666667"/>
    <n v="248.80952380952382"/>
    <n v="2985.7142857142858"/>
    <n v="0"/>
    <n v="20900"/>
    <n v="20900"/>
    <n v="0"/>
    <m/>
  </r>
  <r>
    <n v="2183"/>
    <n v="253464"/>
    <s v="P"/>
    <s v="22 YD Storage Containers"/>
    <n v="7"/>
    <m/>
    <m/>
    <m/>
    <n v="0"/>
    <m/>
    <m/>
    <m/>
    <d v="2008-11-03T00:00:00"/>
    <d v="2008-11-03T00:00:00"/>
    <x v="19"/>
    <n v="700"/>
    <n v="14050"/>
    <n v="700"/>
    <n v="14056"/>
    <n v="700"/>
    <n v="0"/>
    <n v="0"/>
    <n v="54260"/>
    <n v="0"/>
    <s v="A"/>
    <s v="LeMay Enterprises"/>
    <m/>
    <m/>
    <s v="Internal"/>
    <s v="A"/>
    <s v="SL"/>
    <d v="2021-05-31T00:00:00"/>
    <s v="WCNX"/>
    <n v="0"/>
    <n v="700"/>
    <m/>
    <s v="Old"/>
    <n v="11"/>
    <n v="2008"/>
    <n v="2015"/>
    <n v="2015.9166666666667"/>
    <n v="8.3333333333333339"/>
    <n v="100"/>
    <n v="0"/>
    <n v="700"/>
    <n v="700"/>
    <n v="0"/>
    <m/>
  </r>
  <r>
    <n v="2183"/>
    <n v="253463"/>
    <s v="P"/>
    <s v="2 YD Container"/>
    <n v="680"/>
    <m/>
    <m/>
    <m/>
    <n v="0"/>
    <m/>
    <m/>
    <m/>
    <d v="2008-11-03T00:00:00"/>
    <d v="2008-11-03T00:00:00"/>
    <x v="19"/>
    <n v="700"/>
    <n v="14050"/>
    <n v="68000"/>
    <n v="14056"/>
    <n v="68000"/>
    <n v="0"/>
    <n v="0"/>
    <n v="54260"/>
    <n v="0"/>
    <s v="A"/>
    <s v="LeMay Enterprises"/>
    <m/>
    <m/>
    <s v="Internal"/>
    <s v="A"/>
    <s v="SL"/>
    <d v="2021-05-31T00:00:00"/>
    <s v="WCNX"/>
    <n v="0"/>
    <n v="68000"/>
    <m/>
    <s v="Old"/>
    <n v="11"/>
    <n v="2008"/>
    <n v="2015"/>
    <n v="2015.9166666666667"/>
    <n v="809.52380952380952"/>
    <n v="9714.2857142857138"/>
    <n v="0"/>
    <n v="68000"/>
    <n v="68000"/>
    <n v="0"/>
    <m/>
  </r>
  <r>
    <n v="2183"/>
    <n v="253462"/>
    <s v="P"/>
    <s v="1.5 YD RO Container"/>
    <n v="2"/>
    <m/>
    <m/>
    <m/>
    <n v="0"/>
    <m/>
    <m/>
    <m/>
    <d v="2008-11-03T00:00:00"/>
    <d v="2008-11-03T00:00:00"/>
    <x v="19"/>
    <n v="700"/>
    <n v="14050"/>
    <n v="200"/>
    <n v="14056"/>
    <n v="200"/>
    <n v="0"/>
    <n v="0"/>
    <n v="54260"/>
    <n v="0"/>
    <s v="A"/>
    <s v="LeMay Enterprises"/>
    <m/>
    <m/>
    <s v="Internal"/>
    <s v="A"/>
    <s v="SL"/>
    <d v="2021-05-31T00:00:00"/>
    <s v="WCNX"/>
    <n v="0"/>
    <n v="200"/>
    <m/>
    <s v="Old"/>
    <n v="11"/>
    <n v="2008"/>
    <n v="2015"/>
    <n v="2015.9166666666667"/>
    <n v="2.3809523809523809"/>
    <n v="28.571428571428569"/>
    <n v="0"/>
    <n v="200"/>
    <n v="200"/>
    <n v="0"/>
    <m/>
  </r>
  <r>
    <n v="2183"/>
    <n v="253461"/>
    <s v="P"/>
    <s v="1.5 YD Container"/>
    <n v="121"/>
    <m/>
    <m/>
    <m/>
    <n v="0"/>
    <m/>
    <m/>
    <m/>
    <d v="2008-11-03T00:00:00"/>
    <d v="2008-11-03T00:00:00"/>
    <x v="19"/>
    <n v="700"/>
    <n v="14050"/>
    <n v="12100"/>
    <n v="14056"/>
    <n v="12100"/>
    <n v="0"/>
    <n v="0"/>
    <n v="54260"/>
    <n v="0"/>
    <s v="A"/>
    <s v="LeMay Enterprises"/>
    <m/>
    <m/>
    <s v="Internal"/>
    <s v="A"/>
    <s v="SL"/>
    <d v="2021-05-31T00:00:00"/>
    <s v="WCNX"/>
    <n v="0"/>
    <n v="12100"/>
    <m/>
    <s v="Old"/>
    <n v="11"/>
    <n v="2008"/>
    <n v="2015"/>
    <n v="2015.9166666666667"/>
    <n v="144.04761904761907"/>
    <n v="1728.5714285714289"/>
    <n v="0"/>
    <n v="12100"/>
    <n v="12100"/>
    <n v="0"/>
    <m/>
  </r>
  <r>
    <n v="2183"/>
    <n v="253460"/>
    <s v="P"/>
    <s v="1 YD Container"/>
    <n v="429"/>
    <m/>
    <m/>
    <m/>
    <n v="0"/>
    <m/>
    <m/>
    <m/>
    <d v="2008-11-03T00:00:00"/>
    <d v="2008-11-03T00:00:00"/>
    <x v="19"/>
    <n v="700"/>
    <n v="14050"/>
    <n v="42900"/>
    <n v="14056"/>
    <n v="42900"/>
    <n v="0"/>
    <n v="0"/>
    <n v="54260"/>
    <n v="0"/>
    <s v="A"/>
    <s v="LeMay Enterprises"/>
    <m/>
    <m/>
    <s v="Internal"/>
    <s v="A"/>
    <s v="SL"/>
    <d v="2021-05-31T00:00:00"/>
    <s v="WCNX"/>
    <n v="0"/>
    <n v="42900"/>
    <m/>
    <s v="Old"/>
    <n v="11"/>
    <n v="2008"/>
    <n v="2015"/>
    <n v="2015.9166666666667"/>
    <n v="510.71428571428572"/>
    <n v="6128.5714285714284"/>
    <n v="0"/>
    <n v="42900"/>
    <n v="42900"/>
    <n v="0"/>
    <m/>
  </r>
  <r>
    <n v="2183"/>
    <n v="253161"/>
    <s v="P"/>
    <s v="95 Gallon Recycle Totes"/>
    <n v="702"/>
    <m/>
    <m/>
    <s v="94-3283464"/>
    <n v="0"/>
    <s v="REHRIG PACIFIC COMPANY IN"/>
    <m/>
    <s v="Non-Container Audit"/>
    <d v="2021-06-07T00:00:00"/>
    <d v="2021-06-07T00:00:00"/>
    <x v="26"/>
    <n v="700"/>
    <n v="14050"/>
    <n v="42116.46"/>
    <n v="14056"/>
    <n v="3008.32"/>
    <n v="39108.14"/>
    <n v="3008.32"/>
    <n v="54260"/>
    <n v="501.38"/>
    <s v="P"/>
    <m/>
    <n v="501737572"/>
    <m/>
    <s v="Internal"/>
    <s v="A"/>
    <s v="SL"/>
    <m/>
    <s v="WCNX"/>
    <n v="0"/>
    <n v="0"/>
    <m/>
    <s v="Recycling Carts"/>
    <n v="6"/>
    <n v="2021"/>
    <n v="2028"/>
    <n v="2028.5"/>
    <n v="501.38642857142855"/>
    <n v="6016.6371428571429"/>
    <n v="6016.6371428571429"/>
    <n v="0"/>
    <n v="6016.6371428571429"/>
    <n v="36099.822857142855"/>
    <m/>
  </r>
  <r>
    <n v="2183"/>
    <n v="253110"/>
    <n v="251931"/>
    <s v="Resi Truck 3705 Decals"/>
    <m/>
    <m/>
    <m/>
    <m/>
    <n v="2021"/>
    <m/>
    <m/>
    <s v="Non-Rolling Stock"/>
    <d v="2021-05-01T00:00:00"/>
    <d v="2021-05-01T00:00:00"/>
    <x v="13"/>
    <n v="1000"/>
    <n v="14040"/>
    <n v="869.73"/>
    <n v="14046"/>
    <n v="50.73"/>
    <n v="819"/>
    <n v="50.73"/>
    <n v="51260"/>
    <n v="7.24"/>
    <s v="P"/>
    <m/>
    <m/>
    <m/>
    <s v="Internal"/>
    <s v="A"/>
    <s v="SL"/>
    <m/>
    <s v="WCNX"/>
    <n v="0"/>
    <n v="0"/>
    <n v="3705"/>
    <s v="Resi"/>
    <n v="5"/>
    <n v="2021"/>
    <n v="2031"/>
    <n v="2031.4166666666667"/>
    <n v="7.2477499999999999"/>
    <n v="86.972999999999999"/>
    <n v="86.972999999999999"/>
    <n v="0"/>
    <n v="86.972999999999999"/>
    <n v="782.75700000000006"/>
    <m/>
  </r>
  <r>
    <n v="2183"/>
    <n v="252620"/>
    <s v="P"/>
    <s v="65 Gallon Refuse Totes"/>
    <n v="936"/>
    <m/>
    <m/>
    <m/>
    <n v="0"/>
    <s v="REHRIG PACIFIC COMPANY IN"/>
    <m/>
    <s v="Non-Container Audit"/>
    <d v="2021-05-17T00:00:00"/>
    <d v="2021-05-17T00:00:00"/>
    <x v="26"/>
    <n v="700"/>
    <n v="14050"/>
    <n v="50349.29"/>
    <n v="14056"/>
    <n v="3596.38"/>
    <n v="46752.91"/>
    <n v="3596.38"/>
    <n v="54260"/>
    <n v="599.39"/>
    <s v="P"/>
    <m/>
    <n v="50169726"/>
    <m/>
    <s v="Internal"/>
    <s v="A"/>
    <s v="SL"/>
    <m/>
    <s v="WCNX"/>
    <n v="0"/>
    <n v="0"/>
    <m/>
    <s v="MSW Carts"/>
    <n v="5"/>
    <n v="2021"/>
    <n v="2028"/>
    <n v="2028.4166666666667"/>
    <n v="599.39630952380946"/>
    <n v="7192.7557142857131"/>
    <n v="7192.7557142857131"/>
    <n v="0"/>
    <n v="7192.7557142857131"/>
    <n v="43156.53428571429"/>
    <m/>
  </r>
  <r>
    <n v="2183"/>
    <n v="252491"/>
    <n v="249940"/>
    <s v="Drive Cam"/>
    <m/>
    <m/>
    <m/>
    <m/>
    <n v="2021"/>
    <m/>
    <m/>
    <s v="Non-Rolling Stock"/>
    <d v="2021-04-02T00:00:00"/>
    <d v="2021-04-02T00:00:00"/>
    <x v="25"/>
    <n v="500"/>
    <n v="14040"/>
    <n v="596.24"/>
    <n v="14046"/>
    <n v="79.5"/>
    <n v="516.74"/>
    <n v="79.5"/>
    <n v="51260"/>
    <n v="9.94"/>
    <s v="P"/>
    <m/>
    <m/>
    <m/>
    <s v="Internal"/>
    <s v="A"/>
    <s v="SL"/>
    <m/>
    <s v="WCNX"/>
    <n v="0"/>
    <n v="0"/>
    <n v="3704"/>
    <s v="Resi"/>
    <n v="4"/>
    <n v="2021"/>
    <n v="2026"/>
    <n v="2026.3333333333333"/>
    <n v="9.9373333333333331"/>
    <n v="119.24799999999999"/>
    <n v="119.24799999999999"/>
    <n v="0"/>
    <n v="119.24799999999999"/>
    <n v="476.99200000000002"/>
    <m/>
  </r>
  <r>
    <n v="2183"/>
    <n v="251932"/>
    <n v="251931"/>
    <s v="2021 Peterbilt ASL Truck- Body"/>
    <m/>
    <m/>
    <s v="3BPDLK0XXMF110112"/>
    <m/>
    <n v="2021"/>
    <m/>
    <m/>
    <s v="Non-Rolling Stock"/>
    <d v="2021-05-01T00:00:00"/>
    <d v="2021-05-01T00:00:00"/>
    <x v="13"/>
    <n v="1000"/>
    <n v="14040"/>
    <n v="180547"/>
    <n v="14046"/>
    <n v="10531.91"/>
    <n v="170015.09"/>
    <n v="10531.91"/>
    <n v="51260"/>
    <n v="1504.56"/>
    <s v="P"/>
    <m/>
    <m/>
    <m/>
    <s v="Internal"/>
    <s v="A"/>
    <s v="SL"/>
    <m/>
    <s v="WCNX"/>
    <n v="0"/>
    <n v="0"/>
    <n v="3705"/>
    <s v="Resi"/>
    <n v="5"/>
    <n v="2021"/>
    <n v="2031"/>
    <n v="2031.4166666666667"/>
    <n v="1504.5583333333334"/>
    <n v="18054.7"/>
    <n v="18054.7"/>
    <n v="0"/>
    <n v="18054.7"/>
    <n v="162492.29999999999"/>
    <m/>
  </r>
  <r>
    <n v="2183"/>
    <n v="251931"/>
    <s v="P"/>
    <s v="2021 Peterbilt ASL Truck- Chassis"/>
    <m/>
    <m/>
    <s v="3BPDLK0XXMF110112"/>
    <m/>
    <n v="2021"/>
    <m/>
    <m/>
    <s v="Automated Sideload"/>
    <d v="2021-05-01T00:00:00"/>
    <d v="2021-05-01T00:00:00"/>
    <x v="27"/>
    <n v="1000"/>
    <n v="14040"/>
    <n v="184139.1"/>
    <n v="14046"/>
    <n v="10741.44"/>
    <n v="173397.66"/>
    <n v="10741.44"/>
    <n v="51260"/>
    <n v="1534.49"/>
    <s v="P"/>
    <m/>
    <m/>
    <m/>
    <s v="Internal"/>
    <s v="A"/>
    <s v="SL"/>
    <m/>
    <s v="WCNX"/>
    <n v="0"/>
    <n v="0"/>
    <n v="3705"/>
    <s v="Resi"/>
    <n v="5"/>
    <n v="2021"/>
    <n v="2031"/>
    <n v="2031.4166666666667"/>
    <n v="1534.4925000000001"/>
    <n v="18413.91"/>
    <n v="18413.91"/>
    <n v="0"/>
    <n v="18413.91"/>
    <n v="165725.19"/>
    <m/>
  </r>
  <r>
    <n v="2183"/>
    <n v="250273"/>
    <s v="P"/>
    <s v="95 Gallon Yardwaste Totes"/>
    <n v="702"/>
    <m/>
    <m/>
    <m/>
    <n v="0"/>
    <s v="REHRIG PACIFIC COMPANY IN"/>
    <m/>
    <s v="Non-Container Audit"/>
    <d v="2021-03-31T00:00:00"/>
    <d v="2021-03-31T00:00:00"/>
    <x v="26"/>
    <n v="700"/>
    <n v="14050"/>
    <n v="36924.870000000003"/>
    <n v="14056"/>
    <n v="3516.66"/>
    <n v="33408.210000000006"/>
    <n v="3516.66"/>
    <n v="54260"/>
    <n v="439.58"/>
    <s v="P"/>
    <m/>
    <n v="50160569"/>
    <m/>
    <s v="Internal"/>
    <s v="A"/>
    <s v="SL"/>
    <m/>
    <s v="WCNX"/>
    <n v="0"/>
    <n v="0"/>
    <m/>
    <s v="YW Carts"/>
    <n v="3"/>
    <n v="2021"/>
    <n v="2028"/>
    <n v="2028.25"/>
    <n v="439.58178571428579"/>
    <n v="5274.9814285714292"/>
    <n v="5274.9814285714292"/>
    <n v="0"/>
    <n v="5274.9814285714292"/>
    <n v="31649.888571428572"/>
    <m/>
  </r>
  <r>
    <n v="2183"/>
    <n v="250272"/>
    <s v="P"/>
    <s v="95 Gallon Refuse Totes"/>
    <n v="702"/>
    <m/>
    <m/>
    <m/>
    <n v="0"/>
    <s v="REHRIG PACIFIC COMPANY IN"/>
    <m/>
    <s v="Non-Container Audit"/>
    <d v="2021-03-31T00:00:00"/>
    <d v="2021-03-31T00:00:00"/>
    <x v="26"/>
    <n v="700"/>
    <n v="14050"/>
    <n v="36924.86"/>
    <n v="14056"/>
    <n v="3516.66"/>
    <n v="33408.199999999997"/>
    <n v="3516.66"/>
    <n v="54260"/>
    <n v="439.58"/>
    <s v="P"/>
    <m/>
    <n v="50160569"/>
    <m/>
    <s v="Internal"/>
    <s v="A"/>
    <s v="SL"/>
    <m/>
    <s v="WCNX"/>
    <n v="0"/>
    <n v="0"/>
    <m/>
    <s v="MSW Carts"/>
    <n v="3"/>
    <n v="2021"/>
    <n v="2028"/>
    <n v="2028.25"/>
    <n v="439.58166666666671"/>
    <n v="5274.9800000000005"/>
    <n v="5274.9800000000005"/>
    <n v="0"/>
    <n v="5274.9800000000005"/>
    <n v="31649.88"/>
    <m/>
  </r>
  <r>
    <n v="2183"/>
    <n v="249941"/>
    <n v="249940"/>
    <s v="2021 Peterbilt ASL Truck- Body"/>
    <m/>
    <m/>
    <s v="3BPDLK0XXMF110109"/>
    <m/>
    <n v="2021"/>
    <m/>
    <m/>
    <s v="Non-Rolling Stock"/>
    <d v="2021-04-02T00:00:00"/>
    <d v="2021-04-02T00:00:00"/>
    <x v="25"/>
    <n v="1000"/>
    <n v="14040"/>
    <n v="184138.36"/>
    <n v="14046"/>
    <n v="12275.89"/>
    <n v="171862.46999999997"/>
    <n v="12275.89"/>
    <n v="51260"/>
    <n v="1534.48"/>
    <s v="P"/>
    <m/>
    <m/>
    <m/>
    <s v="Internal"/>
    <s v="A"/>
    <s v="SL"/>
    <m/>
    <s v="WCNX"/>
    <n v="0"/>
    <n v="0"/>
    <n v="3704"/>
    <s v="Resi"/>
    <n v="4"/>
    <n v="2021"/>
    <n v="2031"/>
    <n v="2031.3333333333333"/>
    <n v="1534.4863333333333"/>
    <n v="18413.835999999999"/>
    <n v="18413.835999999999"/>
    <n v="0"/>
    <n v="18413.835999999999"/>
    <n v="165724.52399999998"/>
    <m/>
  </r>
  <r>
    <n v="2183"/>
    <n v="249940"/>
    <s v="P"/>
    <s v="2021 Peterbilt ASL Truck- Chassis"/>
    <m/>
    <m/>
    <s v="3BPDLK0XXMF110109"/>
    <m/>
    <n v="2021"/>
    <m/>
    <m/>
    <s v="Automated Sideload"/>
    <d v="2021-04-02T00:00:00"/>
    <d v="2021-04-02T00:00:00"/>
    <x v="28"/>
    <n v="1000"/>
    <n v="14040"/>
    <n v="184139.1"/>
    <n v="14046"/>
    <n v="12275.93"/>
    <n v="171863.17"/>
    <n v="12275.93"/>
    <n v="51260"/>
    <n v="1534.49"/>
    <s v="P"/>
    <m/>
    <m/>
    <m/>
    <s v="Internal"/>
    <s v="A"/>
    <s v="SL"/>
    <m/>
    <s v="WCNX"/>
    <n v="0"/>
    <n v="0"/>
    <n v="3704"/>
    <s v="Resi"/>
    <n v="4"/>
    <n v="2021"/>
    <n v="2031"/>
    <n v="2031.3333333333333"/>
    <n v="1534.4925000000001"/>
    <n v="18413.91"/>
    <n v="18413.91"/>
    <n v="0"/>
    <n v="18413.91"/>
    <n v="165725.19"/>
    <m/>
  </r>
  <r>
    <n v="2183"/>
    <n v="249589"/>
    <n v="243666"/>
    <s v="REL Truck 1088 Decals"/>
    <m/>
    <m/>
    <m/>
    <m/>
    <n v="0"/>
    <s v="Larsen Sign Co."/>
    <m/>
    <s v="Non-Rolling Stock"/>
    <d v="2021-01-01T00:00:00"/>
    <d v="2021-01-01T00:00:00"/>
    <x v="29"/>
    <n v="1000"/>
    <n v="14040"/>
    <n v="738.45"/>
    <n v="14046"/>
    <n v="67.7"/>
    <n v="670.75"/>
    <n v="67.7"/>
    <n v="51260"/>
    <n v="6.16"/>
    <s v="P"/>
    <m/>
    <n v="28033"/>
    <m/>
    <s v="Internal"/>
    <s v="A"/>
    <s v="SL"/>
    <m/>
    <s v="WCNX"/>
    <n v="0"/>
    <n v="0"/>
    <n v="1088"/>
    <s v="Commercial"/>
    <n v="1"/>
    <n v="2021"/>
    <n v="2031"/>
    <n v="2031.0833333333333"/>
    <n v="6.1537499999999996"/>
    <n v="73.844999999999999"/>
    <n v="73.844999999999999"/>
    <n v="0"/>
    <n v="73.844999999999999"/>
    <n v="664.60500000000002"/>
    <m/>
  </r>
  <r>
    <n v="2183"/>
    <n v="249588"/>
    <n v="242814"/>
    <s v="Glass Truck 5051 Decals"/>
    <m/>
    <m/>
    <m/>
    <m/>
    <n v="0"/>
    <s v="Larsen Sign Co."/>
    <m/>
    <s v="Non-Rolling Stock"/>
    <d v="2021-01-01T00:00:00"/>
    <d v="2021-01-01T00:00:00"/>
    <x v="30"/>
    <n v="1000"/>
    <n v="14040"/>
    <n v="705.63"/>
    <n v="14046"/>
    <n v="64.680000000000007"/>
    <n v="640.95000000000005"/>
    <n v="64.680000000000007"/>
    <n v="51260"/>
    <n v="5.88"/>
    <s v="P"/>
    <m/>
    <n v="28032"/>
    <m/>
    <s v="Internal"/>
    <s v="A"/>
    <s v="SL"/>
    <m/>
    <s v="WCNX"/>
    <n v="0"/>
    <n v="0"/>
    <n v="5051"/>
    <s v="Residential Recycling"/>
    <n v="1"/>
    <n v="2021"/>
    <n v="2031"/>
    <n v="2031.0833333333333"/>
    <n v="5.8802500000000002"/>
    <n v="70.563000000000002"/>
    <n v="70.563000000000002"/>
    <n v="0"/>
    <n v="70.563000000000002"/>
    <n v="635.06700000000001"/>
    <m/>
  </r>
  <r>
    <n v="2183"/>
    <n v="247406"/>
    <n v="219336"/>
    <s v="Tommie Vaugh Rebate"/>
    <m/>
    <m/>
    <m/>
    <m/>
    <n v="0"/>
    <m/>
    <m/>
    <s v="Non-Rolling Stock"/>
    <d v="2021-02-01T00:00:00"/>
    <d v="2021-02-01T00:00:00"/>
    <x v="31"/>
    <n v="806"/>
    <n v="14040"/>
    <n v="-300"/>
    <n v="14046"/>
    <n v="-29.4"/>
    <n v="-270.60000000000002"/>
    <n v="-29.4"/>
    <n v="51260"/>
    <n v="-2.94"/>
    <s v="P"/>
    <m/>
    <m/>
    <m/>
    <s v="Internal"/>
    <s v="A"/>
    <s v="SL"/>
    <m/>
    <s v="WCNX"/>
    <n v="0"/>
    <n v="0"/>
    <n v="6060"/>
    <s v="Service Equip"/>
    <n v="2"/>
    <n v="2021"/>
    <n v="2029.06"/>
    <n v="2029.2266666666667"/>
    <n v="-3.1017369727047144"/>
    <n v="-37.220843672456574"/>
    <n v="-37.220843672456574"/>
    <n v="0"/>
    <n v="-37.220843672456574"/>
    <n v="-262.77915632754343"/>
    <m/>
  </r>
  <r>
    <n v="2183"/>
    <n v="245845"/>
    <s v="P"/>
    <s v="95 Gallon Yardwaste Totes"/>
    <n v="702"/>
    <m/>
    <m/>
    <m/>
    <n v="0"/>
    <s v="REHRIG PACIFIC COMPANY IN"/>
    <m/>
    <s v="Non-Container Audit"/>
    <d v="2021-01-11T00:00:00"/>
    <d v="2021-01-11T00:00:00"/>
    <x v="26"/>
    <n v="700"/>
    <n v="14050"/>
    <n v="32670.21"/>
    <n v="14056"/>
    <n v="4278.2299999999996"/>
    <n v="28391.98"/>
    <n v="4278.2299999999996"/>
    <n v="54260"/>
    <n v="388.93"/>
    <s v="P"/>
    <m/>
    <n v="50145152"/>
    <m/>
    <s v="Internal"/>
    <s v="A"/>
    <s v="SL"/>
    <m/>
    <s v="WCNX"/>
    <n v="0"/>
    <n v="0"/>
    <m/>
    <s v="YW Carts"/>
    <n v="1"/>
    <n v="2021"/>
    <n v="2028"/>
    <n v="2028.0833333333333"/>
    <n v="388.93107142857139"/>
    <n v="4667.1728571428566"/>
    <n v="4667.1728571428566"/>
    <n v="0"/>
    <n v="4667.1728571428566"/>
    <n v="28003.037142857142"/>
    <m/>
  </r>
  <r>
    <n v="2183"/>
    <n v="245844"/>
    <s v="P"/>
    <s v="95 Gallon Recycle Totes"/>
    <n v="702"/>
    <m/>
    <m/>
    <m/>
    <n v="0"/>
    <s v="REHRIG PACIFIC COMPANY IN"/>
    <m/>
    <s v="Non-Container Audit"/>
    <d v="2021-01-11T00:00:00"/>
    <d v="2021-01-11T00:00:00"/>
    <x v="26"/>
    <n v="700"/>
    <n v="14050"/>
    <n v="32670.21"/>
    <n v="14056"/>
    <n v="4278.2299999999996"/>
    <n v="28391.98"/>
    <n v="4278.2299999999996"/>
    <n v="54260"/>
    <n v="388.93"/>
    <s v="P"/>
    <m/>
    <n v="50145152"/>
    <m/>
    <s v="Internal"/>
    <s v="A"/>
    <s v="SL"/>
    <m/>
    <s v="WCNX"/>
    <n v="0"/>
    <n v="0"/>
    <m/>
    <s v="Recycling Carts"/>
    <n v="1"/>
    <n v="2021"/>
    <n v="2028"/>
    <n v="2028.0833333333333"/>
    <n v="388.93107142857139"/>
    <n v="4667.1728571428566"/>
    <n v="4667.1728571428566"/>
    <n v="0"/>
    <n v="4667.1728571428566"/>
    <n v="28003.037142857142"/>
    <m/>
  </r>
  <r>
    <n v="2183"/>
    <n v="245709"/>
    <n v="242814"/>
    <s v="Truck 5051 Radio"/>
    <m/>
    <m/>
    <m/>
    <m/>
    <n v="0"/>
    <s v="WHISLER COMMUNICATIONS"/>
    <m/>
    <s v="Non-Rolling Stock"/>
    <d v="2021-01-01T00:00:00"/>
    <d v="2021-01-01T00:00:00"/>
    <x v="30"/>
    <n v="500"/>
    <n v="14040"/>
    <n v="784.07"/>
    <n v="14046"/>
    <n v="143.74"/>
    <n v="640.33000000000004"/>
    <n v="143.74"/>
    <n v="51260"/>
    <n v="13.06"/>
    <s v="P"/>
    <m/>
    <n v="70354"/>
    <m/>
    <s v="Internal"/>
    <s v="A"/>
    <s v="SL"/>
    <m/>
    <s v="WCNX"/>
    <n v="0"/>
    <n v="0"/>
    <n v="5051"/>
    <s v="Residential Recycling"/>
    <n v="1"/>
    <n v="2021"/>
    <n v="2026"/>
    <n v="2026.0833333333333"/>
    <n v="13.067833333333335"/>
    <n v="156.81400000000002"/>
    <n v="156.81400000000002"/>
    <n v="0"/>
    <n v="156.81400000000002"/>
    <n v="627.25600000000009"/>
    <m/>
  </r>
  <r>
    <n v="2183"/>
    <n v="244803"/>
    <n v="243666"/>
    <s v="Truck 1088 Radio"/>
    <m/>
    <m/>
    <m/>
    <m/>
    <n v="0"/>
    <s v="WHISLER COMMUNICATIONS"/>
    <m/>
    <s v="Non-Rolling Stock"/>
    <d v="2020-10-01T00:00:00"/>
    <d v="2020-10-01T00:00:00"/>
    <x v="29"/>
    <n v="500"/>
    <n v="14040"/>
    <n v="784.07"/>
    <n v="14046"/>
    <n v="182.94"/>
    <n v="601.13000000000011"/>
    <n v="143.74"/>
    <n v="51260"/>
    <n v="13.06"/>
    <s v="P"/>
    <m/>
    <n v="70355"/>
    <m/>
    <s v="Internal"/>
    <s v="A"/>
    <s v="SL"/>
    <m/>
    <s v="WCNX"/>
    <n v="0"/>
    <n v="0"/>
    <m/>
    <m/>
    <m/>
    <m/>
    <m/>
    <m/>
    <m/>
    <m/>
    <m/>
    <m/>
    <m/>
    <m/>
    <m/>
  </r>
  <r>
    <n v="2183"/>
    <n v="244706"/>
    <s v="P"/>
    <s v="(2) SF300 DriveCams"/>
    <n v="2"/>
    <m/>
    <m/>
    <m/>
    <n v="0"/>
    <s v="Lytx"/>
    <m/>
    <m/>
    <d v="2020-12-23T00:00:00"/>
    <d v="2020-12-23T00:00:00"/>
    <x v="32"/>
    <n v="500"/>
    <n v="14070"/>
    <n v="675.01"/>
    <n v="14076"/>
    <n v="123.75"/>
    <n v="551.26"/>
    <n v="123.75"/>
    <n v="51260"/>
    <n v="11.25"/>
    <s v="P"/>
    <m/>
    <n v="5331441"/>
    <m/>
    <s v="Internal"/>
    <s v="A"/>
    <s v="SL"/>
    <m/>
    <s v="WCNX"/>
    <n v="0"/>
    <n v="0"/>
    <m/>
    <m/>
    <m/>
    <m/>
    <m/>
    <m/>
    <m/>
    <m/>
    <m/>
    <m/>
    <m/>
    <m/>
    <m/>
  </r>
  <r>
    <n v="2183"/>
    <n v="244666"/>
    <n v="243666"/>
    <s v="DriveCam"/>
    <m/>
    <m/>
    <m/>
    <m/>
    <n v="0"/>
    <s v="Lytx"/>
    <m/>
    <s v="Non-Rolling Stock"/>
    <d v="2020-12-22T00:00:00"/>
    <d v="2020-12-22T00:00:00"/>
    <x v="29"/>
    <n v="500"/>
    <n v="14040"/>
    <n v="588.59"/>
    <n v="14046"/>
    <n v="107.91"/>
    <n v="480.68000000000006"/>
    <n v="107.91"/>
    <n v="51260"/>
    <n v="9.81"/>
    <s v="P"/>
    <m/>
    <n v="5331872"/>
    <m/>
    <s v="Internal"/>
    <s v="A"/>
    <s v="SL"/>
    <m/>
    <s v="WCNX"/>
    <n v="0"/>
    <n v="0"/>
    <m/>
    <m/>
    <m/>
    <m/>
    <m/>
    <m/>
    <m/>
    <m/>
    <m/>
    <m/>
    <m/>
    <m/>
    <m/>
  </r>
  <r>
    <n v="2183"/>
    <n v="244665"/>
    <n v="242814"/>
    <s v="Drive Cam"/>
    <m/>
    <m/>
    <m/>
    <m/>
    <n v="0"/>
    <s v="Lytx"/>
    <m/>
    <s v="Non-Rolling Stock"/>
    <d v="2020-12-29T00:00:00"/>
    <d v="2020-12-29T00:00:00"/>
    <x v="30"/>
    <n v="500"/>
    <n v="14040"/>
    <n v="592.41999999999996"/>
    <n v="14046"/>
    <n v="108.6"/>
    <n v="483.81999999999994"/>
    <n v="108.6"/>
    <n v="51260"/>
    <n v="9.8699999999999992"/>
    <s v="P"/>
    <m/>
    <n v="5331991"/>
    <m/>
    <s v="Internal"/>
    <s v="A"/>
    <s v="SL"/>
    <m/>
    <s v="WCNX"/>
    <n v="0"/>
    <n v="0"/>
    <m/>
    <m/>
    <m/>
    <m/>
    <m/>
    <m/>
    <m/>
    <m/>
    <m/>
    <m/>
    <m/>
    <m/>
    <m/>
  </r>
  <r>
    <n v="2183"/>
    <n v="244033"/>
    <s v="P"/>
    <s v="35 YD Rolloff"/>
    <n v="1"/>
    <m/>
    <m/>
    <m/>
    <n v="0"/>
    <m/>
    <m/>
    <s v="35 YD RO Box"/>
    <d v="2019-04-15T00:00:00"/>
    <m/>
    <x v="19"/>
    <n v="700"/>
    <n v="14050"/>
    <n v="3000"/>
    <n v="14056"/>
    <n v="1142.8599999999999"/>
    <n v="1857.14"/>
    <n v="392.86"/>
    <n v="54260"/>
    <n v="35.72"/>
    <s v="A"/>
    <s v="Lewis Clark"/>
    <m/>
    <n v="14050"/>
    <s v="Internal"/>
    <s v="A"/>
    <s v="SL"/>
    <d v="2020-11-30T00:00:00"/>
    <s v="WCNX"/>
    <n v="0"/>
    <n v="714.29"/>
    <m/>
    <m/>
    <m/>
    <m/>
    <m/>
    <m/>
    <m/>
    <m/>
    <m/>
    <m/>
    <m/>
    <m/>
    <m/>
  </r>
  <r>
    <n v="2183"/>
    <n v="243666"/>
    <s v="P"/>
    <s v="2021 Peterbilt REL Truck"/>
    <m/>
    <m/>
    <s v="3BPDLK0X4MF110199"/>
    <m/>
    <n v="2021"/>
    <s v="Peterbilt"/>
    <s v="Leach"/>
    <s v="REL Truck"/>
    <d v="2020-10-01T00:00:00"/>
    <d v="2020-10-01T00:00:00"/>
    <x v="33"/>
    <n v="1000"/>
    <n v="14040"/>
    <n v="302791.59999999998"/>
    <n v="14046"/>
    <n v="35325.68"/>
    <n v="267465.92"/>
    <n v="27755.89"/>
    <n v="51260"/>
    <n v="2523.2600000000002"/>
    <s v="P"/>
    <m/>
    <m/>
    <n v="1088"/>
    <s v="Internal"/>
    <s v="A"/>
    <s v="SL"/>
    <m/>
    <s v="WCNX"/>
    <n v="0"/>
    <n v="0"/>
    <m/>
    <m/>
    <m/>
    <m/>
    <m/>
    <m/>
    <m/>
    <m/>
    <m/>
    <m/>
    <m/>
    <m/>
    <m/>
  </r>
  <r>
    <n v="2183"/>
    <n v="243353"/>
    <s v="P"/>
    <s v="2 Yd REL Metal Commercial Containers"/>
    <n v="20"/>
    <m/>
    <m/>
    <m/>
    <n v="0"/>
    <s v="WASTEQUIP LLC"/>
    <m/>
    <s v="2 YD FEL/REL/SL Metal"/>
    <d v="2020-11-04T00:00:00"/>
    <d v="2020-11-04T00:00:00"/>
    <x v="34"/>
    <n v="1200"/>
    <n v="14050"/>
    <n v="12230.92"/>
    <n v="14056"/>
    <n v="1104.17"/>
    <n v="11126.75"/>
    <n v="934.3"/>
    <n v="54260"/>
    <n v="84.93"/>
    <s v="P"/>
    <m/>
    <s v="20INV000003744"/>
    <m/>
    <s v="Internal"/>
    <s v="A"/>
    <s v="SL"/>
    <m/>
    <s v="WCNX"/>
    <n v="0"/>
    <n v="0"/>
    <m/>
    <m/>
    <m/>
    <m/>
    <m/>
    <m/>
    <m/>
    <m/>
    <m/>
    <m/>
    <m/>
    <m/>
    <m/>
  </r>
  <r>
    <n v="2183"/>
    <n v="243352"/>
    <s v="P"/>
    <s v="1 Yd REL Metal Commercial Containers"/>
    <n v="15"/>
    <m/>
    <m/>
    <m/>
    <n v="0"/>
    <s v="WASTEQUIP LLC"/>
    <m/>
    <s v="1 YD FEL/REL/SL Metal"/>
    <d v="2020-11-04T00:00:00"/>
    <d v="2020-11-04T00:00:00"/>
    <x v="34"/>
    <n v="1200"/>
    <n v="14050"/>
    <n v="7614.24"/>
    <n v="14056"/>
    <n v="687.39"/>
    <n v="6926.8499999999995"/>
    <n v="581.64"/>
    <n v="54260"/>
    <n v="52.87"/>
    <s v="P"/>
    <m/>
    <s v="20INV000003744"/>
    <m/>
    <s v="Internal"/>
    <s v="A"/>
    <s v="SL"/>
    <m/>
    <s v="WCNX"/>
    <n v="0"/>
    <n v="0"/>
    <m/>
    <m/>
    <m/>
    <m/>
    <m/>
    <m/>
    <m/>
    <m/>
    <m/>
    <m/>
    <m/>
    <m/>
    <m/>
  </r>
  <r>
    <n v="2183"/>
    <n v="243351"/>
    <s v="P"/>
    <s v="5 YD FEL Metal Commercial Containers"/>
    <n v="13"/>
    <m/>
    <m/>
    <m/>
    <n v="0"/>
    <s v="WASTEQUIP LLC"/>
    <m/>
    <s v="5 YD FEL/REL/SL Metal"/>
    <d v="2020-11-04T00:00:00"/>
    <d v="2020-11-04T00:00:00"/>
    <x v="34"/>
    <n v="1200"/>
    <n v="14050"/>
    <n v="10026.52"/>
    <n v="14056"/>
    <n v="905.17"/>
    <n v="9121.35"/>
    <n v="765.91"/>
    <n v="54260"/>
    <n v="69.63"/>
    <s v="P"/>
    <m/>
    <s v="20INV000003324"/>
    <m/>
    <s v="Internal"/>
    <s v="A"/>
    <s v="SL"/>
    <m/>
    <s v="WCNX"/>
    <n v="0"/>
    <n v="0"/>
    <m/>
    <m/>
    <m/>
    <m/>
    <m/>
    <m/>
    <m/>
    <m/>
    <m/>
    <m/>
    <m/>
    <m/>
    <m/>
  </r>
  <r>
    <n v="2183"/>
    <n v="243350"/>
    <s v="P"/>
    <s v="5 Yd FEL Metal Commercial Container"/>
    <n v="2"/>
    <m/>
    <m/>
    <m/>
    <n v="0"/>
    <s v="WASTEQUIP LLC"/>
    <m/>
    <s v="5 YD FEL/REL/SL Metal"/>
    <d v="2020-11-04T00:00:00"/>
    <d v="2020-11-04T00:00:00"/>
    <x v="34"/>
    <n v="1200"/>
    <n v="14050"/>
    <n v="1542.56"/>
    <n v="14056"/>
    <n v="139.27000000000001"/>
    <n v="1403.29"/>
    <n v="117.84"/>
    <n v="54260"/>
    <n v="10.71"/>
    <s v="P"/>
    <m/>
    <s v="20INV000003326"/>
    <m/>
    <s v="Internal"/>
    <s v="A"/>
    <s v="SL"/>
    <m/>
    <s v="WCNX"/>
    <n v="0"/>
    <n v="0"/>
    <m/>
    <m/>
    <m/>
    <m/>
    <m/>
    <m/>
    <m/>
    <m/>
    <m/>
    <m/>
    <m/>
    <m/>
    <m/>
  </r>
  <r>
    <n v="2183"/>
    <n v="243349"/>
    <s v="P"/>
    <s v="3 Yd FEL Metal Commercial Containers"/>
    <n v="15"/>
    <m/>
    <m/>
    <m/>
    <n v="0"/>
    <s v="WASTEQUIP LLC"/>
    <m/>
    <s v="3 YD FEL/REL/SL Metal"/>
    <d v="2020-11-04T00:00:00"/>
    <d v="2020-11-04T00:00:00"/>
    <x v="34"/>
    <n v="1200"/>
    <n v="14050"/>
    <n v="7072.71"/>
    <n v="14056"/>
    <n v="638.5"/>
    <n v="6434.21"/>
    <n v="540.27"/>
    <n v="54260"/>
    <n v="49.11"/>
    <s v="P"/>
    <m/>
    <s v="20INV000003326"/>
    <m/>
    <s v="Internal"/>
    <s v="A"/>
    <s v="SL"/>
    <m/>
    <s v="WCNX"/>
    <n v="0"/>
    <n v="0"/>
    <m/>
    <m/>
    <m/>
    <m/>
    <m/>
    <m/>
    <m/>
    <m/>
    <m/>
    <m/>
    <m/>
    <m/>
    <m/>
  </r>
  <r>
    <n v="2183"/>
    <n v="243348"/>
    <s v="P"/>
    <s v="2 Yd FEL Metal Commercial Containers"/>
    <n v="10"/>
    <m/>
    <m/>
    <m/>
    <n v="0"/>
    <s v="WASTEQUIP LLC"/>
    <m/>
    <s v="2 YD FEL/REL/SL Metal"/>
    <d v="2020-11-04T00:00:00"/>
    <d v="2020-11-04T00:00:00"/>
    <x v="34"/>
    <n v="1200"/>
    <n v="14050"/>
    <n v="4638.5600000000004"/>
    <n v="14056"/>
    <n v="418.77"/>
    <n v="4219.7900000000009"/>
    <n v="354.34"/>
    <n v="54260"/>
    <n v="32.21"/>
    <s v="P"/>
    <m/>
    <s v="20INV000003326"/>
    <m/>
    <s v="Internal"/>
    <s v="A"/>
    <s v="SL"/>
    <m/>
    <s v="WCNX"/>
    <n v="0"/>
    <n v="0"/>
    <m/>
    <m/>
    <m/>
    <m/>
    <m/>
    <m/>
    <m/>
    <m/>
    <m/>
    <m/>
    <m/>
    <m/>
    <m/>
  </r>
  <r>
    <n v="2183"/>
    <n v="243347"/>
    <s v="P"/>
    <s v="1 Yd FEL Metal Commercial Containers"/>
    <n v="15"/>
    <m/>
    <m/>
    <m/>
    <n v="0"/>
    <s v="WASTEQUIP LLC"/>
    <m/>
    <s v="1 YD FEL/REL/SL Metal"/>
    <d v="2020-11-04T00:00:00"/>
    <d v="2020-11-04T00:00:00"/>
    <x v="34"/>
    <n v="1200"/>
    <n v="14050"/>
    <n v="6252.21"/>
    <n v="14056"/>
    <n v="564.44000000000005"/>
    <n v="5687.77"/>
    <n v="477.6"/>
    <n v="54260"/>
    <n v="43.42"/>
    <s v="P"/>
    <m/>
    <s v="20INV000003326"/>
    <m/>
    <s v="Internal"/>
    <s v="A"/>
    <s v="SL"/>
    <m/>
    <s v="WCNX"/>
    <n v="0"/>
    <n v="0"/>
    <m/>
    <m/>
    <m/>
    <m/>
    <m/>
    <m/>
    <m/>
    <m/>
    <m/>
    <m/>
    <m/>
    <m/>
    <m/>
  </r>
  <r>
    <n v="2183"/>
    <n v="243346"/>
    <s v="P"/>
    <s v="6Yd Metal Commercial Containers"/>
    <n v="2"/>
    <m/>
    <m/>
    <m/>
    <n v="0"/>
    <s v="WASTEQUIP LLC"/>
    <m/>
    <s v="6 YD FEL/REL/SL Metal"/>
    <d v="2020-11-04T00:00:00"/>
    <d v="2020-11-04T00:00:00"/>
    <x v="34"/>
    <n v="1200"/>
    <n v="14050"/>
    <n v="1525.04"/>
    <n v="14056"/>
    <n v="137.68"/>
    <n v="1387.36"/>
    <n v="116.5"/>
    <n v="54260"/>
    <n v="10.59"/>
    <s v="P"/>
    <m/>
    <s v="20INV000003322"/>
    <m/>
    <s v="Internal"/>
    <s v="A"/>
    <s v="SL"/>
    <m/>
    <s v="WCNX"/>
    <n v="0"/>
    <n v="0"/>
    <m/>
    <m/>
    <m/>
    <m/>
    <m/>
    <m/>
    <m/>
    <m/>
    <m/>
    <m/>
    <m/>
    <m/>
    <m/>
  </r>
  <r>
    <n v="2183"/>
    <n v="243345"/>
    <s v="P"/>
    <s v="4 Yd Metal Commercial Containers"/>
    <n v="15"/>
    <m/>
    <m/>
    <m/>
    <n v="0"/>
    <s v="WASTEQUIP LLC"/>
    <m/>
    <s v="4 YD FEL/REL/SL Metal"/>
    <d v="2020-11-04T00:00:00"/>
    <d v="2020-11-04T00:00:00"/>
    <x v="34"/>
    <n v="1200"/>
    <n v="14050"/>
    <n v="7876.8"/>
    <n v="14056"/>
    <n v="711.1"/>
    <n v="7165.7"/>
    <n v="601.70000000000005"/>
    <n v="54260"/>
    <n v="54.7"/>
    <s v="P"/>
    <m/>
    <s v="20INV000003322"/>
    <m/>
    <s v="Internal"/>
    <s v="A"/>
    <s v="SL"/>
    <m/>
    <s v="WCNX"/>
    <n v="0"/>
    <n v="0"/>
    <m/>
    <m/>
    <m/>
    <m/>
    <m/>
    <m/>
    <m/>
    <m/>
    <m/>
    <m/>
    <m/>
    <m/>
    <m/>
  </r>
  <r>
    <n v="2183"/>
    <n v="242995"/>
    <s v="P"/>
    <s v="6yd FEL Metal Commercial Containers"/>
    <n v="13"/>
    <m/>
    <m/>
    <m/>
    <n v="0"/>
    <s v="WASTEQUIP LLC"/>
    <m/>
    <s v="6 YD FEL/REL/SL Metal"/>
    <d v="2020-11-04T00:00:00"/>
    <d v="2020-11-04T00:00:00"/>
    <x v="34"/>
    <n v="1200"/>
    <n v="14050"/>
    <n v="9912.74"/>
    <n v="14056"/>
    <n v="894.9"/>
    <n v="9017.84"/>
    <n v="757.22"/>
    <n v="54260"/>
    <n v="68.84"/>
    <s v="P"/>
    <m/>
    <s v="20INV000003320"/>
    <m/>
    <s v="Internal"/>
    <s v="A"/>
    <s v="SL"/>
    <m/>
    <s v="WCNX"/>
    <n v="0"/>
    <n v="0"/>
    <m/>
    <m/>
    <m/>
    <m/>
    <m/>
    <m/>
    <m/>
    <m/>
    <m/>
    <m/>
    <m/>
    <m/>
    <m/>
  </r>
  <r>
    <n v="2183"/>
    <n v="242814"/>
    <s v="P"/>
    <s v="2021 Peterbilt Recycle Truck"/>
    <m/>
    <m/>
    <s v="3BPDHJ7X5MF110195"/>
    <m/>
    <n v="2021"/>
    <s v="Peterbilt"/>
    <s v="Kann"/>
    <s v="Recycle Truck"/>
    <d v="2020-11-01T00:00:00"/>
    <d v="2020-11-01T00:00:00"/>
    <x v="35"/>
    <n v="1000"/>
    <n v="14040"/>
    <n v="247824.64000000001"/>
    <n v="14046"/>
    <n v="26847.66"/>
    <n v="220976.98"/>
    <n v="22717.25"/>
    <n v="51260"/>
    <n v="2065.1999999999998"/>
    <s v="P"/>
    <m/>
    <m/>
    <n v="5051"/>
    <s v="Internal"/>
    <s v="A"/>
    <s v="SL"/>
    <m/>
    <s v="WCNX"/>
    <n v="0"/>
    <n v="0"/>
    <m/>
    <m/>
    <m/>
    <m/>
    <m/>
    <m/>
    <m/>
    <m/>
    <m/>
    <m/>
    <m/>
    <m/>
    <m/>
  </r>
  <r>
    <n v="2183"/>
    <n v="242699"/>
    <n v="241234"/>
    <s v="Radio"/>
    <m/>
    <m/>
    <m/>
    <m/>
    <n v="0"/>
    <s v="WHISLER COMMUNICATIONS"/>
    <m/>
    <s v="Non-Rolling Stock"/>
    <d v="2020-11-17T00:00:00"/>
    <d v="2020-11-17T00:00:00"/>
    <x v="36"/>
    <n v="500"/>
    <n v="14040"/>
    <n v="667.34"/>
    <n v="14046"/>
    <n v="133.47"/>
    <n v="533.87"/>
    <n v="122.35"/>
    <n v="51260"/>
    <n v="11.12"/>
    <s v="P"/>
    <m/>
    <n v="70275"/>
    <m/>
    <s v="Internal"/>
    <s v="A"/>
    <s v="SL"/>
    <m/>
    <s v="WCNX"/>
    <n v="0"/>
    <n v="0"/>
    <m/>
    <m/>
    <m/>
    <m/>
    <m/>
    <m/>
    <m/>
    <m/>
    <m/>
    <m/>
    <m/>
    <m/>
    <m/>
  </r>
  <r>
    <n v="2183"/>
    <n v="242536"/>
    <n v="241234"/>
    <s v="DriveCam"/>
    <m/>
    <m/>
    <m/>
    <m/>
    <n v="0"/>
    <s v="Lytx"/>
    <m/>
    <s v="Non-Rolling Stock"/>
    <d v="2020-11-17T00:00:00"/>
    <d v="2020-11-17T00:00:00"/>
    <x v="36"/>
    <n v="500"/>
    <n v="14040"/>
    <n v="584.21"/>
    <n v="14046"/>
    <n v="116.84"/>
    <n v="467.37"/>
    <n v="107.1"/>
    <n v="51260"/>
    <n v="9.73"/>
    <s v="P"/>
    <m/>
    <n v="5322981"/>
    <m/>
    <s v="Internal"/>
    <s v="A"/>
    <s v="SL"/>
    <m/>
    <s v="WCNX"/>
    <n v="0"/>
    <n v="0"/>
    <m/>
    <m/>
    <m/>
    <m/>
    <m/>
    <m/>
    <m/>
    <m/>
    <m/>
    <m/>
    <m/>
    <m/>
    <m/>
  </r>
  <r>
    <n v="2183"/>
    <n v="242363"/>
    <n v="241234"/>
    <s v="Truck 3703 Decals"/>
    <m/>
    <m/>
    <m/>
    <m/>
    <n v="0"/>
    <s v="Larsen Sign Co."/>
    <m/>
    <s v="Non-Rolling Stock"/>
    <d v="2020-11-17T00:00:00"/>
    <d v="2020-11-17T00:00:00"/>
    <x v="36"/>
    <n v="1000"/>
    <n v="14040"/>
    <n v="957.25"/>
    <n v="14046"/>
    <n v="95.73"/>
    <n v="861.52"/>
    <n v="87.75"/>
    <n v="51260"/>
    <n v="7.97"/>
    <s v="P"/>
    <m/>
    <n v="27870"/>
    <m/>
    <s v="Internal"/>
    <s v="A"/>
    <s v="SL"/>
    <m/>
    <s v="WCNX"/>
    <n v="0"/>
    <n v="0"/>
    <m/>
    <m/>
    <m/>
    <m/>
    <m/>
    <m/>
    <m/>
    <m/>
    <m/>
    <m/>
    <m/>
    <m/>
    <m/>
  </r>
  <r>
    <n v="2183"/>
    <n v="241858"/>
    <s v="P"/>
    <s v="20 yd RO Boxes"/>
    <n v="2"/>
    <m/>
    <m/>
    <m/>
    <n v="0"/>
    <m/>
    <m/>
    <s v="20 YD RO Box"/>
    <d v="2019-11-01T00:00:00"/>
    <d v="2019-11-01T00:00:00"/>
    <x v="37"/>
    <n v="0"/>
    <n v="14050"/>
    <n v="0"/>
    <n v="14056"/>
    <n v="0"/>
    <n v="0"/>
    <n v="0"/>
    <n v="54260"/>
    <n v="0"/>
    <s v="P"/>
    <m/>
    <m/>
    <m/>
    <s v="Internal"/>
    <s v="A"/>
    <s v="NO"/>
    <m/>
    <s v="WCNX"/>
    <n v="0"/>
    <n v="0"/>
    <m/>
    <m/>
    <m/>
    <m/>
    <m/>
    <m/>
    <m/>
    <m/>
    <m/>
    <m/>
    <m/>
    <m/>
    <m/>
  </r>
  <r>
    <n v="2183"/>
    <n v="241480"/>
    <s v="P"/>
    <s v="95 Gallon Yardwaste Totes"/>
    <n v="702"/>
    <m/>
    <m/>
    <m/>
    <n v="0"/>
    <s v="REHRIG PACIFIC COMPANY IN"/>
    <m/>
    <s v="Non-Container Audit"/>
    <d v="2020-11-13T00:00:00"/>
    <d v="2020-11-13T00:00:00"/>
    <x v="38"/>
    <n v="700"/>
    <n v="14050"/>
    <n v="31902.22"/>
    <n v="14056"/>
    <n v="4937.25"/>
    <n v="26964.97"/>
    <n v="4177.67"/>
    <n v="54260"/>
    <n v="379.79"/>
    <s v="P"/>
    <m/>
    <n v="50133968"/>
    <m/>
    <s v="Internal"/>
    <s v="A"/>
    <s v="SL"/>
    <m/>
    <s v="WCNX"/>
    <n v="0"/>
    <n v="0"/>
    <m/>
    <m/>
    <m/>
    <m/>
    <m/>
    <m/>
    <m/>
    <m/>
    <m/>
    <m/>
    <m/>
    <m/>
    <m/>
  </r>
  <r>
    <n v="2183"/>
    <n v="241479"/>
    <s v="P"/>
    <s v="95 Gallon Recycle Totes"/>
    <n v="702"/>
    <m/>
    <m/>
    <m/>
    <n v="0"/>
    <s v="REHRIG PACIFIC COMPANY IN"/>
    <m/>
    <s v="Non-Container Audit"/>
    <d v="2020-11-13T00:00:00"/>
    <d v="2020-11-13T00:00:00"/>
    <x v="38"/>
    <n v="700"/>
    <n v="14050"/>
    <n v="31902.22"/>
    <n v="14056"/>
    <n v="4937.25"/>
    <n v="26964.97"/>
    <n v="4177.67"/>
    <n v="54260"/>
    <n v="379.79"/>
    <s v="P"/>
    <m/>
    <n v="50133968"/>
    <m/>
    <s v="Internal"/>
    <s v="A"/>
    <s v="SL"/>
    <m/>
    <s v="WCNX"/>
    <n v="0"/>
    <n v="0"/>
    <m/>
    <m/>
    <m/>
    <m/>
    <m/>
    <m/>
    <m/>
    <m/>
    <m/>
    <m/>
    <m/>
    <m/>
    <m/>
  </r>
  <r>
    <n v="2183"/>
    <n v="241478"/>
    <s v="P"/>
    <s v="65 Gallon MSW Totes"/>
    <n v="972"/>
    <m/>
    <m/>
    <m/>
    <n v="0"/>
    <s v="REHRIG PACIFIC COMPANY IN"/>
    <m/>
    <s v="Non-Container Audit"/>
    <d v="2020-11-13T00:00:00"/>
    <d v="2020-11-13T00:00:00"/>
    <x v="38"/>
    <n v="700"/>
    <n v="14050"/>
    <n v="38855.47"/>
    <n v="14056"/>
    <n v="6013.35"/>
    <n v="32842.120000000003"/>
    <n v="5088.22"/>
    <n v="54260"/>
    <n v="462.57"/>
    <s v="P"/>
    <m/>
    <n v="50134144"/>
    <m/>
    <s v="Internal"/>
    <s v="A"/>
    <s v="SL"/>
    <m/>
    <s v="WCNX"/>
    <n v="0"/>
    <n v="0"/>
    <m/>
    <m/>
    <m/>
    <m/>
    <m/>
    <m/>
    <m/>
    <m/>
    <m/>
    <m/>
    <m/>
    <m/>
    <m/>
  </r>
  <r>
    <n v="2183"/>
    <n v="241477"/>
    <s v="P"/>
    <s v="95 Gallon MSW Totes"/>
    <n v="702"/>
    <m/>
    <m/>
    <m/>
    <n v="0"/>
    <s v="REHRIG PACIFIC COMPANY IN"/>
    <m/>
    <s v="Non-Container Audit"/>
    <d v="2020-11-13T00:00:00"/>
    <d v="2020-11-13T00:00:00"/>
    <x v="38"/>
    <n v="700"/>
    <n v="14050"/>
    <n v="31902.22"/>
    <n v="14056"/>
    <n v="4937.25"/>
    <n v="26964.97"/>
    <n v="4177.67"/>
    <n v="54260"/>
    <n v="379.79"/>
    <s v="P"/>
    <m/>
    <n v="50134144"/>
    <m/>
    <s v="Internal"/>
    <s v="A"/>
    <s v="SL"/>
    <m/>
    <s v="WCNX"/>
    <n v="0"/>
    <n v="0"/>
    <m/>
    <m/>
    <m/>
    <m/>
    <m/>
    <m/>
    <m/>
    <m/>
    <m/>
    <m/>
    <m/>
    <m/>
    <m/>
  </r>
  <r>
    <n v="2183"/>
    <n v="241476"/>
    <s v="P"/>
    <s v="35 Gallons MSW Totes"/>
    <n v="540"/>
    <m/>
    <m/>
    <m/>
    <n v="0"/>
    <s v="REHRIG PACIFIC COMPANY IN"/>
    <m/>
    <s v="Non-Container Audit"/>
    <d v="2020-11-13T00:00:00"/>
    <d v="2020-11-13T00:00:00"/>
    <x v="38"/>
    <n v="700"/>
    <n v="14050"/>
    <n v="18632.57"/>
    <n v="14056"/>
    <n v="2883.61"/>
    <n v="15748.96"/>
    <n v="2439.98"/>
    <n v="54260"/>
    <n v="221.81"/>
    <s v="P"/>
    <m/>
    <n v="50134144"/>
    <m/>
    <s v="Internal"/>
    <s v="A"/>
    <s v="SL"/>
    <m/>
    <s v="WCNX"/>
    <n v="0"/>
    <n v="0"/>
    <m/>
    <m/>
    <m/>
    <m/>
    <m/>
    <m/>
    <m/>
    <m/>
    <m/>
    <m/>
    <m/>
    <m/>
    <m/>
  </r>
  <r>
    <n v="2183"/>
    <n v="241234"/>
    <s v="P"/>
    <s v="2020 Peterbilt ASL Truck"/>
    <m/>
    <m/>
    <s v="3BPDLK0X7LF108414"/>
    <m/>
    <n v="2020"/>
    <s v="Peterbilt"/>
    <s v="Labrie"/>
    <s v="Automated Sideload"/>
    <d v="2020-10-01T00:00:00"/>
    <d v="2020-10-01T00:00:00"/>
    <x v="39"/>
    <n v="1000"/>
    <n v="14040"/>
    <n v="368277.46"/>
    <n v="14046"/>
    <n v="42965.71"/>
    <n v="325311.75"/>
    <n v="33758.769999999997"/>
    <n v="51260"/>
    <n v="3068.98"/>
    <s v="P"/>
    <m/>
    <m/>
    <n v="3703"/>
    <s v="Internal"/>
    <s v="A"/>
    <s v="SL"/>
    <m/>
    <s v="WCNX"/>
    <n v="0"/>
    <n v="0"/>
    <m/>
    <m/>
    <m/>
    <m/>
    <m/>
    <m/>
    <m/>
    <m/>
    <m/>
    <m/>
    <m/>
    <m/>
    <m/>
  </r>
  <r>
    <n v="2183"/>
    <n v="240655"/>
    <n v="236404"/>
    <s v="Licensing for Truck 4523"/>
    <m/>
    <m/>
    <m/>
    <m/>
    <n v="0"/>
    <s v="WA DOL"/>
    <m/>
    <s v="Non-Rolling Stock"/>
    <d v="2020-09-11T00:00:00"/>
    <d v="2020-09-11T00:00:00"/>
    <x v="40"/>
    <n v="1000"/>
    <n v="14040"/>
    <n v="537.99"/>
    <n v="14046"/>
    <n v="67.25"/>
    <n v="470.74"/>
    <n v="49.32"/>
    <n v="51260"/>
    <n v="4.49"/>
    <s v="P"/>
    <m/>
    <s v="C77889U"/>
    <m/>
    <s v="Internal"/>
    <s v="A"/>
    <s v="SL"/>
    <m/>
    <s v="WCNX"/>
    <n v="0"/>
    <n v="0"/>
    <m/>
    <m/>
    <m/>
    <m/>
    <m/>
    <m/>
    <m/>
    <m/>
    <m/>
    <m/>
    <m/>
    <m/>
    <m/>
  </r>
  <r>
    <n v="2183"/>
    <n v="240654"/>
    <n v="236404"/>
    <s v="New RO Truck 4523 Decals"/>
    <m/>
    <m/>
    <m/>
    <m/>
    <n v="0"/>
    <s v="Larsen Sign Co."/>
    <m/>
    <s v="Non-Rolling Stock"/>
    <d v="2020-09-11T00:00:00"/>
    <d v="2020-09-11T00:00:00"/>
    <x v="40"/>
    <n v="1000"/>
    <n v="14040"/>
    <n v="268.02999999999997"/>
    <n v="14046"/>
    <n v="33.51"/>
    <n v="234.51999999999998"/>
    <n v="24.57"/>
    <n v="51260"/>
    <n v="2.2400000000000002"/>
    <s v="P"/>
    <m/>
    <n v="27560"/>
    <m/>
    <s v="Internal"/>
    <s v="A"/>
    <s v="SL"/>
    <m/>
    <s v="WCNX"/>
    <n v="0"/>
    <n v="0"/>
    <m/>
    <m/>
    <m/>
    <m/>
    <m/>
    <m/>
    <m/>
    <m/>
    <m/>
    <m/>
    <m/>
    <m/>
    <m/>
  </r>
  <r>
    <n v="2183"/>
    <n v="240653"/>
    <n v="237513"/>
    <s v="Decals"/>
    <m/>
    <m/>
    <m/>
    <m/>
    <n v="0"/>
    <s v="Larsen Sign Co"/>
    <m/>
    <s v="Non-Rolling Stock"/>
    <d v="2020-08-12T00:00:00"/>
    <d v="2020-08-12T00:00:00"/>
    <x v="41"/>
    <n v="1000"/>
    <n v="14040"/>
    <n v="220.99"/>
    <n v="14046"/>
    <n v="29.47"/>
    <n v="191.52"/>
    <n v="20.260000000000002"/>
    <n v="51260"/>
    <n v="1.84"/>
    <s v="P"/>
    <m/>
    <n v="27447"/>
    <m/>
    <s v="Internal"/>
    <s v="A"/>
    <s v="SL"/>
    <m/>
    <s v="WCNX"/>
    <n v="0"/>
    <n v="0"/>
    <m/>
    <m/>
    <m/>
    <m/>
    <m/>
    <m/>
    <m/>
    <m/>
    <m/>
    <m/>
    <m/>
    <m/>
    <m/>
  </r>
  <r>
    <n v="2183"/>
    <n v="240614"/>
    <n v="240613"/>
    <s v="(30) Power Harnesses for new DriveCams"/>
    <n v="30"/>
    <m/>
    <m/>
    <m/>
    <n v="0"/>
    <s v="Lytx"/>
    <m/>
    <m/>
    <d v="2020-10-22T00:00:00"/>
    <d v="2020-10-22T00:00:00"/>
    <x v="32"/>
    <n v="500"/>
    <n v="14070"/>
    <n v="1148.7"/>
    <n v="14076"/>
    <n v="248.89"/>
    <n v="899.81000000000006"/>
    <n v="210.6"/>
    <n v="51260"/>
    <n v="19.149999999999999"/>
    <s v="P"/>
    <m/>
    <n v="5314907"/>
    <m/>
    <s v="Internal"/>
    <s v="A"/>
    <s v="SL"/>
    <m/>
    <s v="WCNX"/>
    <n v="0"/>
    <n v="0"/>
    <m/>
    <m/>
    <m/>
    <m/>
    <m/>
    <m/>
    <m/>
    <m/>
    <m/>
    <m/>
    <m/>
    <m/>
    <m/>
  </r>
  <r>
    <n v="2183"/>
    <n v="240613"/>
    <s v="P"/>
    <s v="(108) SF300 DriveCams"/>
    <n v="108"/>
    <m/>
    <m/>
    <m/>
    <n v="0"/>
    <s v="Lytx"/>
    <m/>
    <m/>
    <d v="2020-10-01T00:00:00"/>
    <d v="2020-10-01T00:00:00"/>
    <x v="32"/>
    <n v="500"/>
    <n v="14070"/>
    <n v="99074.29"/>
    <n v="14076"/>
    <n v="23117.34"/>
    <n v="75956.95"/>
    <n v="18163.62"/>
    <n v="51260"/>
    <n v="1651.24"/>
    <s v="P"/>
    <m/>
    <n v="5307736"/>
    <m/>
    <s v="Internal"/>
    <s v="A"/>
    <s v="SL"/>
    <m/>
    <s v="WCNX"/>
    <n v="0"/>
    <n v="0"/>
    <m/>
    <m/>
    <m/>
    <m/>
    <m/>
    <m/>
    <m/>
    <m/>
    <m/>
    <m/>
    <m/>
    <m/>
    <m/>
  </r>
  <r>
    <n v="2183"/>
    <n v="240306"/>
    <s v="P"/>
    <s v="30YD Containers"/>
    <n v="1"/>
    <m/>
    <m/>
    <m/>
    <n v="0"/>
    <m/>
    <m/>
    <s v="30 YD RO Box"/>
    <d v="2008-11-03T00:00:00"/>
    <m/>
    <x v="19"/>
    <n v="700"/>
    <n v="14050"/>
    <n v="135.63999999999999"/>
    <n v="14056"/>
    <n v="135.63999999999999"/>
    <n v="0"/>
    <n v="0"/>
    <n v="54260"/>
    <n v="0"/>
    <s v="A"/>
    <s v="LeMay Enterprises"/>
    <m/>
    <m/>
    <s v="Internal"/>
    <s v="A"/>
    <s v="SL"/>
    <d v="2020-09-30T00:00:00"/>
    <s v="WCNX"/>
    <n v="0"/>
    <n v="135.63999999999999"/>
    <m/>
    <m/>
    <m/>
    <m/>
    <m/>
    <m/>
    <m/>
    <m/>
    <m/>
    <m/>
    <m/>
    <m/>
    <m/>
  </r>
  <r>
    <n v="2183"/>
    <n v="240299"/>
    <s v="P"/>
    <s v="20 Yard R/O Containers"/>
    <n v="30"/>
    <m/>
    <m/>
    <m/>
    <n v="0"/>
    <m/>
    <m/>
    <s v="20 YD RO Box"/>
    <d v="2008-11-03T00:00:00"/>
    <d v="2008-11-03T00:00:00"/>
    <x v="19"/>
    <n v="700"/>
    <n v="14050"/>
    <n v="5438.78"/>
    <n v="14056"/>
    <n v="5438.78"/>
    <n v="0"/>
    <n v="0"/>
    <n v="54260"/>
    <n v="0"/>
    <s v="A"/>
    <s v="LeMay Enterprises"/>
    <m/>
    <m/>
    <s v="Internal"/>
    <s v="A"/>
    <s v="SL"/>
    <d v="2020-09-30T00:00:00"/>
    <s v="WCNX"/>
    <n v="0"/>
    <n v="5438.78"/>
    <m/>
    <m/>
    <m/>
    <m/>
    <m/>
    <m/>
    <m/>
    <m/>
    <m/>
    <m/>
    <m/>
    <m/>
    <m/>
  </r>
  <r>
    <n v="2183"/>
    <n v="240153"/>
    <s v="P"/>
    <s v="30 Yard R/O Containers"/>
    <n v="2"/>
    <m/>
    <m/>
    <m/>
    <n v="0"/>
    <m/>
    <m/>
    <s v="30 YD RO Box"/>
    <d v="2008-11-03T00:00:00"/>
    <d v="2008-11-03T00:00:00"/>
    <x v="19"/>
    <n v="700"/>
    <n v="14050"/>
    <n v="3060"/>
    <n v="14056"/>
    <n v="3060"/>
    <n v="0"/>
    <n v="0"/>
    <n v="54260"/>
    <n v="0"/>
    <s v="A"/>
    <s v="LeMay Enterprises"/>
    <m/>
    <m/>
    <s v="Internal"/>
    <s v="A"/>
    <s v="SL"/>
    <d v="2020-09-30T00:00:00"/>
    <s v="WCNX"/>
    <n v="0"/>
    <n v="3060"/>
    <m/>
    <m/>
    <m/>
    <m/>
    <m/>
    <m/>
    <m/>
    <m/>
    <m/>
    <m/>
    <m/>
    <m/>
    <m/>
  </r>
  <r>
    <n v="2183"/>
    <n v="239456"/>
    <n v="236404"/>
    <s v="Drive Cam"/>
    <m/>
    <m/>
    <m/>
    <m/>
    <n v="0"/>
    <s v="Lytx"/>
    <m/>
    <s v="Non-Rolling Stock"/>
    <d v="2020-08-01T00:00:00"/>
    <d v="2020-08-01T00:00:00"/>
    <x v="40"/>
    <n v="500"/>
    <n v="14040"/>
    <n v="342.97"/>
    <n v="14046"/>
    <n v="91.45"/>
    <n v="251.52000000000004"/>
    <n v="62.87"/>
    <n v="51260"/>
    <n v="5.71"/>
    <s v="P"/>
    <m/>
    <n v="5306350"/>
    <m/>
    <s v="Internal"/>
    <s v="A"/>
    <s v="SL"/>
    <m/>
    <s v="WCNX"/>
    <n v="0"/>
    <n v="0"/>
    <m/>
    <m/>
    <m/>
    <m/>
    <m/>
    <m/>
    <m/>
    <m/>
    <m/>
    <m/>
    <m/>
    <m/>
    <m/>
  </r>
  <r>
    <n v="2183"/>
    <n v="239455"/>
    <n v="237513"/>
    <s v="License"/>
    <m/>
    <m/>
    <m/>
    <m/>
    <n v="0"/>
    <s v="WA DOL"/>
    <m/>
    <s v="Non-Rolling Stock"/>
    <d v="2020-09-01T00:00:00"/>
    <d v="2020-09-01T00:00:00"/>
    <x v="41"/>
    <n v="1000"/>
    <n v="14040"/>
    <n v="1009.58"/>
    <n v="14046"/>
    <n v="126.18"/>
    <n v="883.40000000000009"/>
    <n v="92.54"/>
    <n v="51260"/>
    <n v="8.41"/>
    <s v="P"/>
    <m/>
    <n v="91720"/>
    <m/>
    <s v="Internal"/>
    <s v="A"/>
    <s v="SL"/>
    <m/>
    <s v="WCNX"/>
    <n v="0"/>
    <n v="0"/>
    <m/>
    <m/>
    <m/>
    <m/>
    <m/>
    <m/>
    <m/>
    <m/>
    <m/>
    <m/>
    <m/>
    <m/>
    <m/>
  </r>
  <r>
    <n v="2183"/>
    <n v="239454"/>
    <n v="237513"/>
    <s v="License on RO Truck"/>
    <m/>
    <m/>
    <m/>
    <m/>
    <n v="0"/>
    <s v="WA DOL"/>
    <m/>
    <s v="Non-Rolling Stock"/>
    <d v="2020-09-01T00:00:00"/>
    <d v="2020-09-01T00:00:00"/>
    <x v="41"/>
    <n v="1000"/>
    <n v="14040"/>
    <n v="427.45"/>
    <n v="14046"/>
    <n v="53.44"/>
    <n v="374.01"/>
    <n v="39.19"/>
    <n v="51260"/>
    <n v="3.56"/>
    <s v="P"/>
    <m/>
    <n v="91120"/>
    <m/>
    <s v="Internal"/>
    <s v="A"/>
    <s v="SL"/>
    <m/>
    <s v="WCNX"/>
    <n v="0"/>
    <n v="0"/>
    <m/>
    <m/>
    <m/>
    <m/>
    <m/>
    <m/>
    <m/>
    <m/>
    <m/>
    <m/>
    <m/>
    <m/>
    <m/>
  </r>
  <r>
    <n v="2183"/>
    <n v="237935"/>
    <s v="P"/>
    <s v="5YD Commercial Containers"/>
    <n v="1"/>
    <m/>
    <m/>
    <m/>
    <n v="0"/>
    <m/>
    <m/>
    <s v="5 YD FEL/REL/SL Metal"/>
    <d v="2008-11-03T00:00:00"/>
    <m/>
    <x v="19"/>
    <n v="1200"/>
    <n v="14050"/>
    <n v="274.99"/>
    <n v="14056"/>
    <n v="274.99"/>
    <n v="0"/>
    <n v="0"/>
    <n v="54260"/>
    <n v="0"/>
    <s v="A"/>
    <s v="LeMay Enterprises"/>
    <m/>
    <m/>
    <s v="Internal"/>
    <s v="A"/>
    <s v="SL"/>
    <d v="2020-08-31T00:00:00"/>
    <s v="WCNX"/>
    <n v="0"/>
    <n v="271.17"/>
    <m/>
    <m/>
    <m/>
    <m/>
    <m/>
    <m/>
    <m/>
    <m/>
    <m/>
    <m/>
    <m/>
    <m/>
    <m/>
  </r>
  <r>
    <n v="2183"/>
    <n v="237687"/>
    <s v="P"/>
    <s v="30 Yard R/O Containers"/>
    <n v="25"/>
    <m/>
    <m/>
    <m/>
    <n v="0"/>
    <m/>
    <m/>
    <s v="30 YD RO Box"/>
    <d v="2008-11-03T00:00:00"/>
    <d v="2008-11-03T00:00:00"/>
    <x v="19"/>
    <n v="700"/>
    <n v="14050"/>
    <n v="37543.25"/>
    <n v="14056"/>
    <n v="37543.25"/>
    <n v="0"/>
    <n v="0"/>
    <n v="54260"/>
    <n v="0"/>
    <s v="A"/>
    <s v="LeMay Enterprises"/>
    <m/>
    <m/>
    <s v="Internal"/>
    <s v="A"/>
    <s v="SL"/>
    <d v="2020-08-31T00:00:00"/>
    <s v="WCNX"/>
    <n v="0"/>
    <n v="37543.25"/>
    <m/>
    <m/>
    <m/>
    <m/>
    <m/>
    <m/>
    <m/>
    <m/>
    <m/>
    <m/>
    <m/>
    <m/>
    <m/>
  </r>
  <r>
    <n v="2183"/>
    <n v="237569"/>
    <s v="P"/>
    <s v="95 Gallon Refuse Containers"/>
    <n v="351"/>
    <m/>
    <m/>
    <m/>
    <n v="0"/>
    <s v="REHRIG PACIFIC COMPANY IN"/>
    <m/>
    <s v="Non-Container Audit"/>
    <d v="2020-07-28T00:00:00"/>
    <d v="2020-07-28T00:00:00"/>
    <x v="42"/>
    <n v="700"/>
    <n v="14050"/>
    <n v="15029.53"/>
    <n v="14056"/>
    <n v="2862.78"/>
    <n v="12166.75"/>
    <n v="1968.16"/>
    <n v="54260"/>
    <n v="178.93"/>
    <s v="P"/>
    <m/>
    <n v="50115806"/>
    <m/>
    <s v="Internal"/>
    <s v="A"/>
    <s v="SL"/>
    <m/>
    <s v="WCNX"/>
    <n v="0"/>
    <n v="0"/>
    <m/>
    <m/>
    <m/>
    <m/>
    <m/>
    <m/>
    <m/>
    <m/>
    <m/>
    <m/>
    <m/>
    <m/>
    <m/>
  </r>
  <r>
    <n v="2183"/>
    <n v="237513"/>
    <s v="P"/>
    <s v="2020 Peterbilt ROL Truck"/>
    <m/>
    <m/>
    <s v="1NPCX4EX1LD730317"/>
    <m/>
    <n v="2020"/>
    <s v="Peterbilt"/>
    <s v="AA Welding"/>
    <s v="R/O Truck"/>
    <d v="2020-09-01T00:00:00"/>
    <d v="2020-09-01T00:00:00"/>
    <x v="43"/>
    <n v="1000"/>
    <n v="14040"/>
    <n v="269291.76"/>
    <n v="14046"/>
    <n v="33661.47"/>
    <n v="235630.29"/>
    <n v="24685.08"/>
    <n v="51260"/>
    <n v="2244.1"/>
    <s v="P"/>
    <m/>
    <m/>
    <n v="4089"/>
    <s v="Internal"/>
    <s v="A"/>
    <s v="SL"/>
    <m/>
    <s v="WCNX"/>
    <n v="0"/>
    <n v="0"/>
    <m/>
    <m/>
    <m/>
    <m/>
    <m/>
    <m/>
    <m/>
    <m/>
    <m/>
    <m/>
    <m/>
    <m/>
    <m/>
  </r>
  <r>
    <n v="2183"/>
    <n v="236859"/>
    <s v="P"/>
    <s v="2Yd FEL Metal Containers"/>
    <n v="15"/>
    <m/>
    <m/>
    <m/>
    <n v="0"/>
    <s v="WASTEQUIP LLC"/>
    <m/>
    <s v="2 YD FEL/REL/SL Metal"/>
    <d v="2020-08-04T00:00:00"/>
    <d v="2020-08-04T00:00:00"/>
    <x v="44"/>
    <n v="1200"/>
    <n v="14050"/>
    <n v="7349.18"/>
    <n v="14056"/>
    <n v="816.57"/>
    <n v="6532.6100000000006"/>
    <n v="561.39"/>
    <n v="54260"/>
    <n v="51.03"/>
    <s v="P"/>
    <m/>
    <n v="37221398"/>
    <m/>
    <s v="Internal"/>
    <s v="A"/>
    <s v="SL"/>
    <m/>
    <s v="WCNX"/>
    <n v="0"/>
    <n v="0"/>
    <m/>
    <m/>
    <m/>
    <m/>
    <m/>
    <m/>
    <m/>
    <m/>
    <m/>
    <m/>
    <m/>
    <m/>
    <m/>
  </r>
  <r>
    <n v="2183"/>
    <n v="236858"/>
    <s v="P"/>
    <s v="2Yd REL Metal Containers"/>
    <n v="25"/>
    <m/>
    <m/>
    <m/>
    <n v="0"/>
    <s v="WASTEQUIP LLC"/>
    <m/>
    <s v="2 YD FEL/REL/SL Metal"/>
    <d v="2020-08-04T00:00:00"/>
    <d v="2020-08-04T00:00:00"/>
    <x v="44"/>
    <n v="1200"/>
    <n v="14050"/>
    <n v="15940.84"/>
    <n v="14056"/>
    <n v="1771.2"/>
    <n v="14169.64"/>
    <n v="1217.7"/>
    <n v="54260"/>
    <n v="110.7"/>
    <s v="P"/>
    <m/>
    <n v="37221398"/>
    <m/>
    <s v="Internal"/>
    <s v="A"/>
    <s v="SL"/>
    <m/>
    <s v="WCNX"/>
    <n v="0"/>
    <n v="0"/>
    <m/>
    <m/>
    <m/>
    <m/>
    <m/>
    <m/>
    <m/>
    <m/>
    <m/>
    <m/>
    <m/>
    <m/>
    <m/>
  </r>
  <r>
    <n v="2183"/>
    <n v="236857"/>
    <s v="P"/>
    <s v="1.5yd REL Metal Containers"/>
    <n v="25"/>
    <m/>
    <m/>
    <m/>
    <n v="0"/>
    <s v="WASTEQUIP LLC"/>
    <m/>
    <s v="1.5 YD FEL/REL/SL Metal"/>
    <d v="2020-08-04T00:00:00"/>
    <d v="2020-08-04T00:00:00"/>
    <x v="44"/>
    <n v="1200"/>
    <n v="14050"/>
    <n v="13862.24"/>
    <n v="14056"/>
    <n v="1540.25"/>
    <n v="12321.99"/>
    <n v="1058.92"/>
    <n v="54260"/>
    <n v="96.26"/>
    <s v="P"/>
    <m/>
    <n v="37221398"/>
    <m/>
    <s v="Internal"/>
    <s v="A"/>
    <s v="SL"/>
    <m/>
    <s v="WCNX"/>
    <n v="0"/>
    <n v="0"/>
    <m/>
    <m/>
    <m/>
    <m/>
    <m/>
    <m/>
    <m/>
    <m/>
    <m/>
    <m/>
    <m/>
    <m/>
    <m/>
  </r>
  <r>
    <n v="2183"/>
    <n v="236856"/>
    <s v="P"/>
    <s v="5Yd FEL Metal Containers"/>
    <n v="10"/>
    <m/>
    <m/>
    <m/>
    <n v="0"/>
    <s v="WASTEQUIP LLC"/>
    <m/>
    <s v="5 YD FEL/REL/SL Metal"/>
    <d v="2020-08-04T00:00:00"/>
    <d v="2020-08-04T00:00:00"/>
    <x v="44"/>
    <n v="1200"/>
    <n v="14050"/>
    <n v="7868.98"/>
    <n v="14056"/>
    <n v="874.33"/>
    <n v="6994.65"/>
    <n v="601.1"/>
    <n v="54260"/>
    <n v="54.64"/>
    <s v="P"/>
    <m/>
    <n v="37221407"/>
    <m/>
    <s v="Internal"/>
    <s v="A"/>
    <s v="SL"/>
    <m/>
    <s v="WCNX"/>
    <n v="0"/>
    <n v="0"/>
    <m/>
    <m/>
    <m/>
    <m/>
    <m/>
    <m/>
    <m/>
    <m/>
    <m/>
    <m/>
    <m/>
    <m/>
    <m/>
  </r>
  <r>
    <n v="2183"/>
    <n v="236855"/>
    <s v="P"/>
    <s v="3Yd FEL Metal Containers"/>
    <n v="10"/>
    <m/>
    <m/>
    <m/>
    <n v="0"/>
    <s v="WASTEQUIP LLC"/>
    <m/>
    <s v="3 YD FEL/REL/SL Metal"/>
    <d v="2020-08-04T00:00:00"/>
    <d v="2020-08-04T00:00:00"/>
    <x v="44"/>
    <n v="1200"/>
    <n v="14050"/>
    <n v="5123.05"/>
    <n v="14056"/>
    <n v="569.22"/>
    <n v="4553.83"/>
    <n v="391.34"/>
    <n v="54260"/>
    <n v="35.57"/>
    <s v="P"/>
    <m/>
    <n v="37221407"/>
    <m/>
    <s v="Internal"/>
    <s v="A"/>
    <s v="SL"/>
    <m/>
    <s v="WCNX"/>
    <n v="0"/>
    <n v="0"/>
    <m/>
    <m/>
    <m/>
    <m/>
    <m/>
    <m/>
    <m/>
    <m/>
    <m/>
    <m/>
    <m/>
    <m/>
    <m/>
  </r>
  <r>
    <n v="2183"/>
    <n v="236854"/>
    <s v="P"/>
    <s v="1Yd REL Metal Containers"/>
    <n v="15"/>
    <m/>
    <m/>
    <m/>
    <n v="0"/>
    <s v="WASTEQUIP LLC"/>
    <m/>
    <s v="1 YD FEL/REL/SL Metal"/>
    <d v="2020-08-04T00:00:00"/>
    <d v="2020-08-04T00:00:00"/>
    <x v="44"/>
    <n v="1200"/>
    <n v="14050"/>
    <n v="8012.77"/>
    <n v="14056"/>
    <n v="890.31"/>
    <n v="7122.4600000000009"/>
    <n v="612.09"/>
    <n v="54260"/>
    <n v="55.65"/>
    <s v="P"/>
    <m/>
    <n v="37221407"/>
    <m/>
    <s v="Internal"/>
    <s v="A"/>
    <s v="SL"/>
    <m/>
    <s v="WCNX"/>
    <n v="0"/>
    <n v="0"/>
    <m/>
    <m/>
    <m/>
    <m/>
    <m/>
    <m/>
    <m/>
    <m/>
    <m/>
    <m/>
    <m/>
    <m/>
    <m/>
  </r>
  <r>
    <n v="2183"/>
    <n v="236853"/>
    <s v="P"/>
    <s v="95 Gallon Yardwaste Containers"/>
    <n v="702"/>
    <m/>
    <m/>
    <m/>
    <n v="0"/>
    <s v="REHRIG PACIFIC COMPANY IN"/>
    <m/>
    <s v="Non-Container Audit"/>
    <d v="2020-07-28T00:00:00"/>
    <d v="2020-07-28T00:00:00"/>
    <x v="42"/>
    <n v="700"/>
    <n v="14050"/>
    <n v="30059.05"/>
    <n v="14056"/>
    <n v="5725.53"/>
    <n v="24333.52"/>
    <n v="3936.3"/>
    <n v="54260"/>
    <n v="357.84"/>
    <s v="P"/>
    <m/>
    <n v="50115463"/>
    <m/>
    <s v="Internal"/>
    <s v="A"/>
    <s v="SL"/>
    <m/>
    <s v="WCNX"/>
    <n v="0"/>
    <n v="0"/>
    <m/>
    <m/>
    <m/>
    <m/>
    <m/>
    <m/>
    <m/>
    <m/>
    <m/>
    <m/>
    <m/>
    <m/>
    <m/>
  </r>
  <r>
    <n v="2183"/>
    <n v="236852"/>
    <s v="P"/>
    <s v="95 Gallon Recycle Containers"/>
    <n v="702"/>
    <m/>
    <m/>
    <m/>
    <n v="0"/>
    <s v="REHRIG PACIFIC COMPANY IN"/>
    <m/>
    <s v="Non-Container Audit"/>
    <d v="2020-07-28T00:00:00"/>
    <d v="2020-07-28T00:00:00"/>
    <x v="42"/>
    <n v="700"/>
    <n v="14050"/>
    <n v="30059.05"/>
    <n v="14056"/>
    <n v="5725.53"/>
    <n v="24333.52"/>
    <n v="3936.3"/>
    <n v="54260"/>
    <n v="357.84"/>
    <s v="P"/>
    <m/>
    <n v="50115463"/>
    <m/>
    <s v="Internal"/>
    <s v="A"/>
    <s v="SL"/>
    <m/>
    <s v="WCNX"/>
    <n v="0"/>
    <n v="0"/>
    <m/>
    <m/>
    <m/>
    <m/>
    <m/>
    <m/>
    <m/>
    <m/>
    <m/>
    <m/>
    <m/>
    <m/>
    <m/>
  </r>
  <r>
    <n v="2183"/>
    <n v="236851"/>
    <s v="P"/>
    <s v="64 Gallon Refuse Containers"/>
    <n v="864"/>
    <m/>
    <m/>
    <m/>
    <n v="0"/>
    <s v="TOTER LLC"/>
    <m/>
    <s v="Non-Container Audit"/>
    <d v="2020-07-28T00:00:00"/>
    <d v="2020-07-28T00:00:00"/>
    <x v="42"/>
    <n v="700"/>
    <n v="14050"/>
    <n v="27326.2"/>
    <n v="14056"/>
    <n v="5204.99"/>
    <n v="22121.21"/>
    <n v="3578.43"/>
    <n v="54260"/>
    <n v="325.31"/>
    <s v="P"/>
    <m/>
    <n v="65687357"/>
    <m/>
    <s v="Internal"/>
    <s v="A"/>
    <s v="SL"/>
    <m/>
    <s v="WCNX"/>
    <n v="0"/>
    <n v="0"/>
    <m/>
    <m/>
    <m/>
    <m/>
    <m/>
    <m/>
    <m/>
    <m/>
    <m/>
    <m/>
    <m/>
    <m/>
    <m/>
  </r>
  <r>
    <n v="2183"/>
    <n v="236404"/>
    <s v="P"/>
    <s v="2021 Peterbilt Hooklift Truck"/>
    <m/>
    <m/>
    <s v="3BPPHM7X2MF593773"/>
    <m/>
    <n v="2021"/>
    <s v="Peterbilt"/>
    <s v="Stellar"/>
    <s v="Hook Lift Truck"/>
    <d v="2020-08-01T00:00:00"/>
    <d v="2020-08-01T00:00:00"/>
    <x v="45"/>
    <n v="1000"/>
    <n v="14040"/>
    <n v="154004.04"/>
    <n v="14046"/>
    <n v="20533.87"/>
    <n v="133470.17000000001"/>
    <n v="14117.03"/>
    <n v="51260"/>
    <n v="1283.3599999999999"/>
    <s v="P"/>
    <m/>
    <m/>
    <n v="4523"/>
    <s v="Internal"/>
    <s v="A"/>
    <s v="SL"/>
    <m/>
    <s v="WCNX"/>
    <n v="0"/>
    <n v="0"/>
    <m/>
    <m/>
    <m/>
    <m/>
    <m/>
    <m/>
    <m/>
    <m/>
    <m/>
    <m/>
    <m/>
    <m/>
    <m/>
  </r>
  <r>
    <n v="2183"/>
    <n v="236330"/>
    <s v="P"/>
    <s v="6 Yd FEL Metal Containers"/>
    <n v="10"/>
    <m/>
    <m/>
    <m/>
    <n v="0"/>
    <s v="WASTEQUIP LLC"/>
    <m/>
    <s v="6 YD FEL/REL/SL Metal"/>
    <d v="2020-08-04T00:00:00"/>
    <d v="2020-08-04T00:00:00"/>
    <x v="44"/>
    <n v="1200"/>
    <n v="14050"/>
    <n v="8281.58"/>
    <n v="14056"/>
    <n v="920.18"/>
    <n v="7361.4"/>
    <n v="632.62"/>
    <n v="54260"/>
    <n v="57.51"/>
    <s v="P"/>
    <m/>
    <n v="37221390"/>
    <m/>
    <s v="Internal"/>
    <s v="A"/>
    <s v="SL"/>
    <m/>
    <s v="WCNX"/>
    <n v="0"/>
    <n v="0"/>
    <m/>
    <m/>
    <m/>
    <m/>
    <m/>
    <m/>
    <m/>
    <m/>
    <m/>
    <m/>
    <m/>
    <m/>
    <m/>
  </r>
  <r>
    <n v="2183"/>
    <n v="236329"/>
    <s v="P"/>
    <s v="64 Gallon Refuse Carts"/>
    <n v="864"/>
    <m/>
    <m/>
    <m/>
    <n v="0"/>
    <s v="TOTER LLC"/>
    <m/>
    <s v="Non-Container Audit"/>
    <d v="2020-07-28T00:00:00"/>
    <d v="2020-07-28T00:00:00"/>
    <x v="42"/>
    <n v="700"/>
    <n v="14050"/>
    <n v="27326.2"/>
    <n v="14056"/>
    <n v="5204.99"/>
    <n v="22121.21"/>
    <n v="3578.43"/>
    <n v="54260"/>
    <n v="325.31"/>
    <s v="P"/>
    <m/>
    <n v="65687360"/>
    <m/>
    <s v="Internal"/>
    <s v="A"/>
    <s v="SL"/>
    <m/>
    <s v="WCNX"/>
    <n v="0"/>
    <n v="0"/>
    <m/>
    <m/>
    <m/>
    <m/>
    <m/>
    <m/>
    <m/>
    <m/>
    <m/>
    <m/>
    <m/>
    <m/>
    <m/>
  </r>
  <r>
    <n v="2183"/>
    <n v="236070"/>
    <s v="P"/>
    <s v="96gal MSW Totes"/>
    <n v="624"/>
    <m/>
    <m/>
    <m/>
    <n v="0"/>
    <s v="TOTER LLC"/>
    <m/>
    <s v="Non-Container Audit"/>
    <d v="2020-07-28T00:00:00"/>
    <d v="2020-07-28T00:00:00"/>
    <x v="42"/>
    <n v="700"/>
    <n v="14050"/>
    <n v="23148.87"/>
    <n v="14056"/>
    <n v="4409.3100000000004"/>
    <n v="18739.559999999998"/>
    <n v="3031.4"/>
    <n v="54260"/>
    <n v="275.58"/>
    <s v="P"/>
    <m/>
    <n v="65690422"/>
    <m/>
    <s v="Internal"/>
    <s v="A"/>
    <s v="SL"/>
    <m/>
    <s v="WCNX"/>
    <n v="0"/>
    <n v="0"/>
    <m/>
    <m/>
    <m/>
    <m/>
    <m/>
    <m/>
    <m/>
    <m/>
    <m/>
    <m/>
    <m/>
    <m/>
    <m/>
  </r>
  <r>
    <n v="2183"/>
    <n v="233736"/>
    <s v="P"/>
    <s v="96 Gallon Yardwaste Carts"/>
    <n v="351"/>
    <m/>
    <m/>
    <m/>
    <n v="0"/>
    <s v="REHRIG PACIFIC COMPANY IN"/>
    <m/>
    <s v="Non-Container Audit"/>
    <d v="2020-06-16T00:00:00"/>
    <d v="2020-06-16T00:00:00"/>
    <x v="46"/>
    <n v="700"/>
    <n v="14050"/>
    <n v="14415.13"/>
    <n v="14056"/>
    <n v="2917.35"/>
    <n v="11497.779999999999"/>
    <n v="1887.7"/>
    <n v="54260"/>
    <n v="171.61"/>
    <s v="P"/>
    <m/>
    <n v="50103115"/>
    <m/>
    <s v="Internal"/>
    <s v="A"/>
    <s v="SL"/>
    <m/>
    <s v="WCNX"/>
    <n v="0"/>
    <n v="0"/>
    <m/>
    <m/>
    <m/>
    <m/>
    <m/>
    <m/>
    <m/>
    <m/>
    <m/>
    <m/>
    <m/>
    <m/>
    <m/>
  </r>
  <r>
    <n v="2183"/>
    <n v="233561"/>
    <s v="P"/>
    <s v="95 Gallon Recycle Containers"/>
    <n v="702"/>
    <m/>
    <m/>
    <m/>
    <n v="0"/>
    <s v="REHRIG PACIFIC COMPANY IN"/>
    <m/>
    <s v="Non-Container Audit"/>
    <d v="2020-05-04T00:00:00"/>
    <d v="2020-05-04T00:00:00"/>
    <x v="46"/>
    <n v="700"/>
    <n v="14050"/>
    <n v="25637.46"/>
    <n v="14056"/>
    <n v="5798.95"/>
    <n v="19838.509999999998"/>
    <n v="3357.29"/>
    <n v="54260"/>
    <n v="305.20999999999998"/>
    <s v="P"/>
    <m/>
    <n v="50099849"/>
    <m/>
    <s v="Internal"/>
    <s v="A"/>
    <s v="SL"/>
    <m/>
    <s v="WCNX"/>
    <n v="0"/>
    <n v="0"/>
    <m/>
    <m/>
    <m/>
    <m/>
    <m/>
    <m/>
    <m/>
    <m/>
    <m/>
    <m/>
    <m/>
    <m/>
    <m/>
  </r>
  <r>
    <n v="2183"/>
    <n v="233145"/>
    <n v="232602"/>
    <s v="License"/>
    <m/>
    <m/>
    <m/>
    <m/>
    <n v="0"/>
    <s v="WA DOL"/>
    <m/>
    <s v="Non-Rolling Stock"/>
    <d v="2020-05-21T00:00:00"/>
    <d v="2020-05-21T00:00:00"/>
    <x v="47"/>
    <n v="500"/>
    <n v="14040"/>
    <n v="2570.6999999999998"/>
    <n v="14046"/>
    <n v="771.22"/>
    <n v="1799.4799999999998"/>
    <n v="471.3"/>
    <n v="51260"/>
    <n v="42.85"/>
    <s v="P"/>
    <m/>
    <s v="C84711T"/>
    <m/>
    <s v="Internal"/>
    <s v="A"/>
    <s v="SL"/>
    <m/>
    <s v="WCNX"/>
    <n v="0"/>
    <n v="0"/>
    <m/>
    <m/>
    <m/>
    <m/>
    <m/>
    <m/>
    <m/>
    <m/>
    <m/>
    <m/>
    <m/>
    <m/>
    <m/>
  </r>
  <r>
    <n v="2183"/>
    <n v="232776"/>
    <s v="P"/>
    <s v="95gal Yardwaste Totes"/>
    <n v="702"/>
    <m/>
    <m/>
    <m/>
    <n v="0"/>
    <s v="REHRIG PACIFIC COMPANY IN"/>
    <m/>
    <s v="Non-Container Audit"/>
    <d v="2020-05-04T00:00:00"/>
    <d v="2020-05-04T00:00:00"/>
    <x v="46"/>
    <n v="700"/>
    <n v="14050"/>
    <n v="30066.73"/>
    <n v="14056"/>
    <n v="6800.81"/>
    <n v="23265.919999999998"/>
    <n v="3937.31"/>
    <n v="54260"/>
    <n v="357.93"/>
    <s v="P"/>
    <m/>
    <n v="50095394"/>
    <m/>
    <s v="Internal"/>
    <s v="A"/>
    <s v="SL"/>
    <m/>
    <s v="WCNX"/>
    <n v="0"/>
    <n v="0"/>
    <m/>
    <m/>
    <m/>
    <m/>
    <m/>
    <m/>
    <m/>
    <m/>
    <m/>
    <m/>
    <m/>
    <m/>
    <m/>
  </r>
  <r>
    <n v="2183"/>
    <n v="232602"/>
    <s v="P"/>
    <s v="2020 Ford Pickup Truck"/>
    <m/>
    <m/>
    <s v="1FTMF1CB5LKE11678"/>
    <m/>
    <n v="2020"/>
    <s v="Ford"/>
    <m/>
    <s v="Pick Up Truck"/>
    <d v="2020-05-01T00:00:00"/>
    <d v="2020-05-01T00:00:00"/>
    <x v="48"/>
    <n v="500"/>
    <n v="14040"/>
    <n v="24681.4"/>
    <n v="14046"/>
    <n v="7815.77"/>
    <n v="16865.63"/>
    <n v="4524.92"/>
    <n v="51260"/>
    <n v="411.35"/>
    <s v="P"/>
    <m/>
    <m/>
    <n v="6063"/>
    <s v="Internal"/>
    <s v="A"/>
    <s v="SL"/>
    <m/>
    <s v="WCNX"/>
    <n v="0"/>
    <n v="0"/>
    <m/>
    <m/>
    <m/>
    <m/>
    <m/>
    <m/>
    <m/>
    <m/>
    <m/>
    <m/>
    <m/>
    <m/>
    <m/>
  </r>
  <r>
    <n v="2183"/>
    <n v="231609"/>
    <s v="P"/>
    <s v="35 Gallon refuse Containers"/>
    <n v="1080"/>
    <m/>
    <m/>
    <m/>
    <n v="0"/>
    <s v="REHRIG PACIFIC COMPANY IN"/>
    <m/>
    <s v="Non-Container Audit"/>
    <d v="2020-02-19T00:00:00"/>
    <d v="2020-02-19T00:00:00"/>
    <x v="46"/>
    <n v="700"/>
    <n v="14050"/>
    <n v="35932.589999999997"/>
    <n v="14056"/>
    <n v="8983.15"/>
    <n v="26949.439999999995"/>
    <n v="4705.46"/>
    <n v="54260"/>
    <n v="427.77"/>
    <s v="P"/>
    <m/>
    <n v="50081037"/>
    <m/>
    <s v="Internal"/>
    <s v="A"/>
    <s v="SL"/>
    <m/>
    <s v="WCNX"/>
    <n v="0"/>
    <n v="0"/>
    <m/>
    <m/>
    <m/>
    <m/>
    <m/>
    <m/>
    <m/>
    <m/>
    <m/>
    <m/>
    <m/>
    <m/>
    <m/>
  </r>
  <r>
    <n v="2183"/>
    <n v="231608"/>
    <s v="P"/>
    <s v="65 Gallon Refuse Containers"/>
    <n v="936"/>
    <m/>
    <m/>
    <m/>
    <n v="0"/>
    <s v="REHRIG PACIFIC COMPANY IN"/>
    <m/>
    <s v="Non-Container Audit"/>
    <d v="2020-02-19T00:00:00"/>
    <d v="2020-02-19T00:00:00"/>
    <x v="46"/>
    <n v="700"/>
    <n v="14050"/>
    <n v="37525.410000000003"/>
    <n v="14056"/>
    <n v="9381.33"/>
    <n v="28144.080000000002"/>
    <n v="4914.03"/>
    <n v="54260"/>
    <n v="446.73"/>
    <s v="P"/>
    <m/>
    <n v="50081037"/>
    <m/>
    <s v="Internal"/>
    <s v="A"/>
    <s v="SL"/>
    <m/>
    <s v="WCNX"/>
    <n v="0"/>
    <n v="0"/>
    <m/>
    <m/>
    <m/>
    <m/>
    <m/>
    <m/>
    <m/>
    <m/>
    <m/>
    <m/>
    <m/>
    <m/>
    <m/>
  </r>
  <r>
    <n v="2183"/>
    <n v="230207"/>
    <n v="61094"/>
    <s v="Cap Repair: Truck 1045 Engine Inframe Rebuild"/>
    <m/>
    <m/>
    <m/>
    <m/>
    <n v="0"/>
    <s v="DIRKS TRUCK REPAIR INC"/>
    <m/>
    <s v="Non-Rolling Stock"/>
    <d v="2020-02-04T00:00:00"/>
    <d v="2020-02-04T00:00:00"/>
    <x v="49"/>
    <n v="300"/>
    <n v="14040"/>
    <n v="14301.64"/>
    <n v="14046"/>
    <n v="8739.89"/>
    <n v="5561.75"/>
    <n v="4369.9399999999996"/>
    <n v="51260"/>
    <n v="397.26"/>
    <s v="P"/>
    <m/>
    <s v="W 32986"/>
    <m/>
    <s v="Internal"/>
    <s v="A"/>
    <s v="SL"/>
    <m/>
    <s v="WCNX"/>
    <n v="0"/>
    <n v="0"/>
    <m/>
    <m/>
    <m/>
    <m/>
    <m/>
    <m/>
    <m/>
    <m/>
    <m/>
    <m/>
    <m/>
    <m/>
    <m/>
  </r>
  <r>
    <n v="2183"/>
    <n v="229285"/>
    <s v="P"/>
    <s v="20 Gallon Refuse Container"/>
    <n v="875"/>
    <m/>
    <m/>
    <m/>
    <n v="0"/>
    <s v="REHRIG PACIFIC COMPANY IN"/>
    <m/>
    <s v="Non-Container Audit"/>
    <d v="2020-02-19T00:00:00"/>
    <d v="2020-02-19T00:00:00"/>
    <x v="46"/>
    <n v="700"/>
    <n v="14050"/>
    <n v="29112.05"/>
    <n v="14056"/>
    <n v="7278.02"/>
    <n v="21834.03"/>
    <n v="3812.3"/>
    <n v="54260"/>
    <n v="346.57"/>
    <s v="P"/>
    <m/>
    <n v="50082390"/>
    <m/>
    <s v="Internal"/>
    <s v="A"/>
    <s v="SL"/>
    <m/>
    <s v="WCNX"/>
    <n v="0"/>
    <n v="0"/>
    <m/>
    <m/>
    <m/>
    <m/>
    <m/>
    <m/>
    <m/>
    <m/>
    <m/>
    <m/>
    <m/>
    <m/>
    <m/>
  </r>
  <r>
    <n v="2183"/>
    <n v="229180"/>
    <s v="P"/>
    <s v="HP Sb ProDesk 600 Serial-MXL9511WR2"/>
    <m/>
    <m/>
    <m/>
    <m/>
    <n v="0"/>
    <s v="CDW"/>
    <m/>
    <m/>
    <d v="2020-02-11T00:00:00"/>
    <d v="2020-02-11T00:00:00"/>
    <x v="50"/>
    <n v="300"/>
    <n v="14110"/>
    <n v="893.55"/>
    <n v="14116"/>
    <n v="546.03"/>
    <n v="347.52"/>
    <n v="273.01"/>
    <n v="70260"/>
    <n v="24.82"/>
    <s v="P"/>
    <m/>
    <d v="2020-03-12T00:00:00"/>
    <m/>
    <s v="Internal"/>
    <s v="A"/>
    <s v="SL"/>
    <m/>
    <s v="WCNX"/>
    <n v="0"/>
    <n v="0"/>
    <m/>
    <m/>
    <m/>
    <m/>
    <m/>
    <m/>
    <m/>
    <m/>
    <m/>
    <m/>
    <m/>
    <m/>
    <m/>
  </r>
  <r>
    <n v="2183"/>
    <n v="229007"/>
    <s v="P"/>
    <s v="96 Gallon Yardwaste Containers"/>
    <n v="702"/>
    <m/>
    <m/>
    <m/>
    <n v="0"/>
    <s v="REHRIG PACIFIC COMPANY IN"/>
    <m/>
    <s v="Non-Container Audit"/>
    <d v="2020-02-19T00:00:00"/>
    <d v="2020-02-19T00:00:00"/>
    <x v="46"/>
    <n v="700"/>
    <n v="14050"/>
    <n v="32333.43"/>
    <n v="14056"/>
    <n v="8083.36"/>
    <n v="24250.07"/>
    <n v="4234.1400000000003"/>
    <n v="54260"/>
    <n v="384.92"/>
    <s v="P"/>
    <m/>
    <n v="50080688"/>
    <m/>
    <s v="Internal"/>
    <s v="A"/>
    <s v="SL"/>
    <m/>
    <s v="WCNX"/>
    <n v="0"/>
    <n v="0"/>
    <m/>
    <m/>
    <m/>
    <m/>
    <m/>
    <m/>
    <m/>
    <m/>
    <m/>
    <m/>
    <m/>
    <m/>
    <m/>
  </r>
  <r>
    <n v="2183"/>
    <n v="229006"/>
    <s v="P"/>
    <s v="96 Gallon Refuse Containers"/>
    <n v="702"/>
    <m/>
    <m/>
    <m/>
    <n v="0"/>
    <s v="REHRIG PACIFIC COMPANY IN"/>
    <m/>
    <s v="Non-Container Audit"/>
    <d v="2020-02-19T00:00:00"/>
    <d v="2020-02-19T00:00:00"/>
    <x v="46"/>
    <n v="700"/>
    <n v="14050"/>
    <n v="32333.439999999999"/>
    <n v="14056"/>
    <n v="8083.36"/>
    <n v="24250.079999999998"/>
    <n v="4234.1400000000003"/>
    <n v="54260"/>
    <n v="384.92"/>
    <s v="P"/>
    <m/>
    <n v="50080688"/>
    <m/>
    <s v="Internal"/>
    <s v="A"/>
    <s v="SL"/>
    <m/>
    <s v="WCNX"/>
    <n v="0"/>
    <n v="0"/>
    <m/>
    <m/>
    <m/>
    <m/>
    <m/>
    <m/>
    <m/>
    <m/>
    <m/>
    <m/>
    <m/>
    <m/>
    <m/>
  </r>
  <r>
    <n v="2183"/>
    <n v="228950"/>
    <s v="P"/>
    <s v="96 Gallon Recycle Containers"/>
    <n v="702"/>
    <m/>
    <m/>
    <m/>
    <n v="0"/>
    <s v="REHRIG PACIFIC COMPANY IN"/>
    <m/>
    <s v="Non-Container Audit"/>
    <d v="2020-02-18T00:00:00"/>
    <d v="2020-02-18T00:00:00"/>
    <x v="46"/>
    <n v="700"/>
    <n v="14050"/>
    <n v="32333.43"/>
    <n v="14056"/>
    <n v="8083.36"/>
    <n v="24250.07"/>
    <n v="4234.1400000000003"/>
    <n v="54260"/>
    <n v="384.92"/>
    <s v="P"/>
    <m/>
    <n v="50080502"/>
    <m/>
    <s v="Internal"/>
    <s v="A"/>
    <s v="SL"/>
    <m/>
    <s v="WCNX"/>
    <n v="0"/>
    <n v="0"/>
    <m/>
    <m/>
    <m/>
    <m/>
    <m/>
    <m/>
    <m/>
    <m/>
    <m/>
    <m/>
    <m/>
    <m/>
    <m/>
  </r>
  <r>
    <n v="2183"/>
    <n v="227353"/>
    <s v="P"/>
    <s v="30yd RO Boxes"/>
    <n v="5"/>
    <m/>
    <m/>
    <m/>
    <n v="0"/>
    <s v="ENVIRONMENTAL METAL WORKS"/>
    <m/>
    <s v="30 YD RO Box"/>
    <d v="2020-01-01T00:00:00"/>
    <d v="2020-01-01T00:00:00"/>
    <x v="51"/>
    <n v="1111"/>
    <n v="14050"/>
    <n v="25561.63"/>
    <n v="14056"/>
    <n v="4111.3100000000004"/>
    <n v="21450.32"/>
    <n v="1966.28"/>
    <n v="54260"/>
    <n v="178.75"/>
    <s v="P"/>
    <m/>
    <s v="IN008264"/>
    <m/>
    <s v="Internal"/>
    <s v="A"/>
    <s v="SL"/>
    <m/>
    <s v="WCNX"/>
    <n v="0"/>
    <n v="0"/>
    <m/>
    <m/>
    <m/>
    <m/>
    <m/>
    <m/>
    <m/>
    <m/>
    <m/>
    <m/>
    <m/>
    <m/>
    <m/>
  </r>
  <r>
    <n v="2183"/>
    <n v="225953"/>
    <n v="223829"/>
    <s v="Decals"/>
    <m/>
    <m/>
    <m/>
    <m/>
    <n v="0"/>
    <s v="LARSEN SIGN"/>
    <m/>
    <s v="Non-Rolling Stock"/>
    <d v="2019-11-01T00:00:00"/>
    <d v="2019-11-01T00:00:00"/>
    <x v="52"/>
    <n v="1000"/>
    <n v="14040"/>
    <n v="956.38"/>
    <n v="14046"/>
    <n v="199.25"/>
    <n v="757.13"/>
    <n v="87.67"/>
    <n v="51260"/>
    <n v="7.97"/>
    <s v="P"/>
    <m/>
    <n v="26365"/>
    <m/>
    <s v="Internal"/>
    <s v="A"/>
    <s v="SL"/>
    <m/>
    <s v="WCNX"/>
    <n v="0"/>
    <n v="0"/>
    <m/>
    <m/>
    <m/>
    <m/>
    <m/>
    <m/>
    <m/>
    <m/>
    <m/>
    <m/>
    <m/>
    <m/>
    <m/>
  </r>
  <r>
    <n v="2183"/>
    <n v="225952"/>
    <n v="219760"/>
    <s v="Decals"/>
    <m/>
    <m/>
    <m/>
    <m/>
    <n v="0"/>
    <s v="LARSEN SIGN"/>
    <m/>
    <s v="Non-Rolling Stock"/>
    <d v="2019-09-30T00:00:00"/>
    <d v="2019-09-30T00:00:00"/>
    <x v="53"/>
    <n v="1000"/>
    <n v="14040"/>
    <n v="868.94"/>
    <n v="14046"/>
    <n v="188.22"/>
    <n v="680.72"/>
    <n v="79.63"/>
    <n v="51260"/>
    <n v="7.24"/>
    <s v="P"/>
    <m/>
    <n v="26366"/>
    <m/>
    <s v="Internal"/>
    <s v="A"/>
    <s v="SL"/>
    <m/>
    <s v="WCNX"/>
    <n v="0"/>
    <n v="0"/>
    <m/>
    <m/>
    <m/>
    <m/>
    <m/>
    <m/>
    <m/>
    <m/>
    <m/>
    <m/>
    <m/>
    <m/>
    <m/>
  </r>
  <r>
    <n v="2183"/>
    <n v="225450"/>
    <s v="P"/>
    <s v="2020 Peterbilt ASL Truck"/>
    <m/>
    <m/>
    <s v="3BPDLK0X0LF107430"/>
    <m/>
    <n v="2020"/>
    <s v="Peterbilt"/>
    <s v="Labrie"/>
    <s v="Automated Sideload"/>
    <d v="2019-12-31T00:00:00"/>
    <d v="2019-12-31T00:00:00"/>
    <x v="54"/>
    <n v="1000"/>
    <n v="14040"/>
    <n v="360730.61"/>
    <n v="14046"/>
    <n v="69140.03"/>
    <n v="291590.57999999996"/>
    <n v="33066.97"/>
    <n v="51260"/>
    <n v="3006.09"/>
    <s v="P"/>
    <m/>
    <m/>
    <n v="3695"/>
    <s v="Internal"/>
    <s v="A"/>
    <s v="SL"/>
    <m/>
    <s v="WCNX"/>
    <n v="0"/>
    <n v="0"/>
    <m/>
    <m/>
    <m/>
    <m/>
    <m/>
    <m/>
    <m/>
    <m/>
    <m/>
    <m/>
    <m/>
    <m/>
    <m/>
  </r>
  <r>
    <n v="2183"/>
    <n v="225390"/>
    <s v="P"/>
    <s v="6Yd FEL Metal Container"/>
    <n v="15"/>
    <m/>
    <m/>
    <m/>
    <n v="0"/>
    <s v="WASTEQUIP LLC"/>
    <m/>
    <s v="6 YD FEL/REL/SL Metal"/>
    <d v="2019-11-14T00:00:00"/>
    <d v="2019-11-14T00:00:00"/>
    <x v="55"/>
    <n v="1200"/>
    <n v="14050"/>
    <n v="13074.53"/>
    <n v="14056"/>
    <n v="2269.89"/>
    <n v="10804.640000000001"/>
    <n v="998.75"/>
    <n v="54260"/>
    <n v="90.79"/>
    <s v="P"/>
    <m/>
    <n v="37220241"/>
    <m/>
    <s v="Internal"/>
    <s v="A"/>
    <s v="SL"/>
    <m/>
    <s v="WCNX"/>
    <n v="0"/>
    <n v="0"/>
    <m/>
    <m/>
    <m/>
    <m/>
    <m/>
    <m/>
    <m/>
    <m/>
    <m/>
    <m/>
    <m/>
    <m/>
    <m/>
  </r>
  <r>
    <n v="2183"/>
    <n v="225389"/>
    <s v="P"/>
    <s v="3Yd FEL Metal Containers"/>
    <n v="20"/>
    <m/>
    <m/>
    <m/>
    <n v="0"/>
    <s v="WASTEQUIP LLC"/>
    <m/>
    <s v="3 YD FEL/REL/SL Metal"/>
    <d v="2019-11-14T00:00:00"/>
    <d v="2019-11-14T00:00:00"/>
    <x v="55"/>
    <n v="1200"/>
    <n v="14050"/>
    <n v="10646.34"/>
    <n v="14056"/>
    <n v="1848.34"/>
    <n v="8798"/>
    <n v="813.27"/>
    <n v="54260"/>
    <n v="73.94"/>
    <s v="P"/>
    <m/>
    <n v="37220241"/>
    <m/>
    <s v="Internal"/>
    <s v="A"/>
    <s v="SL"/>
    <m/>
    <s v="WCNX"/>
    <n v="0"/>
    <n v="0"/>
    <m/>
    <m/>
    <m/>
    <m/>
    <m/>
    <m/>
    <m/>
    <m/>
    <m/>
    <m/>
    <m/>
    <m/>
    <m/>
  </r>
  <r>
    <n v="2183"/>
    <n v="225388"/>
    <s v="P"/>
    <s v="2yd FEL Metal Containers"/>
    <n v="35"/>
    <m/>
    <m/>
    <m/>
    <n v="0"/>
    <s v="WASTEQUIP LLC"/>
    <m/>
    <s v="2 YD FEL/REL/SL Metal"/>
    <d v="2019-11-14T00:00:00"/>
    <d v="2019-11-14T00:00:00"/>
    <x v="55"/>
    <n v="1200"/>
    <n v="14050"/>
    <n v="20566.95"/>
    <n v="14056"/>
    <n v="3570.64"/>
    <n v="16996.310000000001"/>
    <n v="1571.08"/>
    <n v="54260"/>
    <n v="142.82"/>
    <s v="P"/>
    <m/>
    <n v="37220183"/>
    <m/>
    <s v="Internal"/>
    <s v="A"/>
    <s v="SL"/>
    <m/>
    <s v="WCNX"/>
    <n v="0"/>
    <n v="0"/>
    <m/>
    <m/>
    <m/>
    <m/>
    <m/>
    <m/>
    <m/>
    <m/>
    <m/>
    <m/>
    <m/>
    <m/>
    <m/>
  </r>
  <r>
    <n v="2183"/>
    <n v="225387"/>
    <s v="P"/>
    <s v="1.5yd FEL Metal Containers"/>
    <n v="15"/>
    <m/>
    <m/>
    <m/>
    <n v="0"/>
    <s v="WASTEQUIP LLC"/>
    <m/>
    <s v="1.5 YD FEL/REL/SL Metal"/>
    <d v="2019-11-14T00:00:00"/>
    <d v="2019-11-14T00:00:00"/>
    <x v="55"/>
    <n v="1200"/>
    <n v="14050"/>
    <n v="8893.2000000000007"/>
    <n v="14056"/>
    <n v="1543.96"/>
    <n v="7349.2400000000007"/>
    <n v="679.34"/>
    <n v="54260"/>
    <n v="61.76"/>
    <s v="P"/>
    <m/>
    <n v="37220183"/>
    <m/>
    <s v="Internal"/>
    <s v="A"/>
    <s v="SL"/>
    <m/>
    <s v="WCNX"/>
    <n v="0"/>
    <n v="0"/>
    <m/>
    <m/>
    <m/>
    <m/>
    <m/>
    <m/>
    <m/>
    <m/>
    <m/>
    <m/>
    <m/>
    <m/>
    <m/>
  </r>
  <r>
    <n v="2183"/>
    <n v="225296"/>
    <n v="221755"/>
    <s v="License for Truck 3691"/>
    <m/>
    <m/>
    <m/>
    <m/>
    <n v="0"/>
    <s v="WA DOL LIC &amp; REG 57165"/>
    <m/>
    <s v="Non-Rolling Stock"/>
    <d v="2019-11-01T00:00:00"/>
    <d v="2019-11-01T00:00:00"/>
    <x v="56"/>
    <n v="1000"/>
    <n v="14040"/>
    <n v="1079.17"/>
    <n v="14046"/>
    <n v="224.82"/>
    <n v="854.35000000000014"/>
    <n v="98.92"/>
    <n v="51260"/>
    <n v="8.99"/>
    <s v="P"/>
    <m/>
    <n v="102261195"/>
    <m/>
    <s v="Internal"/>
    <s v="A"/>
    <s v="SL"/>
    <m/>
    <s v="WCNX"/>
    <n v="0"/>
    <n v="0"/>
    <m/>
    <m/>
    <m/>
    <m/>
    <m/>
    <m/>
    <m/>
    <m/>
    <m/>
    <m/>
    <m/>
    <m/>
    <m/>
  </r>
  <r>
    <n v="2183"/>
    <n v="225295"/>
    <n v="219763"/>
    <s v="License for Truck 4085"/>
    <m/>
    <m/>
    <m/>
    <m/>
    <n v="0"/>
    <s v="WA DOL LIC &amp; REG 57165"/>
    <m/>
    <s v="Non-Rolling Stock"/>
    <d v="2019-11-01T00:00:00"/>
    <d v="2019-11-01T00:00:00"/>
    <x v="57"/>
    <n v="1000"/>
    <n v="14040"/>
    <n v="3988.84"/>
    <n v="14046"/>
    <n v="831"/>
    <n v="3157.84"/>
    <n v="365.64"/>
    <n v="51260"/>
    <n v="33.24"/>
    <s v="P"/>
    <m/>
    <n v="102261053"/>
    <m/>
    <s v="Internal"/>
    <s v="A"/>
    <s v="SL"/>
    <m/>
    <s v="WCNX"/>
    <n v="0"/>
    <n v="0"/>
    <m/>
    <m/>
    <m/>
    <m/>
    <m/>
    <m/>
    <m/>
    <m/>
    <m/>
    <m/>
    <m/>
    <m/>
    <m/>
  </r>
  <r>
    <n v="2183"/>
    <n v="225294"/>
    <n v="219761"/>
    <s v="License for Truck 3692"/>
    <m/>
    <m/>
    <m/>
    <m/>
    <n v="0"/>
    <s v="WA DOL LIC &amp; REG 57165"/>
    <m/>
    <s v="Non-Rolling Stock"/>
    <d v="2019-11-01T00:00:00"/>
    <d v="2019-11-01T00:00:00"/>
    <x v="58"/>
    <n v="1000"/>
    <n v="14040"/>
    <n v="68.010000000000005"/>
    <n v="14046"/>
    <n v="14.16"/>
    <n v="53.850000000000009"/>
    <n v="6.23"/>
    <n v="51260"/>
    <n v="0.56000000000000005"/>
    <s v="P"/>
    <m/>
    <n v="102261195"/>
    <m/>
    <s v="Internal"/>
    <s v="A"/>
    <s v="SL"/>
    <m/>
    <s v="WCNX"/>
    <n v="0"/>
    <n v="0"/>
    <m/>
    <m/>
    <m/>
    <m/>
    <m/>
    <m/>
    <m/>
    <m/>
    <m/>
    <m/>
    <m/>
    <m/>
    <m/>
  </r>
  <r>
    <n v="2183"/>
    <n v="225293"/>
    <n v="219761"/>
    <s v="License for Truck 3692"/>
    <m/>
    <m/>
    <m/>
    <m/>
    <n v="0"/>
    <s v="WA DOL LIC &amp; REG 57165"/>
    <m/>
    <s v="Non-Rolling Stock"/>
    <d v="2019-11-01T00:00:00"/>
    <d v="2019-11-01T00:00:00"/>
    <x v="58"/>
    <n v="1000"/>
    <n v="14040"/>
    <n v="1011.16"/>
    <n v="14046"/>
    <n v="210.66"/>
    <n v="800.5"/>
    <n v="92.69"/>
    <n v="51260"/>
    <n v="8.42"/>
    <s v="P"/>
    <m/>
    <n v="102261053"/>
    <m/>
    <s v="Internal"/>
    <s v="A"/>
    <s v="SL"/>
    <m/>
    <s v="WCNX"/>
    <n v="0"/>
    <n v="0"/>
    <m/>
    <m/>
    <m/>
    <m/>
    <m/>
    <m/>
    <m/>
    <m/>
    <m/>
    <m/>
    <m/>
    <m/>
    <m/>
  </r>
  <r>
    <n v="2183"/>
    <n v="224109"/>
    <n v="223830"/>
    <s v="decals"/>
    <m/>
    <m/>
    <m/>
    <m/>
    <n v="0"/>
    <s v="Larsen Sign Co"/>
    <m/>
    <s v="Non-Rolling Stock"/>
    <d v="2019-11-01T00:00:00"/>
    <d v="2019-11-01T00:00:00"/>
    <x v="59"/>
    <n v="1000"/>
    <n v="14040"/>
    <n v="808.82"/>
    <n v="14046"/>
    <n v="168.5"/>
    <n v="640.32000000000005"/>
    <n v="74.14"/>
    <n v="51260"/>
    <n v="6.74"/>
    <s v="P"/>
    <m/>
    <n v="26247"/>
    <m/>
    <s v="Internal"/>
    <s v="A"/>
    <s v="SL"/>
    <m/>
    <s v="WCNX"/>
    <n v="0"/>
    <n v="0"/>
    <m/>
    <m/>
    <m/>
    <m/>
    <m/>
    <m/>
    <m/>
    <m/>
    <m/>
    <m/>
    <m/>
    <m/>
    <m/>
  </r>
  <r>
    <n v="2183"/>
    <n v="224108"/>
    <n v="223830"/>
    <s v="DriveCam"/>
    <m/>
    <m/>
    <m/>
    <m/>
    <n v="0"/>
    <s v="Lytx"/>
    <m/>
    <s v="Non-Rolling Stock"/>
    <d v="2019-11-01T00:00:00"/>
    <d v="2019-11-01T00:00:00"/>
    <x v="59"/>
    <n v="500"/>
    <n v="14040"/>
    <n v="633.95000000000005"/>
    <n v="14046"/>
    <n v="264.14"/>
    <n v="369.81000000000006"/>
    <n v="116.22"/>
    <n v="51260"/>
    <n v="10.56"/>
    <s v="P"/>
    <m/>
    <n v="5230400"/>
    <m/>
    <s v="Internal"/>
    <s v="A"/>
    <s v="SL"/>
    <m/>
    <s v="WCNX"/>
    <n v="0"/>
    <n v="0"/>
    <m/>
    <m/>
    <m/>
    <m/>
    <m/>
    <m/>
    <m/>
    <m/>
    <m/>
    <m/>
    <m/>
    <m/>
    <m/>
  </r>
  <r>
    <n v="2183"/>
    <n v="224107"/>
    <n v="221755"/>
    <s v="DriveCam"/>
    <m/>
    <m/>
    <m/>
    <m/>
    <n v="0"/>
    <s v="Lytx"/>
    <m/>
    <s v="Non-Rolling Stock"/>
    <d v="2019-11-01T00:00:00"/>
    <d v="2019-11-01T00:00:00"/>
    <x v="56"/>
    <n v="500"/>
    <n v="14040"/>
    <n v="633.95000000000005"/>
    <n v="14046"/>
    <n v="264.14"/>
    <n v="369.81000000000006"/>
    <n v="116.22"/>
    <n v="51260"/>
    <n v="10.56"/>
    <s v="P"/>
    <m/>
    <n v="5230473"/>
    <m/>
    <s v="Internal"/>
    <s v="A"/>
    <s v="SL"/>
    <m/>
    <s v="WCNX"/>
    <n v="0"/>
    <n v="0"/>
    <m/>
    <m/>
    <m/>
    <m/>
    <m/>
    <m/>
    <m/>
    <m/>
    <m/>
    <m/>
    <m/>
    <m/>
    <m/>
  </r>
  <r>
    <n v="2183"/>
    <n v="224106"/>
    <n v="221755"/>
    <s v="Decals"/>
    <m/>
    <m/>
    <m/>
    <m/>
    <n v="0"/>
    <s v="LARSEN SIGN"/>
    <m/>
    <s v="Non-Rolling Stock"/>
    <d v="2019-11-01T00:00:00"/>
    <d v="2019-11-01T00:00:00"/>
    <x v="56"/>
    <n v="1000"/>
    <n v="14040"/>
    <n v="868.94"/>
    <n v="14046"/>
    <n v="180.98"/>
    <n v="687.96"/>
    <n v="79.63"/>
    <n v="51260"/>
    <n v="7.24"/>
    <s v="P"/>
    <m/>
    <n v="26182"/>
    <m/>
    <s v="Internal"/>
    <s v="A"/>
    <s v="SL"/>
    <m/>
    <s v="WCNX"/>
    <n v="0"/>
    <n v="0"/>
    <m/>
    <m/>
    <m/>
    <m/>
    <m/>
    <m/>
    <m/>
    <m/>
    <m/>
    <m/>
    <m/>
    <m/>
    <m/>
  </r>
  <r>
    <n v="2183"/>
    <n v="224105"/>
    <n v="219763"/>
    <s v="DriveCam"/>
    <m/>
    <m/>
    <m/>
    <m/>
    <n v="0"/>
    <s v="Lytx"/>
    <m/>
    <s v="Non-Rolling Stock"/>
    <d v="2019-11-01T00:00:00"/>
    <d v="2019-11-01T00:00:00"/>
    <x v="57"/>
    <n v="500"/>
    <n v="14040"/>
    <n v="633.95000000000005"/>
    <n v="14046"/>
    <n v="264.14"/>
    <n v="369.81000000000006"/>
    <n v="116.22"/>
    <n v="51260"/>
    <n v="10.56"/>
    <s v="P"/>
    <m/>
    <n v="5230471"/>
    <m/>
    <s v="Internal"/>
    <s v="A"/>
    <s v="SL"/>
    <m/>
    <s v="WCNX"/>
    <n v="0"/>
    <n v="0"/>
    <m/>
    <m/>
    <m/>
    <m/>
    <m/>
    <m/>
    <m/>
    <m/>
    <m/>
    <m/>
    <m/>
    <m/>
    <m/>
  </r>
  <r>
    <n v="2183"/>
    <n v="224104"/>
    <n v="219763"/>
    <s v="Decals"/>
    <m/>
    <m/>
    <m/>
    <m/>
    <n v="0"/>
    <s v="LARSEN SIGN"/>
    <m/>
    <s v="Non-Rolling Stock"/>
    <d v="2019-11-01T00:00:00"/>
    <d v="2019-11-01T00:00:00"/>
    <x v="57"/>
    <n v="1000"/>
    <n v="14040"/>
    <n v="220.79"/>
    <n v="14046"/>
    <n v="46"/>
    <n v="174.79"/>
    <n v="20.239999999999998"/>
    <n v="51260"/>
    <n v="1.84"/>
    <s v="P"/>
    <m/>
    <n v="26181"/>
    <m/>
    <s v="Internal"/>
    <s v="A"/>
    <s v="SL"/>
    <m/>
    <s v="WCNX"/>
    <n v="0"/>
    <n v="0"/>
    <m/>
    <m/>
    <m/>
    <m/>
    <m/>
    <m/>
    <m/>
    <m/>
    <m/>
    <m/>
    <m/>
    <m/>
    <m/>
  </r>
  <r>
    <n v="2183"/>
    <n v="224103"/>
    <n v="219762"/>
    <s v="DriveCam"/>
    <m/>
    <m/>
    <m/>
    <m/>
    <n v="0"/>
    <s v="Lytx"/>
    <m/>
    <s v="Non-Rolling Stock"/>
    <d v="2019-09-18T00:00:00"/>
    <d v="2019-09-18T00:00:00"/>
    <x v="60"/>
    <n v="500"/>
    <n v="14040"/>
    <n v="633.95000000000005"/>
    <n v="14046"/>
    <n v="274.70999999999998"/>
    <n v="359.24000000000007"/>
    <n v="116.22"/>
    <n v="51260"/>
    <n v="10.56"/>
    <s v="P"/>
    <m/>
    <n v="5230502"/>
    <m/>
    <s v="Internal"/>
    <s v="A"/>
    <s v="SL"/>
    <m/>
    <s v="WCNX"/>
    <n v="0"/>
    <n v="0"/>
    <m/>
    <m/>
    <m/>
    <m/>
    <m/>
    <m/>
    <m/>
    <m/>
    <m/>
    <m/>
    <m/>
    <m/>
    <m/>
  </r>
  <r>
    <n v="2183"/>
    <n v="224102"/>
    <n v="219761"/>
    <s v="decals"/>
    <m/>
    <m/>
    <m/>
    <m/>
    <n v="0"/>
    <s v="Larsen Sign Co"/>
    <m/>
    <s v="Non-Rolling Stock"/>
    <d v="2019-11-01T00:00:00"/>
    <d v="2019-11-01T00:00:00"/>
    <x v="58"/>
    <n v="1000"/>
    <n v="14040"/>
    <n v="956.38"/>
    <n v="14046"/>
    <n v="199.25"/>
    <n v="757.13"/>
    <n v="87.67"/>
    <n v="51260"/>
    <n v="7.97"/>
    <s v="P"/>
    <m/>
    <n v="26246"/>
    <m/>
    <s v="Internal"/>
    <s v="A"/>
    <s v="SL"/>
    <m/>
    <s v="WCNX"/>
    <n v="0"/>
    <n v="0"/>
    <m/>
    <m/>
    <m/>
    <m/>
    <m/>
    <m/>
    <m/>
    <m/>
    <m/>
    <m/>
    <m/>
    <m/>
    <m/>
  </r>
  <r>
    <n v="2183"/>
    <n v="224101"/>
    <n v="219760"/>
    <s v="DriveCam"/>
    <m/>
    <m/>
    <m/>
    <m/>
    <n v="0"/>
    <s v="Lytx"/>
    <m/>
    <s v="Non-Rolling Stock"/>
    <d v="2019-11-01T00:00:00"/>
    <d v="2019-11-01T00:00:00"/>
    <x v="53"/>
    <n v="500"/>
    <n v="14040"/>
    <n v="633.95000000000005"/>
    <n v="14046"/>
    <n v="264.14"/>
    <n v="369.81000000000006"/>
    <n v="116.22"/>
    <n v="51260"/>
    <n v="10.56"/>
    <s v="P"/>
    <m/>
    <n v="5230390"/>
    <m/>
    <s v="Internal"/>
    <s v="A"/>
    <s v="SL"/>
    <m/>
    <s v="WCNX"/>
    <n v="0"/>
    <n v="0"/>
    <m/>
    <m/>
    <m/>
    <m/>
    <m/>
    <m/>
    <m/>
    <m/>
    <m/>
    <m/>
    <m/>
    <m/>
    <m/>
  </r>
  <r>
    <n v="2183"/>
    <n v="223830"/>
    <s v="P"/>
    <s v="2020 Peterbilt FEL Truck"/>
    <m/>
    <m/>
    <s v="3BPDLK0X7LF107960"/>
    <m/>
    <n v="2020"/>
    <s v="Peterbilt"/>
    <s v="Labrie"/>
    <s v="FEL Truck"/>
    <d v="2019-11-01T00:00:00"/>
    <d v="2019-11-01T00:00:00"/>
    <x v="61"/>
    <n v="1000"/>
    <n v="14040"/>
    <n v="339497.26"/>
    <n v="14046"/>
    <n v="70728.61"/>
    <n v="268768.65000000002"/>
    <n v="31120.59"/>
    <n v="51260"/>
    <n v="2829.15"/>
    <s v="P"/>
    <m/>
    <m/>
    <n v="2056"/>
    <s v="Internal"/>
    <s v="A"/>
    <s v="SL"/>
    <m/>
    <s v="WCNX"/>
    <n v="0"/>
    <n v="0"/>
    <m/>
    <m/>
    <m/>
    <m/>
    <m/>
    <m/>
    <m/>
    <m/>
    <m/>
    <m/>
    <m/>
    <m/>
    <m/>
  </r>
  <r>
    <n v="2183"/>
    <n v="223829"/>
    <s v="P"/>
    <s v="2020 Peterbilt ASL Truck"/>
    <m/>
    <m/>
    <s v="3BPDLK0X2LF107428"/>
    <m/>
    <n v="2020"/>
    <s v="Peterbilt"/>
    <s v="Labrie"/>
    <s v="Automated Sideload"/>
    <d v="2019-11-01T00:00:00"/>
    <d v="2019-11-01T00:00:00"/>
    <x v="62"/>
    <n v="1000"/>
    <n v="14040"/>
    <n v="360730.61"/>
    <n v="14046"/>
    <n v="75152.210000000006"/>
    <n v="285578.39999999997"/>
    <n v="33066.97"/>
    <n v="51260"/>
    <n v="3006.09"/>
    <s v="P"/>
    <m/>
    <m/>
    <n v="3693"/>
    <s v="Internal"/>
    <s v="A"/>
    <s v="SL"/>
    <m/>
    <s v="WCNX"/>
    <n v="0"/>
    <n v="0"/>
    <m/>
    <m/>
    <m/>
    <m/>
    <m/>
    <m/>
    <m/>
    <m/>
    <m/>
    <m/>
    <m/>
    <m/>
    <m/>
  </r>
  <r>
    <n v="2183"/>
    <n v="223699"/>
    <n v="221755"/>
    <s v="Mobile Radio"/>
    <m/>
    <m/>
    <m/>
    <m/>
    <n v="0"/>
    <s v="WHISLER COMMUNICATIONS"/>
    <m/>
    <s v="Non-Rolling Stock"/>
    <d v="2019-11-01T00:00:00"/>
    <d v="2019-11-01T00:00:00"/>
    <x v="56"/>
    <n v="500"/>
    <n v="14040"/>
    <n v="791.55"/>
    <n v="14046"/>
    <n v="329.82"/>
    <n v="461.72999999999996"/>
    <n v="145.12"/>
    <n v="51260"/>
    <n v="13.19"/>
    <s v="P"/>
    <m/>
    <n v="4335"/>
    <m/>
    <s v="Internal"/>
    <s v="A"/>
    <s v="SL"/>
    <m/>
    <s v="WCNX"/>
    <n v="0"/>
    <n v="0"/>
    <m/>
    <m/>
    <m/>
    <m/>
    <m/>
    <m/>
    <m/>
    <m/>
    <m/>
    <m/>
    <m/>
    <m/>
    <m/>
  </r>
  <r>
    <n v="2183"/>
    <n v="223698"/>
    <n v="218238"/>
    <s v="Mobile Radio"/>
    <m/>
    <m/>
    <m/>
    <m/>
    <n v="0"/>
    <s v="WHISLER COMMUNICATIONS"/>
    <m/>
    <s v="Non-Rolling Stock"/>
    <d v="2019-06-04T00:00:00"/>
    <d v="2019-06-04T00:00:00"/>
    <x v="63"/>
    <n v="500"/>
    <n v="14040"/>
    <n v="791.55"/>
    <n v="14046"/>
    <n v="395.78"/>
    <n v="395.77"/>
    <n v="145.12"/>
    <n v="51260"/>
    <n v="13.19"/>
    <s v="P"/>
    <m/>
    <n v="4334"/>
    <m/>
    <s v="Internal"/>
    <s v="A"/>
    <s v="SL"/>
    <m/>
    <s v="WCNX"/>
    <n v="0"/>
    <n v="0"/>
    <m/>
    <m/>
    <m/>
    <m/>
    <m/>
    <m/>
    <m/>
    <m/>
    <m/>
    <m/>
    <m/>
    <m/>
    <m/>
  </r>
  <r>
    <n v="2183"/>
    <n v="223697"/>
    <n v="219763"/>
    <s v="Mobile Radio"/>
    <m/>
    <m/>
    <m/>
    <m/>
    <n v="0"/>
    <s v="WHISLER COMMUNICATIONS"/>
    <m/>
    <s v="Non-Rolling Stock"/>
    <d v="2019-11-01T00:00:00"/>
    <d v="2019-11-01T00:00:00"/>
    <x v="57"/>
    <n v="500"/>
    <n v="14040"/>
    <n v="791.55"/>
    <n v="14046"/>
    <n v="329.82"/>
    <n v="461.72999999999996"/>
    <n v="145.12"/>
    <n v="51260"/>
    <n v="13.19"/>
    <s v="P"/>
    <m/>
    <n v="4332"/>
    <m/>
    <s v="Internal"/>
    <s v="A"/>
    <s v="SL"/>
    <m/>
    <s v="WCNX"/>
    <n v="0"/>
    <n v="0"/>
    <m/>
    <m/>
    <m/>
    <m/>
    <m/>
    <m/>
    <m/>
    <m/>
    <m/>
    <m/>
    <m/>
    <m/>
    <m/>
  </r>
  <r>
    <n v="2183"/>
    <n v="223696"/>
    <n v="219762"/>
    <s v="Mobile Radio"/>
    <m/>
    <m/>
    <m/>
    <m/>
    <n v="0"/>
    <s v="WHISLER COMMUNICATIONS"/>
    <m/>
    <s v="Non-Rolling Stock"/>
    <d v="2019-09-18T00:00:00"/>
    <d v="2019-09-18T00:00:00"/>
    <x v="60"/>
    <n v="500"/>
    <n v="14040"/>
    <n v="791.55"/>
    <n v="14046"/>
    <n v="343.01"/>
    <n v="448.53999999999996"/>
    <n v="145.12"/>
    <n v="51260"/>
    <n v="13.19"/>
    <s v="P"/>
    <m/>
    <n v="4331"/>
    <m/>
    <s v="Internal"/>
    <s v="A"/>
    <s v="SL"/>
    <m/>
    <s v="WCNX"/>
    <n v="0"/>
    <n v="0"/>
    <m/>
    <m/>
    <m/>
    <m/>
    <m/>
    <m/>
    <m/>
    <m/>
    <m/>
    <m/>
    <m/>
    <m/>
    <m/>
  </r>
  <r>
    <n v="2183"/>
    <n v="223695"/>
    <n v="219760"/>
    <s v="Mobile Radio"/>
    <m/>
    <m/>
    <m/>
    <m/>
    <n v="0"/>
    <s v="WHISLER COMMUNICATIONS"/>
    <m/>
    <s v="Non-Rolling Stock"/>
    <d v="2019-11-01T00:00:00"/>
    <d v="2019-11-01T00:00:00"/>
    <x v="53"/>
    <n v="500"/>
    <n v="14040"/>
    <n v="791.55"/>
    <n v="14046"/>
    <n v="329.82"/>
    <n v="461.72999999999996"/>
    <n v="145.12"/>
    <n v="51260"/>
    <n v="13.19"/>
    <s v="P"/>
    <m/>
    <n v="4333"/>
    <m/>
    <s v="Internal"/>
    <s v="A"/>
    <s v="SL"/>
    <m/>
    <s v="WCNX"/>
    <n v="0"/>
    <n v="0"/>
    <m/>
    <m/>
    <m/>
    <m/>
    <m/>
    <m/>
    <m/>
    <m/>
    <m/>
    <m/>
    <m/>
    <m/>
    <m/>
  </r>
  <r>
    <n v="2183"/>
    <n v="223127"/>
    <s v="P"/>
    <s v="2 Yard Commercial Containers"/>
    <n v="77"/>
    <m/>
    <m/>
    <m/>
    <n v="0"/>
    <m/>
    <m/>
    <s v="2 YD FEL/REL/SL Metal"/>
    <d v="2019-11-01T00:00:00"/>
    <d v="2019-11-01T00:00:00"/>
    <x v="37"/>
    <n v="0"/>
    <n v="14050"/>
    <n v="0"/>
    <n v="14056"/>
    <n v="0"/>
    <n v="0"/>
    <n v="0"/>
    <n v="54260"/>
    <n v="0"/>
    <s v="P"/>
    <m/>
    <m/>
    <m/>
    <s v="Internal"/>
    <s v="A"/>
    <s v="NO"/>
    <m/>
    <s v="WCNX"/>
    <n v="0"/>
    <n v="0"/>
    <m/>
    <m/>
    <m/>
    <m/>
    <m/>
    <m/>
    <m/>
    <m/>
    <m/>
    <m/>
    <m/>
    <m/>
    <m/>
  </r>
  <r>
    <n v="2183"/>
    <n v="222715"/>
    <n v="219763"/>
    <s v="2020 Peterbilt ROL Truck-Body"/>
    <m/>
    <m/>
    <m/>
    <m/>
    <n v="2020"/>
    <s v="SOLID WASTE SYSTEMS"/>
    <m/>
    <s v="Non-Rolling Stock"/>
    <d v="2019-11-01T00:00:00"/>
    <d v="2019-11-01T00:00:00"/>
    <x v="57"/>
    <n v="1000"/>
    <n v="14040"/>
    <n v="71276.72"/>
    <n v="14046"/>
    <n v="14849.32"/>
    <n v="56427.4"/>
    <n v="6533.7"/>
    <n v="51260"/>
    <n v="593.97"/>
    <s v="P"/>
    <m/>
    <n v="4103237"/>
    <m/>
    <s v="Internal"/>
    <s v="A"/>
    <s v="SL"/>
    <m/>
    <s v="WCNX"/>
    <n v="0"/>
    <n v="0"/>
    <m/>
    <m/>
    <m/>
    <m/>
    <m/>
    <m/>
    <m/>
    <m/>
    <m/>
    <m/>
    <m/>
    <m/>
    <m/>
  </r>
  <r>
    <n v="2183"/>
    <n v="222714"/>
    <n v="219760"/>
    <s v="2020 Peterbilt ASL Truck- Body"/>
    <m/>
    <m/>
    <m/>
    <m/>
    <n v="2020"/>
    <s v="SOLID WASTE SYSTEMS"/>
    <m/>
    <s v="Non-Rolling Stock"/>
    <d v="2019-11-01T00:00:00"/>
    <d v="2019-11-01T00:00:00"/>
    <x v="53"/>
    <n v="1000"/>
    <n v="14040"/>
    <n v="175977.73"/>
    <n v="14046"/>
    <n v="36661.980000000003"/>
    <n v="139315.75"/>
    <n v="16131.27"/>
    <n v="51260"/>
    <n v="1466.48"/>
    <s v="P"/>
    <m/>
    <n v="4103213"/>
    <m/>
    <s v="Internal"/>
    <s v="A"/>
    <s v="SL"/>
    <m/>
    <s v="WCNX"/>
    <n v="0"/>
    <n v="0"/>
    <m/>
    <m/>
    <m/>
    <m/>
    <m/>
    <m/>
    <m/>
    <m/>
    <m/>
    <m/>
    <m/>
    <m/>
    <m/>
  </r>
  <r>
    <n v="2183"/>
    <n v="222161"/>
    <n v="219336"/>
    <s v=": New Supervisor Pickup- TT&amp;L"/>
    <m/>
    <m/>
    <m/>
    <m/>
    <n v="0"/>
    <s v="WA DOL"/>
    <m/>
    <s v="Non-Rolling Stock"/>
    <d v="2019-09-04T00:00:00"/>
    <d v="2019-09-04T00:00:00"/>
    <x v="64"/>
    <n v="500"/>
    <n v="14040"/>
    <n v="2471.54"/>
    <n v="14046"/>
    <n v="1112.2"/>
    <n v="1359.34"/>
    <n v="453.12"/>
    <n v="51260"/>
    <n v="41.19"/>
    <s v="P"/>
    <m/>
    <s v="C37943R"/>
    <m/>
    <s v="Internal"/>
    <s v="A"/>
    <s v="SL"/>
    <m/>
    <s v="WCNX"/>
    <n v="0"/>
    <n v="0"/>
    <m/>
    <m/>
    <m/>
    <m/>
    <m/>
    <m/>
    <m/>
    <m/>
    <m/>
    <m/>
    <m/>
    <m/>
    <m/>
  </r>
  <r>
    <n v="2183"/>
    <n v="222160"/>
    <n v="219762"/>
    <s v="2020 Peterbilt RO Truck- Body"/>
    <m/>
    <m/>
    <s v="1NPCX4EX0LD633996"/>
    <m/>
    <n v="2020"/>
    <s v="WA DOL"/>
    <m/>
    <s v="Non-Rolling Stock"/>
    <d v="2019-09-18T00:00:00"/>
    <d v="2019-09-18T00:00:00"/>
    <x v="60"/>
    <n v="1000"/>
    <n v="14040"/>
    <n v="4598.5"/>
    <n v="14046"/>
    <n v="996.34"/>
    <n v="3602.16"/>
    <n v="421.53"/>
    <n v="51260"/>
    <n v="38.32"/>
    <s v="P"/>
    <m/>
    <s v="C37944R"/>
    <m/>
    <s v="Internal"/>
    <s v="A"/>
    <s v="SL"/>
    <m/>
    <s v="WCNX"/>
    <n v="0"/>
    <n v="0"/>
    <m/>
    <m/>
    <m/>
    <m/>
    <m/>
    <m/>
    <m/>
    <m/>
    <m/>
    <m/>
    <m/>
    <m/>
    <m/>
  </r>
  <r>
    <n v="2183"/>
    <n v="222098"/>
    <n v="174009"/>
    <s v="Truck #9183 Unit Rebuild"/>
    <m/>
    <m/>
    <m/>
    <m/>
    <n v="0"/>
    <s v="Polar Service Centers"/>
    <m/>
    <s v="Non Rolling Stock"/>
    <d v="2015-09-30T00:00:00"/>
    <d v="2015-09-30T00:00:00"/>
    <x v="65"/>
    <n v="300"/>
    <n v="14040"/>
    <n v="18252.93"/>
    <n v="14046"/>
    <n v="18252.93"/>
    <n v="0"/>
    <n v="0"/>
    <n v="51260"/>
    <n v="0"/>
    <s v="P"/>
    <m/>
    <s v="WA4361197"/>
    <m/>
    <s v="Internal"/>
    <s v="A"/>
    <s v="SL"/>
    <d v="2019-09-30T00:00:00"/>
    <s v="WCNX"/>
    <n v="0"/>
    <n v="18252.93"/>
    <m/>
    <m/>
    <m/>
    <m/>
    <m/>
    <m/>
    <m/>
    <m/>
    <m/>
    <m/>
    <m/>
    <m/>
    <m/>
  </r>
  <r>
    <n v="2183"/>
    <n v="222097"/>
    <s v="P"/>
    <s v="2002 Type H Dump"/>
    <n v="0"/>
    <m/>
    <s v="1NKDXB0X42R890358"/>
    <m/>
    <n v="2002"/>
    <s v=" Kenworth"/>
    <s v="Other"/>
    <s v="Dump Truck"/>
    <d v="2008-11-03T00:00:00"/>
    <d v="2008-11-03T00:00:00"/>
    <x v="19"/>
    <n v="300"/>
    <n v="14040"/>
    <n v="36500"/>
    <n v="14046"/>
    <n v="36500"/>
    <n v="0"/>
    <n v="0"/>
    <n v="51260"/>
    <n v="0"/>
    <s v="A"/>
    <s v="LeMay Enterprises"/>
    <m/>
    <n v="9183"/>
    <s v="Internal"/>
    <s v="A"/>
    <s v="SL"/>
    <d v="2019-09-30T00:00:00"/>
    <s v="WCNX"/>
    <n v="0"/>
    <n v="36500"/>
    <m/>
    <m/>
    <m/>
    <m/>
    <m/>
    <m/>
    <m/>
    <m/>
    <m/>
    <m/>
    <m/>
    <m/>
    <m/>
  </r>
  <r>
    <n v="2183"/>
    <n v="222096"/>
    <n v="174007"/>
    <s v="Trailer #8496 Unit Rebuild"/>
    <m/>
    <m/>
    <m/>
    <m/>
    <n v="0"/>
    <s v="Polar Service Centers"/>
    <m/>
    <s v="Non Rolling Stock"/>
    <d v="2015-09-30T00:00:00"/>
    <d v="2015-09-30T00:00:00"/>
    <x v="66"/>
    <n v="300"/>
    <n v="14040"/>
    <n v="19982.97"/>
    <n v="14046"/>
    <n v="19982.97"/>
    <n v="0"/>
    <n v="0"/>
    <n v="51260"/>
    <n v="0"/>
    <s v="P"/>
    <m/>
    <s v="WA4361201"/>
    <m/>
    <s v="Internal"/>
    <s v="A"/>
    <s v="SL"/>
    <d v="2019-09-30T00:00:00"/>
    <s v="WCNX"/>
    <n v="0"/>
    <n v="19982.97"/>
    <m/>
    <m/>
    <m/>
    <m/>
    <m/>
    <m/>
    <m/>
    <m/>
    <m/>
    <m/>
    <m/>
    <m/>
    <m/>
  </r>
  <r>
    <n v="2183"/>
    <n v="222095"/>
    <s v="P"/>
    <s v="2002 Type H Pup Trailer"/>
    <n v="0"/>
    <m/>
    <s v="1BN1P17452X001002"/>
    <m/>
    <n v="2002"/>
    <s v=" Pioneer"/>
    <s v="Other"/>
    <s v="Trailer"/>
    <d v="2008-11-03T00:00:00"/>
    <d v="2008-11-03T00:00:00"/>
    <x v="19"/>
    <n v="300"/>
    <n v="14040"/>
    <n v="13500"/>
    <n v="14046"/>
    <n v="13500"/>
    <n v="0"/>
    <n v="0"/>
    <n v="51260"/>
    <n v="0"/>
    <s v="A"/>
    <s v="LeMay Enterprises"/>
    <m/>
    <n v="8496"/>
    <s v="Internal"/>
    <s v="A"/>
    <s v="SL"/>
    <d v="2019-09-30T00:00:00"/>
    <s v="WCNX"/>
    <n v="0"/>
    <n v="13500"/>
    <m/>
    <m/>
    <m/>
    <m/>
    <m/>
    <m/>
    <m/>
    <m/>
    <m/>
    <m/>
    <m/>
    <m/>
    <m/>
  </r>
  <r>
    <n v="2183"/>
    <n v="222012"/>
    <n v="219761"/>
    <s v="2020 Peterbilt ASL Truck- Body"/>
    <m/>
    <m/>
    <s v="3BPDLK0X8LF107322"/>
    <m/>
    <n v="2020"/>
    <s v="SOLID WASTE SYSTEMS"/>
    <m/>
    <s v="Non-Rolling Stock"/>
    <d v="2019-10-01T00:00:00"/>
    <d v="2019-10-01T00:00:00"/>
    <x v="58"/>
    <n v="1000"/>
    <n v="14040"/>
    <n v="175977.73"/>
    <n v="14046"/>
    <n v="38128.46"/>
    <n v="137849.27000000002"/>
    <n v="16131.27"/>
    <n v="51260"/>
    <n v="1466.48"/>
    <s v="P"/>
    <m/>
    <n v="4103214"/>
    <m/>
    <s v="Internal"/>
    <s v="A"/>
    <s v="SL"/>
    <m/>
    <s v="WCNX"/>
    <n v="0"/>
    <n v="0"/>
    <m/>
    <m/>
    <m/>
    <m/>
    <m/>
    <m/>
    <m/>
    <m/>
    <m/>
    <m/>
    <m/>
    <m/>
    <m/>
  </r>
  <r>
    <n v="2183"/>
    <n v="221755"/>
    <s v="P"/>
    <s v="2020 Peterbilt ASL Truck"/>
    <m/>
    <m/>
    <s v="3BPDLK0X2LF107431"/>
    <m/>
    <n v="2020"/>
    <s v="Peterbilt"/>
    <s v="Labrie"/>
    <s v="Automated Sideload"/>
    <d v="2019-10-31T00:00:00"/>
    <d v="2019-10-31T00:00:00"/>
    <x v="67"/>
    <n v="1000"/>
    <n v="14040"/>
    <n v="361686.99"/>
    <n v="14046"/>
    <n v="75351.460000000006"/>
    <n v="286335.52999999997"/>
    <n v="33154.639999999999"/>
    <n v="51260"/>
    <n v="3014.06"/>
    <s v="P"/>
    <m/>
    <m/>
    <n v="3691"/>
    <s v="Internal"/>
    <s v="A"/>
    <s v="SL"/>
    <m/>
    <s v="WCNX"/>
    <n v="0"/>
    <n v="0"/>
    <m/>
    <m/>
    <m/>
    <m/>
    <m/>
    <m/>
    <m/>
    <m/>
    <m/>
    <m/>
    <m/>
    <m/>
    <m/>
  </r>
  <r>
    <n v="2183"/>
    <n v="221711"/>
    <s v="P"/>
    <s v="21 Gallon Refuse Containers"/>
    <n v="475"/>
    <m/>
    <m/>
    <m/>
    <n v="0"/>
    <s v="TOTER LLC"/>
    <m/>
    <s v="Non-Container Audit"/>
    <d v="2019-09-17T00:00:00"/>
    <d v="2019-09-17T00:00:00"/>
    <x v="68"/>
    <n v="700"/>
    <n v="14050"/>
    <n v="16956.259999999998"/>
    <n v="14056"/>
    <n v="5248.36"/>
    <n v="11707.899999999998"/>
    <n v="2220.46"/>
    <n v="54260"/>
    <n v="201.86"/>
    <s v="P"/>
    <m/>
    <n v="65625738"/>
    <m/>
    <s v="Internal"/>
    <s v="A"/>
    <s v="SL"/>
    <m/>
    <s v="WCNX"/>
    <n v="0"/>
    <n v="0"/>
    <m/>
    <m/>
    <m/>
    <m/>
    <m/>
    <m/>
    <m/>
    <m/>
    <m/>
    <m/>
    <m/>
    <m/>
    <m/>
  </r>
  <r>
    <n v="2183"/>
    <n v="221710"/>
    <s v="P"/>
    <s v="35 Gallon Refuse Containers"/>
    <n v="945"/>
    <m/>
    <m/>
    <m/>
    <n v="0"/>
    <s v="TOTER LLC"/>
    <m/>
    <s v="Non-Container Audit"/>
    <d v="2019-09-17T00:00:00"/>
    <d v="2019-09-17T00:00:00"/>
    <x v="68"/>
    <n v="700"/>
    <n v="14050"/>
    <n v="37349.120000000003"/>
    <n v="14056"/>
    <n v="11560.45"/>
    <n v="25788.670000000002"/>
    <n v="4890.96"/>
    <n v="54260"/>
    <n v="444.63"/>
    <s v="P"/>
    <m/>
    <n v="65624147"/>
    <m/>
    <s v="Internal"/>
    <s v="A"/>
    <s v="SL"/>
    <m/>
    <s v="WCNX"/>
    <n v="0"/>
    <n v="0"/>
    <m/>
    <m/>
    <m/>
    <m/>
    <m/>
    <m/>
    <m/>
    <m/>
    <m/>
    <m/>
    <m/>
    <m/>
    <m/>
  </r>
  <r>
    <n v="2183"/>
    <n v="221709"/>
    <s v="P"/>
    <s v="96 Gallon Refuse Containers"/>
    <n v="312"/>
    <m/>
    <m/>
    <m/>
    <n v="0"/>
    <s v="TOTER LLC"/>
    <m/>
    <s v="Non-Container Audit"/>
    <d v="2019-09-17T00:00:00"/>
    <d v="2019-09-17T00:00:00"/>
    <x v="68"/>
    <n v="700"/>
    <n v="14050"/>
    <n v="15229.77"/>
    <n v="14056"/>
    <n v="4713.97"/>
    <n v="10515.8"/>
    <n v="1994.37"/>
    <n v="54260"/>
    <n v="181.3"/>
    <s v="P"/>
    <m/>
    <n v="65625244"/>
    <m/>
    <s v="Internal"/>
    <s v="A"/>
    <s v="SL"/>
    <m/>
    <s v="WCNX"/>
    <n v="0"/>
    <n v="0"/>
    <m/>
    <m/>
    <m/>
    <m/>
    <m/>
    <m/>
    <m/>
    <m/>
    <m/>
    <m/>
    <m/>
    <m/>
    <m/>
  </r>
  <r>
    <n v="2183"/>
    <n v="221429"/>
    <s v="P"/>
    <s v="96 Gallon Recycle Container"/>
    <n v="624"/>
    <m/>
    <m/>
    <m/>
    <n v="0"/>
    <s v="TOTER LLC"/>
    <m/>
    <s v="Non-Container Audit"/>
    <d v="2019-09-17T00:00:00"/>
    <d v="2019-09-17T00:00:00"/>
    <x v="68"/>
    <n v="700"/>
    <n v="14050"/>
    <n v="30459.55"/>
    <n v="14056"/>
    <n v="9427.9699999999993"/>
    <n v="21031.58"/>
    <n v="3988.76"/>
    <n v="54260"/>
    <n v="362.62"/>
    <s v="P"/>
    <m/>
    <n v="65623938"/>
    <m/>
    <s v="Internal"/>
    <s v="A"/>
    <s v="SL"/>
    <m/>
    <s v="WCNX"/>
    <n v="0"/>
    <n v="0"/>
    <m/>
    <m/>
    <m/>
    <m/>
    <m/>
    <m/>
    <m/>
    <m/>
    <m/>
    <m/>
    <m/>
    <m/>
    <m/>
  </r>
  <r>
    <n v="2183"/>
    <n v="221428"/>
    <s v="P"/>
    <s v="64 Gallon Refuse Container"/>
    <n v="864"/>
    <m/>
    <m/>
    <m/>
    <n v="0"/>
    <s v="TOTER LLC"/>
    <m/>
    <s v="Non-Container Audit"/>
    <d v="2019-09-17T00:00:00"/>
    <d v="2019-09-17T00:00:00"/>
    <x v="68"/>
    <n v="700"/>
    <n v="14050"/>
    <n v="38397.360000000001"/>
    <n v="14056"/>
    <n v="11884.89"/>
    <n v="26512.47"/>
    <n v="5028.22"/>
    <n v="54260"/>
    <n v="457.11"/>
    <s v="P"/>
    <m/>
    <n v="65624146"/>
    <m/>
    <s v="Internal"/>
    <s v="A"/>
    <s v="SL"/>
    <m/>
    <s v="WCNX"/>
    <n v="0"/>
    <n v="0"/>
    <m/>
    <m/>
    <m/>
    <m/>
    <m/>
    <m/>
    <m/>
    <m/>
    <m/>
    <m/>
    <m/>
    <m/>
    <m/>
  </r>
  <r>
    <n v="2183"/>
    <n v="221427"/>
    <s v="P"/>
    <s v="96 Gallon Yardwaste Containers"/>
    <n v="624"/>
    <m/>
    <m/>
    <m/>
    <n v="0"/>
    <s v="TOTER LLC"/>
    <m/>
    <s v="Non-Container Audit"/>
    <d v="2019-09-17T00:00:00"/>
    <d v="2019-09-17T00:00:00"/>
    <x v="68"/>
    <n v="700"/>
    <n v="14050"/>
    <n v="30459.55"/>
    <n v="14056"/>
    <n v="9427.9699999999993"/>
    <n v="21031.58"/>
    <n v="3988.76"/>
    <n v="54260"/>
    <n v="362.62"/>
    <s v="P"/>
    <m/>
    <n v="65622660"/>
    <m/>
    <s v="Internal"/>
    <s v="A"/>
    <s v="SL"/>
    <m/>
    <s v="WCNX"/>
    <n v="0"/>
    <n v="0"/>
    <m/>
    <m/>
    <m/>
    <m/>
    <m/>
    <m/>
    <m/>
    <m/>
    <m/>
    <m/>
    <m/>
    <m/>
    <m/>
  </r>
  <r>
    <n v="2183"/>
    <n v="221315"/>
    <s v="P"/>
    <s v="1YD REL containers"/>
    <n v="14"/>
    <m/>
    <m/>
    <m/>
    <n v="0"/>
    <s v="CAPITAL INDUSTRIES INC"/>
    <m/>
    <s v="1 YD FEL/REL/SL Metal"/>
    <d v="2013-09-30T00:00:00"/>
    <d v="2013-09-30T00:00:00"/>
    <x v="69"/>
    <n v="1200"/>
    <n v="14050"/>
    <n v="6199.2"/>
    <n v="14056"/>
    <n v="4218.8999999999996"/>
    <n v="1980.3000000000002"/>
    <n v="473.55"/>
    <n v="54260"/>
    <n v="43.05"/>
    <s v="P"/>
    <m/>
    <n v="87085"/>
    <m/>
    <s v="Internal"/>
    <s v="A"/>
    <s v="SL"/>
    <d v="2019-09-30T00:00:00"/>
    <s v="WCNX"/>
    <n v="0"/>
    <n v="3099.6"/>
    <m/>
    <m/>
    <m/>
    <m/>
    <m/>
    <m/>
    <m/>
    <m/>
    <m/>
    <m/>
    <m/>
    <m/>
    <m/>
  </r>
  <r>
    <n v="2183"/>
    <n v="221314"/>
    <s v="P"/>
    <s v="6 Yard Commercial Containers"/>
    <n v="54"/>
    <m/>
    <m/>
    <m/>
    <n v="0"/>
    <m/>
    <m/>
    <s v="6 YD FEL/REL/SL Metal"/>
    <d v="2008-11-03T00:00:00"/>
    <d v="2008-11-03T00:00:00"/>
    <x v="19"/>
    <n v="1200"/>
    <n v="14050"/>
    <n v="17280"/>
    <n v="14056"/>
    <n v="17280"/>
    <n v="0"/>
    <n v="0"/>
    <n v="54260"/>
    <n v="0"/>
    <s v="A"/>
    <s v="LeMay Enterprises"/>
    <m/>
    <m/>
    <s v="Internal"/>
    <s v="A"/>
    <s v="SL"/>
    <d v="2019-09-30T00:00:00"/>
    <s v="WCNX"/>
    <n v="0"/>
    <n v="15720"/>
    <m/>
    <m/>
    <m/>
    <m/>
    <m/>
    <m/>
    <m/>
    <m/>
    <m/>
    <m/>
    <m/>
    <m/>
    <m/>
  </r>
  <r>
    <n v="2183"/>
    <n v="221313"/>
    <s v="P"/>
    <s v="1 YD REL Containers"/>
    <n v="13"/>
    <m/>
    <m/>
    <m/>
    <n v="0"/>
    <s v="CAPITAL INDUSTRIES INC"/>
    <m/>
    <s v="1 YD FEL/REL/SL Metal"/>
    <d v="2014-07-31T00:00:00"/>
    <d v="2014-07-31T00:00:00"/>
    <x v="70"/>
    <n v="1200"/>
    <n v="14050"/>
    <n v="5854.68"/>
    <n v="14056"/>
    <n v="3577.86"/>
    <n v="2276.8200000000002"/>
    <n v="447.23"/>
    <n v="54260"/>
    <n v="40.65"/>
    <s v="P"/>
    <m/>
    <n v="96918"/>
    <m/>
    <s v="Internal"/>
    <s v="A"/>
    <s v="SL"/>
    <d v="2019-09-30T00:00:00"/>
    <s v="WCNX"/>
    <n v="0"/>
    <n v="2520.77"/>
    <m/>
    <m/>
    <m/>
    <m/>
    <m/>
    <m/>
    <m/>
    <m/>
    <m/>
    <m/>
    <m/>
    <m/>
    <m/>
  </r>
  <r>
    <n v="2183"/>
    <n v="221312"/>
    <s v="P"/>
    <s v="4 Yard Commercial Containers"/>
    <n v="32"/>
    <m/>
    <m/>
    <m/>
    <n v="0"/>
    <m/>
    <m/>
    <s v="4 YD FEL/REL/SL Metal"/>
    <d v="2008-11-03T00:00:00"/>
    <d v="2008-11-03T00:00:00"/>
    <x v="19"/>
    <n v="1200"/>
    <n v="14050"/>
    <n v="7360"/>
    <n v="14056"/>
    <n v="7360"/>
    <n v="0"/>
    <n v="0"/>
    <n v="54260"/>
    <n v="0"/>
    <s v="A"/>
    <s v="LeMay Enterprises"/>
    <m/>
    <m/>
    <s v="Internal"/>
    <s v="A"/>
    <s v="SL"/>
    <d v="2019-09-30T00:00:00"/>
    <s v="WCNX"/>
    <n v="0"/>
    <n v="6695.53"/>
    <m/>
    <m/>
    <m/>
    <m/>
    <m/>
    <m/>
    <m/>
    <m/>
    <m/>
    <m/>
    <m/>
    <m/>
    <m/>
  </r>
  <r>
    <n v="2183"/>
    <n v="220531"/>
    <n v="114306"/>
    <s v="Capital Repair: Truck 1038 Engine Overhaul"/>
    <m/>
    <m/>
    <m/>
    <m/>
    <n v="0"/>
    <s v="Dirks Truck Repair, Inc"/>
    <m/>
    <s v="Non-Rolling Stock"/>
    <d v="2019-07-03T00:00:00"/>
    <d v="2019-07-03T00:00:00"/>
    <x v="71"/>
    <n v="300"/>
    <n v="14040"/>
    <n v="11853.69"/>
    <n v="14046"/>
    <n v="9548.81"/>
    <n v="2304.880000000001"/>
    <n v="3621.96"/>
    <n v="51260"/>
    <n v="329.27"/>
    <s v="P"/>
    <m/>
    <s v="W 31760"/>
    <m/>
    <s v="Internal"/>
    <s v="A"/>
    <s v="SL"/>
    <m/>
    <s v="WCNX"/>
    <n v="0"/>
    <n v="0"/>
    <m/>
    <m/>
    <m/>
    <m/>
    <m/>
    <m/>
    <m/>
    <m/>
    <m/>
    <m/>
    <m/>
    <m/>
    <m/>
  </r>
  <r>
    <n v="2183"/>
    <n v="220530"/>
    <n v="218238"/>
    <s v="Drive Cam Unit"/>
    <m/>
    <m/>
    <m/>
    <m/>
    <n v="0"/>
    <s v="LYTX"/>
    <m/>
    <s v="Non-Rolling Stock"/>
    <d v="2019-06-04T00:00:00"/>
    <d v="2019-06-04T00:00:00"/>
    <x v="63"/>
    <n v="500"/>
    <n v="14040"/>
    <n v="456.88"/>
    <n v="14046"/>
    <n v="228.45"/>
    <n v="228.43"/>
    <n v="83.77"/>
    <n v="51260"/>
    <n v="7.62"/>
    <s v="P"/>
    <m/>
    <n v="5208742"/>
    <m/>
    <s v="Internal"/>
    <s v="A"/>
    <s v="SL"/>
    <m/>
    <s v="WCNX"/>
    <n v="0"/>
    <n v="0"/>
    <m/>
    <m/>
    <m/>
    <m/>
    <m/>
    <m/>
    <m/>
    <m/>
    <m/>
    <m/>
    <m/>
    <m/>
    <m/>
  </r>
  <r>
    <n v="2183"/>
    <n v="220529"/>
    <n v="219762"/>
    <s v="Decals"/>
    <m/>
    <m/>
    <m/>
    <m/>
    <n v="0"/>
    <s v="LARSEN SIGN"/>
    <m/>
    <s v="Non-Rolling Stock"/>
    <d v="2019-09-18T00:00:00"/>
    <d v="2019-09-18T00:00:00"/>
    <x v="60"/>
    <n v="1000"/>
    <n v="14040"/>
    <n v="220.79"/>
    <n v="14046"/>
    <n v="47.84"/>
    <n v="172.95"/>
    <n v="20.239999999999998"/>
    <n v="51260"/>
    <n v="1.84"/>
    <s v="P"/>
    <m/>
    <n v="25947"/>
    <m/>
    <s v="Internal"/>
    <s v="A"/>
    <s v="SL"/>
    <m/>
    <s v="WCNX"/>
    <n v="0"/>
    <n v="0"/>
    <m/>
    <m/>
    <m/>
    <m/>
    <m/>
    <m/>
    <m/>
    <m/>
    <m/>
    <m/>
    <m/>
    <m/>
    <m/>
  </r>
  <r>
    <n v="2183"/>
    <n v="220528"/>
    <n v="218237"/>
    <s v="Drive Cam Unit"/>
    <m/>
    <m/>
    <m/>
    <m/>
    <n v="0"/>
    <s v="LYTX"/>
    <m/>
    <s v="Non-Rolling Stock"/>
    <d v="2019-06-14T00:00:00"/>
    <d v="2019-06-14T00:00:00"/>
    <x v="72"/>
    <n v="500"/>
    <n v="14040"/>
    <n v="456.88"/>
    <n v="14046"/>
    <n v="228.45"/>
    <n v="228.43"/>
    <n v="83.77"/>
    <n v="51260"/>
    <n v="7.62"/>
    <s v="P"/>
    <m/>
    <n v="5208751"/>
    <m/>
    <s v="Internal"/>
    <s v="A"/>
    <s v="SL"/>
    <m/>
    <s v="WCNX"/>
    <n v="0"/>
    <n v="0"/>
    <m/>
    <m/>
    <m/>
    <m/>
    <m/>
    <m/>
    <m/>
    <m/>
    <m/>
    <m/>
    <m/>
    <m/>
    <m/>
  </r>
  <r>
    <n v="2183"/>
    <n v="219763"/>
    <s v="P"/>
    <s v="2020 Peterbilt RO Truck-Chassis"/>
    <m/>
    <m/>
    <s v="1NPCX4EX0LD636445"/>
    <m/>
    <n v="2020"/>
    <s v="Peterbilt"/>
    <s v="AA Welding"/>
    <s v="R/O Truck"/>
    <d v="2019-09-30T00:00:00"/>
    <d v="2019-09-30T00:00:00"/>
    <x v="73"/>
    <n v="1000"/>
    <n v="14040"/>
    <n v="184414.76"/>
    <n v="14046"/>
    <n v="39956.54"/>
    <n v="144458.22"/>
    <n v="16904.689999999999"/>
    <n v="51260"/>
    <n v="1536.79"/>
    <s v="P"/>
    <m/>
    <m/>
    <n v="4085"/>
    <s v="Internal"/>
    <s v="A"/>
    <s v="SL"/>
    <m/>
    <s v="WCNX"/>
    <n v="0"/>
    <n v="0"/>
    <m/>
    <m/>
    <m/>
    <m/>
    <m/>
    <m/>
    <m/>
    <m/>
    <m/>
    <m/>
    <m/>
    <m/>
    <m/>
  </r>
  <r>
    <n v="2183"/>
    <n v="219762"/>
    <s v="P"/>
    <s v="2020 Peterbilt RO Truck"/>
    <m/>
    <m/>
    <s v="1NPCX4EX0LD633996"/>
    <m/>
    <n v="2020"/>
    <s v="Peterbilt"/>
    <s v="AA Welding"/>
    <s v="R/O Truck"/>
    <d v="2019-09-18T00:00:00"/>
    <d v="2019-09-18T00:00:00"/>
    <x v="74"/>
    <n v="1000"/>
    <n v="14040"/>
    <n v="255725.48"/>
    <n v="14046"/>
    <n v="55407.19"/>
    <n v="200318.29"/>
    <n v="23441.5"/>
    <n v="51260"/>
    <n v="2131.04"/>
    <s v="P"/>
    <m/>
    <m/>
    <n v="4084"/>
    <s v="Internal"/>
    <s v="A"/>
    <s v="SL"/>
    <m/>
    <s v="WCNX"/>
    <n v="0"/>
    <n v="0"/>
    <m/>
    <m/>
    <m/>
    <m/>
    <m/>
    <m/>
    <m/>
    <m/>
    <m/>
    <m/>
    <m/>
    <m/>
    <m/>
  </r>
  <r>
    <n v="2183"/>
    <n v="219761"/>
    <s v="P"/>
    <s v="2020 Peterbilt ASL Truck"/>
    <m/>
    <m/>
    <s v="3BPDLK0X8LF107322"/>
    <m/>
    <n v="2020"/>
    <s v="Peterbilt"/>
    <s v="Labrie"/>
    <s v="Automated Sideload"/>
    <d v="2019-09-30T00:00:00"/>
    <d v="2019-09-30T00:00:00"/>
    <x v="75"/>
    <n v="1000"/>
    <n v="14040"/>
    <n v="184752.88"/>
    <n v="14046"/>
    <n v="40029.79"/>
    <n v="144723.09"/>
    <n v="16935.68"/>
    <n v="51260"/>
    <n v="1539.6"/>
    <s v="P"/>
    <m/>
    <m/>
    <n v="3692"/>
    <s v="Internal"/>
    <s v="A"/>
    <s v="SL"/>
    <m/>
    <s v="WCNX"/>
    <n v="0"/>
    <n v="0"/>
    <m/>
    <m/>
    <m/>
    <m/>
    <m/>
    <m/>
    <m/>
    <m/>
    <m/>
    <m/>
    <m/>
    <m/>
    <m/>
  </r>
  <r>
    <n v="2183"/>
    <n v="219760"/>
    <s v="P"/>
    <s v="2020 Peterbilt ASL Truck- Chassis"/>
    <m/>
    <m/>
    <s v="3BPDLK0X6LF107321"/>
    <m/>
    <n v="2020"/>
    <s v="Peterbilt"/>
    <s v="Labrie"/>
    <s v="Automated Sideload"/>
    <d v="2019-09-30T00:00:00"/>
    <d v="2019-09-30T00:00:00"/>
    <x v="76"/>
    <n v="1000"/>
    <n v="14040"/>
    <n v="184752.88"/>
    <n v="14046"/>
    <n v="40029.79"/>
    <n v="144723.09"/>
    <n v="16935.68"/>
    <n v="51260"/>
    <n v="1539.6"/>
    <s v="P"/>
    <m/>
    <m/>
    <n v="3694"/>
    <s v="Internal"/>
    <s v="A"/>
    <s v="SL"/>
    <m/>
    <s v="WCNX"/>
    <n v="0"/>
    <n v="0"/>
    <m/>
    <m/>
    <m/>
    <m/>
    <m/>
    <m/>
    <m/>
    <m/>
    <m/>
    <m/>
    <m/>
    <m/>
    <m/>
  </r>
  <r>
    <n v="2183"/>
    <n v="219600"/>
    <s v="P"/>
    <s v="5 Yd Metal Containers"/>
    <n v="20"/>
    <m/>
    <m/>
    <m/>
    <n v="0"/>
    <s v="CAPITAL INDUSTRIES INC"/>
    <m/>
    <s v="5 YD FEL/REL/SL Metal"/>
    <d v="2019-08-23T00:00:00"/>
    <d v="2019-08-23T00:00:00"/>
    <x v="77"/>
    <n v="1200"/>
    <n v="14050"/>
    <n v="19018.2"/>
    <n v="14056"/>
    <n v="3565.91"/>
    <n v="15452.29"/>
    <n v="1452.78"/>
    <n v="54260"/>
    <n v="132.07"/>
    <s v="P"/>
    <m/>
    <n v="155479"/>
    <m/>
    <s v="Internal"/>
    <s v="A"/>
    <s v="SL"/>
    <m/>
    <s v="WCNX"/>
    <n v="0"/>
    <n v="0"/>
    <m/>
    <m/>
    <m/>
    <m/>
    <m/>
    <m/>
    <m/>
    <m/>
    <m/>
    <m/>
    <m/>
    <m/>
    <m/>
  </r>
  <r>
    <n v="2183"/>
    <n v="219599"/>
    <s v="P"/>
    <s v="2 Yd Metal Containers"/>
    <n v="20"/>
    <m/>
    <m/>
    <m/>
    <n v="0"/>
    <s v="CAPITAL INDUSTRIES INC"/>
    <m/>
    <s v="2 YD FEL/REL/SL Metal"/>
    <d v="2019-08-23T00:00:00"/>
    <d v="2019-08-23T00:00:00"/>
    <x v="77"/>
    <n v="1200"/>
    <n v="14050"/>
    <n v="13334.6"/>
    <n v="14056"/>
    <n v="2500.25"/>
    <n v="10834.35"/>
    <n v="1018.62"/>
    <n v="54260"/>
    <n v="92.6"/>
    <s v="P"/>
    <m/>
    <n v="155478"/>
    <m/>
    <s v="Internal"/>
    <s v="A"/>
    <s v="SL"/>
    <m/>
    <s v="WCNX"/>
    <n v="0"/>
    <n v="0"/>
    <m/>
    <m/>
    <m/>
    <m/>
    <m/>
    <m/>
    <m/>
    <m/>
    <m/>
    <m/>
    <m/>
    <m/>
    <m/>
  </r>
  <r>
    <n v="2183"/>
    <n v="219336"/>
    <s v="P"/>
    <s v="2019 Ford Pickup"/>
    <m/>
    <m/>
    <s v="1FTMF1CB8KKE24892"/>
    <m/>
    <n v="2019"/>
    <s v="Ford"/>
    <m/>
    <s v="Pick Up Truck"/>
    <d v="2019-09-04T00:00:00"/>
    <d v="2019-09-04T00:00:00"/>
    <x v="31"/>
    <n v="500"/>
    <n v="14040"/>
    <n v="24177.57"/>
    <n v="14046"/>
    <n v="10879.9"/>
    <n v="13297.67"/>
    <n v="4432.55"/>
    <n v="51260"/>
    <n v="402.96"/>
    <s v="P"/>
    <m/>
    <m/>
    <n v="6060"/>
    <s v="Internal"/>
    <s v="A"/>
    <s v="SL"/>
    <m/>
    <s v="WCNX"/>
    <n v="0"/>
    <n v="0"/>
    <m/>
    <m/>
    <m/>
    <m/>
    <m/>
    <m/>
    <m/>
    <m/>
    <m/>
    <m/>
    <m/>
    <m/>
    <m/>
  </r>
  <r>
    <n v="2183"/>
    <n v="218957"/>
    <s v="P"/>
    <s v="2yd Metal Containers"/>
    <n v="4"/>
    <m/>
    <m/>
    <m/>
    <n v="0"/>
    <s v="CAPITAL INDUSTRIES INC"/>
    <m/>
    <s v="2 YD FEL/REL/SL Metal"/>
    <d v="2019-07-31T00:00:00"/>
    <d v="2019-07-31T00:00:00"/>
    <x v="77"/>
    <n v="1200"/>
    <n v="14050"/>
    <n v="2601.34"/>
    <n v="14056"/>
    <n v="505.83"/>
    <n v="2095.5100000000002"/>
    <n v="198.72"/>
    <n v="54260"/>
    <n v="18.07"/>
    <s v="P"/>
    <m/>
    <n v="154795"/>
    <m/>
    <s v="Internal"/>
    <s v="A"/>
    <s v="SL"/>
    <m/>
    <s v="WCNX"/>
    <n v="0"/>
    <n v="0"/>
    <m/>
    <m/>
    <m/>
    <m/>
    <m/>
    <m/>
    <m/>
    <m/>
    <m/>
    <m/>
    <m/>
    <m/>
    <m/>
  </r>
  <r>
    <n v="2183"/>
    <n v="218956"/>
    <s v="P"/>
    <s v="5yd Metal Containers"/>
    <n v="10"/>
    <m/>
    <m/>
    <m/>
    <n v="0"/>
    <s v="CAPITAL INDUSTRIES INC"/>
    <m/>
    <s v="5 YD FEL/REL/SL Metal"/>
    <d v="2019-08-23T00:00:00"/>
    <d v="2019-08-23T00:00:00"/>
    <x v="77"/>
    <n v="1200"/>
    <n v="14050"/>
    <n v="9290.5"/>
    <n v="14056"/>
    <n v="1741.97"/>
    <n v="7548.53"/>
    <n v="709.69"/>
    <n v="54260"/>
    <n v="64.510000000000005"/>
    <s v="P"/>
    <m/>
    <n v="155331"/>
    <m/>
    <s v="Internal"/>
    <s v="A"/>
    <s v="SL"/>
    <m/>
    <s v="WCNX"/>
    <n v="0"/>
    <n v="0"/>
    <m/>
    <m/>
    <m/>
    <m/>
    <m/>
    <m/>
    <m/>
    <m/>
    <m/>
    <m/>
    <m/>
    <m/>
    <m/>
  </r>
  <r>
    <n v="2183"/>
    <n v="218955"/>
    <s v="P"/>
    <s v="6yd Metal Containers"/>
    <n v="15"/>
    <m/>
    <m/>
    <m/>
    <n v="0"/>
    <s v="CAPITAL INDUSTRIES INC"/>
    <m/>
    <s v="6 YD FEL/REL/SL Metal"/>
    <d v="2019-07-31T00:00:00"/>
    <d v="2019-07-31T00:00:00"/>
    <x v="77"/>
    <n v="1200"/>
    <n v="14050"/>
    <n v="14673.54"/>
    <n v="14056"/>
    <n v="2853.2"/>
    <n v="11820.34"/>
    <n v="1120.9000000000001"/>
    <n v="54260"/>
    <n v="101.9"/>
    <s v="P"/>
    <m/>
    <n v="155350"/>
    <m/>
    <s v="Internal"/>
    <s v="A"/>
    <s v="SL"/>
    <m/>
    <s v="WCNX"/>
    <n v="0"/>
    <n v="0"/>
    <m/>
    <m/>
    <m/>
    <m/>
    <m/>
    <m/>
    <m/>
    <m/>
    <m/>
    <m/>
    <m/>
    <m/>
    <m/>
  </r>
  <r>
    <n v="2183"/>
    <n v="218238"/>
    <s v="P"/>
    <s v="2019 ASL Pete 320 RHD/Labrie Automizer 29YD"/>
    <m/>
    <m/>
    <s v="3BPDL70X8KF106277"/>
    <m/>
    <n v="2019"/>
    <s v="Peterbilt"/>
    <s v="Labrie"/>
    <s v="Automated Sideload"/>
    <d v="2019-06-04T00:00:00"/>
    <d v="2019-06-04T00:00:00"/>
    <x v="63"/>
    <n v="1000"/>
    <n v="14040"/>
    <n v="362237.01"/>
    <n v="14046"/>
    <n v="90559.25"/>
    <n v="271677.76"/>
    <n v="33205.06"/>
    <n v="51260"/>
    <n v="3018.64"/>
    <s v="P"/>
    <m/>
    <m/>
    <n v="3689"/>
    <s v="Internal"/>
    <s v="A"/>
    <s v="SL"/>
    <m/>
    <s v="WCNX"/>
    <n v="0"/>
    <n v="0"/>
    <m/>
    <m/>
    <m/>
    <m/>
    <m/>
    <m/>
    <m/>
    <m/>
    <m/>
    <m/>
    <m/>
    <m/>
    <m/>
  </r>
  <r>
    <n v="2183"/>
    <n v="218237"/>
    <s v="P"/>
    <s v="2019 ASL Pete 320 RHD/Labrie Automizer 29YD"/>
    <m/>
    <m/>
    <s v="3BPDL70XXKF106281"/>
    <m/>
    <n v="2019"/>
    <s v="Peterbilt"/>
    <s v="Labrie"/>
    <s v="Automated Sideload"/>
    <d v="2019-06-14T00:00:00"/>
    <d v="2019-06-14T00:00:00"/>
    <x v="72"/>
    <n v="1000"/>
    <n v="14040"/>
    <n v="361280.63"/>
    <n v="14046"/>
    <n v="90320.15"/>
    <n v="270960.48"/>
    <n v="33117.39"/>
    <n v="51260"/>
    <n v="3010.67"/>
    <s v="P"/>
    <m/>
    <m/>
    <n v="3690"/>
    <s v="Internal"/>
    <s v="A"/>
    <s v="SL"/>
    <m/>
    <s v="WCNX"/>
    <n v="0"/>
    <n v="0"/>
    <m/>
    <m/>
    <m/>
    <m/>
    <m/>
    <m/>
    <m/>
    <m/>
    <m/>
    <m/>
    <m/>
    <m/>
    <m/>
  </r>
  <r>
    <n v="2183"/>
    <n v="218186"/>
    <s v="P"/>
    <s v="2yd Metal Containers"/>
    <n v="16"/>
    <m/>
    <m/>
    <m/>
    <n v="0"/>
    <s v="CAPITAL INDUSTRIES INC"/>
    <m/>
    <s v="2 YD FEL/REL/SL Metal"/>
    <d v="2019-07-31T00:00:00"/>
    <d v="2019-07-31T00:00:00"/>
    <x v="77"/>
    <n v="1200"/>
    <n v="14050"/>
    <n v="10405.36"/>
    <n v="14056"/>
    <n v="2023.26"/>
    <n v="8382.1"/>
    <n v="794.85"/>
    <n v="54260"/>
    <n v="72.260000000000005"/>
    <s v="P"/>
    <m/>
    <n v="154785"/>
    <m/>
    <s v="Internal"/>
    <s v="A"/>
    <s v="SL"/>
    <m/>
    <s v="WCNX"/>
    <n v="0"/>
    <n v="0"/>
    <m/>
    <m/>
    <m/>
    <m/>
    <m/>
    <m/>
    <m/>
    <m/>
    <m/>
    <m/>
    <m/>
    <m/>
    <m/>
  </r>
  <r>
    <n v="2183"/>
    <n v="217913"/>
    <s v="P"/>
    <s v="Shop Diagnostic Laptop w/ Software"/>
    <m/>
    <m/>
    <m/>
    <m/>
    <n v="0"/>
    <s v="NOREGON"/>
    <m/>
    <m/>
    <d v="2019-01-31T00:00:00"/>
    <d v="2019-01-31T00:00:00"/>
    <x v="78"/>
    <n v="300"/>
    <n v="14110"/>
    <n v="983.7"/>
    <n v="14116"/>
    <n v="929.06"/>
    <n v="54.6400000000001"/>
    <n v="300.58"/>
    <n v="70260"/>
    <n v="27.33"/>
    <s v="P"/>
    <m/>
    <s v="INV00004161"/>
    <m/>
    <s v="Internal"/>
    <s v="A"/>
    <s v="SL"/>
    <m/>
    <s v="WCNX"/>
    <n v="0"/>
    <n v="0"/>
    <m/>
    <m/>
    <m/>
    <m/>
    <m/>
    <m/>
    <m/>
    <m/>
    <m/>
    <m/>
    <m/>
    <m/>
    <m/>
  </r>
  <r>
    <n v="2183"/>
    <n v="217873"/>
    <s v="P"/>
    <s v="40yd RO Boxes"/>
    <n v="6"/>
    <m/>
    <m/>
    <m/>
    <n v="0"/>
    <s v="ENVIRONMENTAL METAL WORKS"/>
    <m/>
    <s v="40 YD RO Box"/>
    <d v="2019-06-14T00:00:00"/>
    <d v="2019-06-14T00:00:00"/>
    <x v="51"/>
    <n v="1200"/>
    <n v="14050"/>
    <n v="34135.760000000002"/>
    <n v="14056"/>
    <n v="7111.63"/>
    <n v="27024.13"/>
    <n v="2607.6"/>
    <n v="54260"/>
    <n v="237.06"/>
    <s v="P"/>
    <m/>
    <s v="IN007820"/>
    <m/>
    <s v="Internal"/>
    <s v="A"/>
    <s v="SL"/>
    <m/>
    <s v="WCNX"/>
    <n v="0"/>
    <n v="0"/>
    <m/>
    <m/>
    <m/>
    <m/>
    <m/>
    <m/>
    <m/>
    <m/>
    <m/>
    <m/>
    <m/>
    <m/>
    <m/>
  </r>
  <r>
    <n v="2183"/>
    <n v="217348"/>
    <s v="P"/>
    <s v="40yd RO Boxes"/>
    <n v="6"/>
    <m/>
    <m/>
    <m/>
    <n v="0"/>
    <s v="ENVIRONMENTAL METAL WORKS"/>
    <m/>
    <s v="40 YD RO Box"/>
    <d v="2019-06-14T00:00:00"/>
    <d v="2019-06-14T00:00:00"/>
    <x v="51"/>
    <n v="1200"/>
    <n v="14050"/>
    <n v="33955.480000000003"/>
    <n v="14056"/>
    <n v="7074.05"/>
    <n v="26881.430000000004"/>
    <n v="2593.8200000000002"/>
    <n v="54260"/>
    <n v="235.8"/>
    <s v="P"/>
    <m/>
    <s v="IN007820-A"/>
    <m/>
    <s v="Internal"/>
    <s v="A"/>
    <s v="SL"/>
    <m/>
    <s v="WCNX"/>
    <n v="0"/>
    <n v="0"/>
    <m/>
    <m/>
    <m/>
    <m/>
    <m/>
    <m/>
    <m/>
    <m/>
    <m/>
    <m/>
    <m/>
    <m/>
    <m/>
  </r>
  <r>
    <n v="2183"/>
    <n v="216734"/>
    <n v="210008"/>
    <s v="Software"/>
    <m/>
    <m/>
    <m/>
    <m/>
    <n v="0"/>
    <s v="Rush Truck Centers"/>
    <m/>
    <m/>
    <d v="2019-01-31T00:00:00"/>
    <d v="2019-01-31T00:00:00"/>
    <x v="78"/>
    <n v="300"/>
    <n v="14110"/>
    <n v="1311.6"/>
    <n v="14116"/>
    <n v="1238.74"/>
    <n v="72.8599999999999"/>
    <n v="400.77"/>
    <n v="70260"/>
    <n v="36.44"/>
    <s v="P"/>
    <m/>
    <n v="3014788738"/>
    <m/>
    <s v="Internal"/>
    <s v="A"/>
    <s v="SL"/>
    <m/>
    <s v="WCNX"/>
    <n v="0"/>
    <n v="0"/>
    <m/>
    <m/>
    <m/>
    <m/>
    <m/>
    <m/>
    <m/>
    <m/>
    <m/>
    <m/>
    <m/>
    <m/>
    <m/>
  </r>
  <r>
    <n v="2183"/>
    <n v="216319"/>
    <s v="P"/>
    <s v="30yd RO Boxes"/>
    <n v="10"/>
    <m/>
    <m/>
    <m/>
    <n v="0"/>
    <s v="ENVIRONMENTAL METAL WORKS"/>
    <m/>
    <s v="30 YD RO Box"/>
    <d v="2019-06-14T00:00:00"/>
    <d v="2019-06-14T00:00:00"/>
    <x v="51"/>
    <n v="1200"/>
    <n v="14050"/>
    <n v="48393.96"/>
    <n v="14056"/>
    <n v="10082.08"/>
    <n v="38311.879999999997"/>
    <n v="3696.76"/>
    <n v="54260"/>
    <n v="336.07"/>
    <s v="P"/>
    <m/>
    <s v="IN007726"/>
    <m/>
    <s v="Internal"/>
    <s v="A"/>
    <s v="SL"/>
    <m/>
    <s v="WCNX"/>
    <n v="0"/>
    <n v="0"/>
    <m/>
    <m/>
    <m/>
    <m/>
    <m/>
    <m/>
    <m/>
    <m/>
    <m/>
    <m/>
    <m/>
    <m/>
    <m/>
  </r>
  <r>
    <n v="2183"/>
    <n v="215457"/>
    <s v="P"/>
    <s v="96 Gallon Yardwaste Carts"/>
    <n v="624"/>
    <m/>
    <m/>
    <m/>
    <n v="0"/>
    <s v="TOTER LLC"/>
    <m/>
    <m/>
    <d v="2019-05-06T00:00:00"/>
    <d v="2019-05-06T00:00:00"/>
    <x v="79"/>
    <n v="700"/>
    <n v="14050"/>
    <n v="30295.87"/>
    <n v="14056"/>
    <n v="11180.62"/>
    <n v="19115.25"/>
    <n v="3967.32"/>
    <n v="54260"/>
    <n v="360.67"/>
    <s v="P"/>
    <m/>
    <n v="65600330"/>
    <m/>
    <s v="Internal"/>
    <s v="A"/>
    <s v="SL"/>
    <m/>
    <s v="WCNX"/>
    <n v="0"/>
    <n v="0"/>
    <m/>
    <m/>
    <m/>
    <m/>
    <m/>
    <m/>
    <m/>
    <m/>
    <m/>
    <m/>
    <m/>
    <m/>
    <m/>
  </r>
  <r>
    <n v="2183"/>
    <n v="215136"/>
    <s v="P"/>
    <s v="96 Gallon Yardwaste Carts"/>
    <n v="312"/>
    <m/>
    <m/>
    <m/>
    <n v="0"/>
    <s v="TOTER LLC"/>
    <m/>
    <m/>
    <d v="2019-05-06T00:00:00"/>
    <d v="2019-05-06T00:00:00"/>
    <x v="79"/>
    <n v="700"/>
    <n v="14050"/>
    <n v="15147.93"/>
    <n v="14056"/>
    <n v="5590.31"/>
    <n v="9557.619999999999"/>
    <n v="1983.66"/>
    <n v="54260"/>
    <n v="180.33"/>
    <s v="P"/>
    <m/>
    <n v="65599513"/>
    <m/>
    <s v="Internal"/>
    <s v="A"/>
    <s v="SL"/>
    <m/>
    <s v="WCNX"/>
    <n v="0"/>
    <n v="0"/>
    <m/>
    <m/>
    <m/>
    <m/>
    <m/>
    <m/>
    <m/>
    <m/>
    <m/>
    <m/>
    <m/>
    <m/>
    <m/>
  </r>
  <r>
    <n v="2183"/>
    <n v="215135"/>
    <s v="P"/>
    <s v="35 Gallon Refuse Carts"/>
    <n v="472"/>
    <m/>
    <m/>
    <m/>
    <n v="0"/>
    <s v="TOTER LLC"/>
    <m/>
    <m/>
    <d v="2019-05-06T00:00:00"/>
    <d v="2019-05-06T00:00:00"/>
    <x v="79"/>
    <n v="700"/>
    <n v="14050"/>
    <n v="18015.09"/>
    <n v="14056"/>
    <n v="6648.43"/>
    <n v="11366.66"/>
    <n v="2359.12"/>
    <n v="54260"/>
    <n v="214.46"/>
    <s v="P"/>
    <m/>
    <n v="65599513"/>
    <m/>
    <s v="Internal"/>
    <s v="A"/>
    <s v="SL"/>
    <m/>
    <s v="WCNX"/>
    <n v="0"/>
    <n v="0"/>
    <m/>
    <m/>
    <m/>
    <m/>
    <m/>
    <m/>
    <m/>
    <m/>
    <m/>
    <m/>
    <m/>
    <m/>
    <m/>
  </r>
  <r>
    <n v="2183"/>
    <n v="215134"/>
    <s v="P"/>
    <s v="96 Gallon Refuse Carts"/>
    <n v="624"/>
    <m/>
    <m/>
    <m/>
    <n v="0"/>
    <s v="TOTER LLC"/>
    <m/>
    <m/>
    <d v="2019-05-06T00:00:00"/>
    <d v="2019-05-06T00:00:00"/>
    <x v="79"/>
    <n v="700"/>
    <n v="14050"/>
    <n v="30295.86"/>
    <n v="14056"/>
    <n v="11180.62"/>
    <n v="19115.239999999998"/>
    <n v="3967.32"/>
    <n v="54260"/>
    <n v="360.67"/>
    <s v="P"/>
    <m/>
    <n v="65599555"/>
    <m/>
    <s v="Internal"/>
    <s v="A"/>
    <s v="SL"/>
    <m/>
    <s v="WCNX"/>
    <n v="0"/>
    <n v="0"/>
    <m/>
    <m/>
    <m/>
    <m/>
    <m/>
    <m/>
    <m/>
    <m/>
    <m/>
    <m/>
    <m/>
    <m/>
    <m/>
  </r>
  <r>
    <n v="2183"/>
    <n v="214065"/>
    <s v="P"/>
    <s v="2019 Peterbilt Body/AA welding Body RO Truck"/>
    <m/>
    <m/>
    <s v="1NPCX4EX6KD627974"/>
    <m/>
    <n v="2019"/>
    <s v="Peterbilt"/>
    <s v="AA Welding"/>
    <s v="R/O Truck"/>
    <d v="2019-05-31T00:00:00"/>
    <d v="2019-05-31T00:00:00"/>
    <x v="80"/>
    <n v="1000"/>
    <n v="14040"/>
    <n v="264453.88"/>
    <n v="14046"/>
    <n v="66113.47"/>
    <n v="198340.41"/>
    <n v="24241.61"/>
    <n v="51260"/>
    <n v="2203.7800000000002"/>
    <s v="P"/>
    <m/>
    <n v="4103238"/>
    <n v="4083"/>
    <s v="Internal"/>
    <s v="A"/>
    <s v="SL"/>
    <m/>
    <s v="WCNX"/>
    <n v="0"/>
    <n v="0"/>
    <m/>
    <m/>
    <m/>
    <m/>
    <m/>
    <m/>
    <m/>
    <m/>
    <m/>
    <m/>
    <m/>
    <m/>
    <m/>
  </r>
  <r>
    <n v="2183"/>
    <n v="214016"/>
    <s v="P"/>
    <s v="96 Gallon Recycle Containers"/>
    <n v="624"/>
    <m/>
    <m/>
    <m/>
    <n v="0"/>
    <s v="TOTER LLC"/>
    <m/>
    <m/>
    <d v="2019-05-06T00:00:00"/>
    <d v="2019-05-06T00:00:00"/>
    <x v="79"/>
    <n v="700"/>
    <n v="14050"/>
    <n v="30295.87"/>
    <n v="14056"/>
    <n v="11180.62"/>
    <n v="19115.25"/>
    <n v="3967.32"/>
    <n v="54260"/>
    <n v="360.67"/>
    <s v="P"/>
    <m/>
    <n v="65599064"/>
    <m/>
    <s v="Internal"/>
    <s v="A"/>
    <s v="SL"/>
    <m/>
    <s v="WCNX"/>
    <n v="0"/>
    <n v="0"/>
    <m/>
    <m/>
    <m/>
    <m/>
    <m/>
    <m/>
    <m/>
    <m/>
    <m/>
    <m/>
    <m/>
    <m/>
    <m/>
  </r>
  <r>
    <n v="2183"/>
    <n v="213901"/>
    <s v="P"/>
    <s v="64 Gallon Refuse Carts"/>
    <n v="864"/>
    <m/>
    <m/>
    <m/>
    <n v="0"/>
    <s v="TOTER LLC"/>
    <m/>
    <m/>
    <d v="2019-05-06T00:00:00"/>
    <d v="2019-05-06T00:00:00"/>
    <x v="79"/>
    <n v="700"/>
    <n v="14050"/>
    <n v="37698.53"/>
    <n v="14056"/>
    <n v="13912.57"/>
    <n v="23785.96"/>
    <n v="4936.72"/>
    <n v="54260"/>
    <n v="448.79"/>
    <s v="P"/>
    <m/>
    <n v="65597079"/>
    <m/>
    <s v="Internal"/>
    <s v="A"/>
    <s v="SL"/>
    <m/>
    <s v="WCNX"/>
    <n v="0"/>
    <n v="0"/>
    <m/>
    <m/>
    <m/>
    <m/>
    <m/>
    <m/>
    <m/>
    <m/>
    <m/>
    <m/>
    <m/>
    <m/>
    <m/>
  </r>
  <r>
    <n v="2183"/>
    <n v="211617"/>
    <s v="P"/>
    <s v="HP ProBook 650 G4 Training Laptop"/>
    <m/>
    <m/>
    <m/>
    <s v="94-3283464"/>
    <n v="0"/>
    <s v="CDW"/>
    <m/>
    <m/>
    <d v="2019-02-22T00:00:00"/>
    <d v="2019-02-22T00:00:00"/>
    <x v="81"/>
    <n v="300"/>
    <n v="14110"/>
    <n v="1365.69"/>
    <n v="14116"/>
    <n v="1251.8800000000001"/>
    <n v="113.80999999999995"/>
    <n v="417.29"/>
    <n v="70260"/>
    <n v="37.93"/>
    <s v="P"/>
    <m/>
    <s v="QTN1847"/>
    <m/>
    <s v="Internal"/>
    <s v="A"/>
    <s v="SL"/>
    <m/>
    <s v="WCNX"/>
    <n v="0"/>
    <n v="0"/>
    <m/>
    <m/>
    <m/>
    <m/>
    <m/>
    <m/>
    <m/>
    <m/>
    <m/>
    <m/>
    <m/>
    <m/>
    <m/>
  </r>
  <r>
    <n v="2183"/>
    <n v="210490"/>
    <n v="61085"/>
    <s v="Capital Repair Truck 1041 in Frame Rebuild"/>
    <m/>
    <m/>
    <m/>
    <m/>
    <n v="0"/>
    <s v="Dirk's Truck Repair"/>
    <m/>
    <s v="Non-Rolling Stock"/>
    <d v="2019-02-18T00:00:00"/>
    <d v="2019-02-18T00:00:00"/>
    <x v="82"/>
    <n v="300"/>
    <n v="14040"/>
    <n v="12037.33"/>
    <n v="14046"/>
    <n v="11034.21"/>
    <n v="1003.1200000000008"/>
    <n v="3678.07"/>
    <n v="51260"/>
    <n v="334.37"/>
    <s v="P"/>
    <m/>
    <s v="W30698"/>
    <m/>
    <s v="Internal"/>
    <s v="A"/>
    <s v="SL"/>
    <m/>
    <s v="WCNX"/>
    <n v="0"/>
    <n v="0"/>
    <m/>
    <m/>
    <m/>
    <m/>
    <m/>
    <m/>
    <m/>
    <m/>
    <m/>
    <m/>
    <m/>
    <m/>
    <m/>
  </r>
  <r>
    <n v="2183"/>
    <n v="210121"/>
    <s v="P"/>
    <s v="96 Gallon Refuse Containers"/>
    <n v="624"/>
    <m/>
    <m/>
    <m/>
    <n v="0"/>
    <s v="TOTER LLC"/>
    <m/>
    <m/>
    <d v="2019-01-21T00:00:00"/>
    <d v="2019-01-21T00:00:00"/>
    <x v="83"/>
    <n v="700"/>
    <n v="14050"/>
    <n v="31843.759999999998"/>
    <n v="14056"/>
    <n v="12889.15"/>
    <n v="18954.61"/>
    <n v="4170.0200000000004"/>
    <n v="54260"/>
    <n v="379.09"/>
    <s v="P"/>
    <m/>
    <n v="65574050"/>
    <m/>
    <s v="Internal"/>
    <s v="A"/>
    <s v="SL"/>
    <m/>
    <s v="WCNX"/>
    <n v="0"/>
    <n v="0"/>
    <m/>
    <m/>
    <m/>
    <m/>
    <m/>
    <m/>
    <m/>
    <m/>
    <m/>
    <m/>
    <m/>
    <m/>
    <m/>
  </r>
  <r>
    <n v="2183"/>
    <n v="210120"/>
    <s v="P"/>
    <s v="96 Gallon Recycle Containers"/>
    <n v="624"/>
    <m/>
    <m/>
    <m/>
    <n v="0"/>
    <s v="TOTER LLC"/>
    <m/>
    <m/>
    <d v="2019-01-21T00:00:00"/>
    <d v="2019-01-21T00:00:00"/>
    <x v="83"/>
    <n v="700"/>
    <n v="14050"/>
    <n v="31843.759999999998"/>
    <n v="14056"/>
    <n v="12889.15"/>
    <n v="18954.61"/>
    <n v="4170.0200000000004"/>
    <n v="54260"/>
    <n v="379.09"/>
    <s v="P"/>
    <m/>
    <n v="65573674"/>
    <m/>
    <s v="Internal"/>
    <s v="A"/>
    <s v="SL"/>
    <m/>
    <s v="WCNX"/>
    <n v="0"/>
    <n v="0"/>
    <m/>
    <m/>
    <m/>
    <m/>
    <m/>
    <m/>
    <m/>
    <m/>
    <m/>
    <m/>
    <m/>
    <m/>
    <m/>
  </r>
  <r>
    <n v="2183"/>
    <n v="210119"/>
    <s v="P"/>
    <s v="35 Gallon Refuse Containers"/>
    <n v="945"/>
    <m/>
    <m/>
    <m/>
    <n v="0"/>
    <s v="TOTER LLC"/>
    <m/>
    <m/>
    <d v="2019-01-21T00:00:00"/>
    <d v="2019-01-21T00:00:00"/>
    <x v="83"/>
    <n v="700"/>
    <n v="14050"/>
    <n v="37953.050000000003"/>
    <n v="14056"/>
    <n v="15361.96"/>
    <n v="22591.090000000004"/>
    <n v="4970.05"/>
    <n v="54260"/>
    <n v="451.82"/>
    <s v="P"/>
    <m/>
    <n v="65574548"/>
    <m/>
    <s v="Internal"/>
    <s v="A"/>
    <s v="SL"/>
    <m/>
    <s v="WCNX"/>
    <n v="0"/>
    <n v="0"/>
    <m/>
    <m/>
    <m/>
    <m/>
    <m/>
    <m/>
    <m/>
    <m/>
    <m/>
    <m/>
    <m/>
    <m/>
    <m/>
  </r>
  <r>
    <n v="2183"/>
    <n v="210118"/>
    <s v="P"/>
    <s v="64 Gallon Refuse Containers"/>
    <n v="864"/>
    <m/>
    <m/>
    <m/>
    <n v="0"/>
    <s v="TOTER LLC"/>
    <m/>
    <m/>
    <d v="2019-01-21T00:00:00"/>
    <d v="2019-01-21T00:00:00"/>
    <x v="83"/>
    <n v="700"/>
    <n v="14050"/>
    <n v="39187.980000000003"/>
    <n v="14056"/>
    <n v="15861.8"/>
    <n v="23326.180000000004"/>
    <n v="5131.76"/>
    <n v="54260"/>
    <n v="466.53"/>
    <s v="P"/>
    <m/>
    <n v="65572870"/>
    <m/>
    <s v="Internal"/>
    <s v="A"/>
    <s v="SL"/>
    <m/>
    <s v="WCNX"/>
    <n v="0"/>
    <n v="0"/>
    <m/>
    <m/>
    <m/>
    <m/>
    <m/>
    <m/>
    <m/>
    <m/>
    <m/>
    <m/>
    <m/>
    <m/>
    <m/>
  </r>
  <r>
    <n v="2183"/>
    <n v="210117"/>
    <s v="P"/>
    <s v="96 Gallon Yardwaste Containers"/>
    <n v="624"/>
    <m/>
    <m/>
    <m/>
    <n v="0"/>
    <s v="TOTER LLC"/>
    <m/>
    <m/>
    <d v="2019-01-21T00:00:00"/>
    <d v="2019-01-21T00:00:00"/>
    <x v="83"/>
    <n v="700"/>
    <n v="14050"/>
    <n v="31843.759999999998"/>
    <n v="14056"/>
    <n v="12889.15"/>
    <n v="18954.61"/>
    <n v="4170.0200000000004"/>
    <n v="54260"/>
    <n v="379.09"/>
    <s v="P"/>
    <m/>
    <n v="65573261"/>
    <m/>
    <s v="Internal"/>
    <s v="A"/>
    <s v="SL"/>
    <m/>
    <s v="WCNX"/>
    <n v="0"/>
    <n v="0"/>
    <m/>
    <m/>
    <m/>
    <m/>
    <m/>
    <m/>
    <m/>
    <m/>
    <m/>
    <m/>
    <m/>
    <m/>
    <m/>
  </r>
  <r>
    <n v="2183"/>
    <n v="210008"/>
    <s v="P"/>
    <s v="Shop Diagnostic Laptop w/ Software"/>
    <m/>
    <m/>
    <m/>
    <m/>
    <n v="0"/>
    <s v="CDW"/>
    <m/>
    <m/>
    <d v="2019-01-31T00:00:00"/>
    <d v="2019-01-31T00:00:00"/>
    <x v="78"/>
    <n v="300"/>
    <n v="14110"/>
    <n v="1555.07"/>
    <n v="14116"/>
    <n v="1468.68"/>
    <n v="86.389999999999873"/>
    <n v="475.16"/>
    <n v="70260"/>
    <n v="43.19"/>
    <s v="P"/>
    <m/>
    <s v="QTZ1967"/>
    <m/>
    <s v="Internal"/>
    <s v="A"/>
    <s v="SL"/>
    <m/>
    <s v="WCNX"/>
    <n v="0"/>
    <n v="0"/>
    <m/>
    <m/>
    <m/>
    <m/>
    <m/>
    <m/>
    <m/>
    <m/>
    <m/>
    <m/>
    <m/>
    <m/>
    <m/>
  </r>
  <r>
    <n v="2183"/>
    <n v="207446"/>
    <s v="P"/>
    <s v="4 yd Metal Containers"/>
    <n v="22"/>
    <m/>
    <m/>
    <m/>
    <n v="0"/>
    <s v="ENVIRONMENTAL METAL WORKS"/>
    <m/>
    <s v="4 YD FEL/REL/SL Metal"/>
    <d v="2018-11-07T00:00:00"/>
    <d v="2018-11-07T00:00:00"/>
    <x v="84"/>
    <n v="1200"/>
    <n v="14050"/>
    <n v="16484.080000000002"/>
    <n v="14056"/>
    <n v="4235.49"/>
    <n v="12248.590000000002"/>
    <n v="1259.2"/>
    <n v="54260"/>
    <n v="114.47"/>
    <s v="P"/>
    <m/>
    <s v="IN007308A"/>
    <m/>
    <s v="Internal"/>
    <s v="A"/>
    <s v="SL"/>
    <m/>
    <s v="WCNX"/>
    <n v="0"/>
    <n v="0"/>
    <m/>
    <m/>
    <m/>
    <m/>
    <m/>
    <m/>
    <m/>
    <m/>
    <m/>
    <m/>
    <m/>
    <m/>
    <m/>
  </r>
  <r>
    <n v="2183"/>
    <n v="207445"/>
    <s v="P"/>
    <s v="3 yd Metal Containers"/>
    <n v="22"/>
    <m/>
    <m/>
    <m/>
    <n v="0"/>
    <s v="ENVIRONMENTAL METAL WORKS"/>
    <m/>
    <s v="3 YD FEL/REL/SL Metal"/>
    <d v="2018-11-07T00:00:00"/>
    <d v="2018-11-07T00:00:00"/>
    <x v="84"/>
    <n v="1200"/>
    <n v="14050"/>
    <n v="17253.61"/>
    <n v="14056"/>
    <n v="4433.21"/>
    <n v="12820.400000000001"/>
    <n v="1317.98"/>
    <n v="54260"/>
    <n v="119.81"/>
    <s v="P"/>
    <m/>
    <s v="IN007308A"/>
    <m/>
    <s v="Internal"/>
    <s v="A"/>
    <s v="SL"/>
    <m/>
    <s v="WCNX"/>
    <n v="0"/>
    <n v="0"/>
    <m/>
    <m/>
    <m/>
    <m/>
    <m/>
    <m/>
    <m/>
    <m/>
    <m/>
    <m/>
    <m/>
    <m/>
    <m/>
  </r>
  <r>
    <n v="2183"/>
    <n v="207444"/>
    <s v="P"/>
    <s v="1 yd Metal Containers"/>
    <n v="48"/>
    <m/>
    <m/>
    <m/>
    <n v="0"/>
    <s v="ENVIRONMENTAL METAL WORKS"/>
    <m/>
    <s v="1 YD FEL/REL/SL Metal"/>
    <d v="2018-11-07T00:00:00"/>
    <d v="2018-11-07T00:00:00"/>
    <x v="84"/>
    <n v="1200"/>
    <n v="14050"/>
    <n v="29272.880000000001"/>
    <n v="14056"/>
    <n v="7521.52"/>
    <n v="21751.360000000001"/>
    <n v="2236.13"/>
    <n v="54260"/>
    <n v="203.29"/>
    <s v="P"/>
    <m/>
    <s v="IN007308A"/>
    <m/>
    <s v="Internal"/>
    <s v="A"/>
    <s v="SL"/>
    <m/>
    <s v="WCNX"/>
    <n v="0"/>
    <n v="0"/>
    <m/>
    <m/>
    <m/>
    <m/>
    <m/>
    <m/>
    <m/>
    <m/>
    <m/>
    <m/>
    <m/>
    <m/>
    <m/>
  </r>
  <r>
    <n v="2183"/>
    <n v="207237"/>
    <s v="P"/>
    <s v="2019 RO Truck"/>
    <m/>
    <m/>
    <s v="1NPCX4EX3KD276215"/>
    <m/>
    <n v="2019"/>
    <s v="Peterbilt"/>
    <s v="AA Welding"/>
    <s v="R/O Truck"/>
    <d v="2018-12-06T00:00:00"/>
    <d v="2018-12-06T00:00:00"/>
    <x v="85"/>
    <n v="1000"/>
    <n v="14040"/>
    <n v="250296.54"/>
    <n v="14046"/>
    <n v="75088.929999999993"/>
    <n v="175207.61000000002"/>
    <n v="22943.84"/>
    <n v="51260"/>
    <n v="2085.8000000000002"/>
    <s v="P"/>
    <m/>
    <n v="238420"/>
    <n v="4082"/>
    <s v="Internal"/>
    <s v="A"/>
    <s v="SL"/>
    <m/>
    <s v="WCNX"/>
    <n v="0"/>
    <n v="0"/>
    <m/>
    <m/>
    <m/>
    <m/>
    <m/>
    <m/>
    <m/>
    <m/>
    <m/>
    <m/>
    <m/>
    <m/>
    <m/>
  </r>
  <r>
    <n v="2183"/>
    <n v="206758"/>
    <s v="P"/>
    <s v="6 yd Metal Containers"/>
    <n v="24"/>
    <m/>
    <m/>
    <m/>
    <n v="0"/>
    <s v="ENVIRONMENTAL METAL WORKS"/>
    <m/>
    <s v="6 YD FEL/REL/SL Metal"/>
    <d v="2018-11-07T00:00:00"/>
    <d v="2018-11-07T00:00:00"/>
    <x v="84"/>
    <n v="1200"/>
    <n v="14050"/>
    <n v="22721.59"/>
    <n v="14056"/>
    <n v="5838.2"/>
    <n v="16883.39"/>
    <n v="1735.68"/>
    <n v="54260"/>
    <n v="157.79"/>
    <s v="P"/>
    <m/>
    <s v="IN007308"/>
    <m/>
    <s v="Internal"/>
    <s v="A"/>
    <s v="SL"/>
    <m/>
    <s v="WCNX"/>
    <n v="0"/>
    <n v="0"/>
    <m/>
    <m/>
    <m/>
    <m/>
    <m/>
    <m/>
    <m/>
    <m/>
    <m/>
    <m/>
    <m/>
    <m/>
    <m/>
  </r>
  <r>
    <n v="2183"/>
    <n v="206757"/>
    <s v="P"/>
    <s v="2 yd Metal Containers"/>
    <n v="20"/>
    <m/>
    <m/>
    <m/>
    <n v="0"/>
    <s v="ENVIRONMENTAL METAL WORKS"/>
    <m/>
    <s v="2 YD FEL/REL/SL Metal"/>
    <d v="2018-11-07T00:00:00"/>
    <d v="2018-11-07T00:00:00"/>
    <x v="84"/>
    <n v="1200"/>
    <n v="14050"/>
    <n v="13835.75"/>
    <n v="14056"/>
    <n v="3555.02"/>
    <n v="10280.73"/>
    <n v="1056.9000000000001"/>
    <n v="54260"/>
    <n v="96.08"/>
    <s v="P"/>
    <m/>
    <s v="IN007308"/>
    <m/>
    <s v="Internal"/>
    <s v="A"/>
    <s v="SL"/>
    <m/>
    <s v="WCNX"/>
    <n v="0"/>
    <n v="0"/>
    <m/>
    <m/>
    <m/>
    <m/>
    <m/>
    <m/>
    <m/>
    <m/>
    <m/>
    <m/>
    <m/>
    <m/>
    <m/>
  </r>
  <r>
    <n v="2183"/>
    <n v="206416"/>
    <s v="P"/>
    <s v="30Yd Containers"/>
    <n v="5"/>
    <m/>
    <m/>
    <m/>
    <n v="0"/>
    <s v="ENVIRONMENTAL METAL WORKS"/>
    <m/>
    <s v="30 YD RO Box"/>
    <d v="2018-10-04T00:00:00"/>
    <d v="2018-10-04T00:00:00"/>
    <x v="86"/>
    <n v="1200"/>
    <n v="14050"/>
    <n v="33480.65"/>
    <n v="14056"/>
    <n v="8835.19"/>
    <n v="24645.46"/>
    <n v="2557.56"/>
    <n v="54260"/>
    <n v="232.51"/>
    <s v="P"/>
    <m/>
    <s v="IN007006"/>
    <m/>
    <s v="Internal"/>
    <s v="A"/>
    <s v="SL"/>
    <m/>
    <s v="WCNX"/>
    <n v="0"/>
    <n v="0"/>
    <m/>
    <m/>
    <m/>
    <m/>
    <m/>
    <m/>
    <m/>
    <m/>
    <m/>
    <m/>
    <m/>
    <m/>
    <m/>
  </r>
  <r>
    <n v="2183"/>
    <n v="206415"/>
    <s v="P"/>
    <s v="96 Gallon Yardwaste Containers"/>
    <n v="624"/>
    <m/>
    <m/>
    <m/>
    <n v="0"/>
    <s v="TOTER LLC"/>
    <m/>
    <m/>
    <d v="2018-10-19T00:00:00"/>
    <d v="2018-10-19T00:00:00"/>
    <x v="87"/>
    <n v="700"/>
    <n v="14050"/>
    <n v="33383.51"/>
    <n v="14056"/>
    <n v="14704.64"/>
    <n v="18678.870000000003"/>
    <n v="4371.6499999999996"/>
    <n v="54260"/>
    <n v="397.42"/>
    <s v="P"/>
    <m/>
    <n v="65560226"/>
    <m/>
    <s v="Internal"/>
    <s v="A"/>
    <s v="SL"/>
    <m/>
    <s v="WCNX"/>
    <n v="0"/>
    <n v="0"/>
    <m/>
    <m/>
    <m/>
    <m/>
    <m/>
    <m/>
    <m/>
    <m/>
    <m/>
    <m/>
    <m/>
    <m/>
    <m/>
  </r>
  <r>
    <n v="2183"/>
    <n v="206320"/>
    <n v="202167"/>
    <s v="Radio"/>
    <m/>
    <m/>
    <m/>
    <m/>
    <n v="0"/>
    <s v="Whisler Communications"/>
    <m/>
    <s v="Non Rolling Stock"/>
    <d v="2018-08-01T00:00:00"/>
    <d v="2018-08-01T00:00:00"/>
    <x v="88"/>
    <n v="500"/>
    <n v="14040"/>
    <n v="731.05"/>
    <n v="14046"/>
    <n v="487.37"/>
    <n v="243.67999999999995"/>
    <n v="134.03"/>
    <n v="51260"/>
    <n v="12.19"/>
    <s v="P"/>
    <m/>
    <n v="3039"/>
    <m/>
    <s v="Internal"/>
    <s v="A"/>
    <s v="SL"/>
    <m/>
    <s v="WCNX"/>
    <n v="0"/>
    <n v="0"/>
    <m/>
    <m/>
    <m/>
    <m/>
    <m/>
    <m/>
    <m/>
    <m/>
    <m/>
    <m/>
    <m/>
    <m/>
    <m/>
  </r>
  <r>
    <n v="2183"/>
    <n v="206195"/>
    <n v="205327"/>
    <s v="License for Truck 3687"/>
    <m/>
    <m/>
    <m/>
    <m/>
    <n v="0"/>
    <s v="WA DOL"/>
    <m/>
    <s v="Non Rolling Stock"/>
    <d v="2018-10-31T00:00:00"/>
    <d v="2018-10-31T00:00:00"/>
    <x v="89"/>
    <n v="1000"/>
    <n v="14040"/>
    <n v="1155.33"/>
    <n v="14046"/>
    <n v="356.22"/>
    <n v="799.1099999999999"/>
    <n v="105.9"/>
    <n v="51260"/>
    <n v="9.6199999999999992"/>
    <s v="P"/>
    <m/>
    <s v="C74787N"/>
    <m/>
    <s v="Internal"/>
    <s v="A"/>
    <s v="SL"/>
    <m/>
    <s v="WCNX"/>
    <n v="0"/>
    <n v="0"/>
    <m/>
    <m/>
    <m/>
    <m/>
    <m/>
    <m/>
    <m/>
    <m/>
    <m/>
    <m/>
    <m/>
    <m/>
    <m/>
  </r>
  <r>
    <n v="2183"/>
    <n v="205650"/>
    <s v="P"/>
    <s v="65 Gallon Refuse Containers"/>
    <n v="864"/>
    <m/>
    <m/>
    <m/>
    <n v="0"/>
    <s v="TOTER LLC"/>
    <m/>
    <m/>
    <d v="2018-10-19T00:00:00"/>
    <d v="2018-10-19T00:00:00"/>
    <x v="87"/>
    <n v="700"/>
    <n v="14050"/>
    <n v="39799.9"/>
    <n v="14056"/>
    <n v="17530.91"/>
    <n v="22268.99"/>
    <n v="5211.8900000000003"/>
    <n v="54260"/>
    <n v="473.81"/>
    <s v="P"/>
    <m/>
    <n v="65559423"/>
    <m/>
    <s v="Internal"/>
    <s v="A"/>
    <s v="SL"/>
    <m/>
    <s v="WCNX"/>
    <n v="0"/>
    <n v="0"/>
    <m/>
    <m/>
    <m/>
    <m/>
    <m/>
    <m/>
    <m/>
    <m/>
    <m/>
    <m/>
    <m/>
    <m/>
    <m/>
  </r>
  <r>
    <n v="2183"/>
    <n v="205642"/>
    <n v="202839"/>
    <s v="Mobile Radio"/>
    <m/>
    <m/>
    <m/>
    <m/>
    <n v="0"/>
    <s v="Peterbilt"/>
    <m/>
    <s v="Non Rolling Stock"/>
    <d v="2018-09-30T00:00:00"/>
    <d v="2018-09-30T00:00:00"/>
    <x v="90"/>
    <n v="500"/>
    <n v="14040"/>
    <n v="796.28"/>
    <n v="14046"/>
    <n v="504.32"/>
    <n v="291.95999999999998"/>
    <n v="145.99"/>
    <n v="51260"/>
    <n v="13.27"/>
    <s v="P"/>
    <m/>
    <n v="3217"/>
    <m/>
    <s v="Internal"/>
    <s v="A"/>
    <s v="SL"/>
    <m/>
    <s v="WCNX"/>
    <n v="0"/>
    <n v="0"/>
    <m/>
    <m/>
    <m/>
    <m/>
    <m/>
    <m/>
    <m/>
    <m/>
    <m/>
    <m/>
    <m/>
    <m/>
    <m/>
  </r>
  <r>
    <n v="2183"/>
    <n v="205641"/>
    <n v="203829"/>
    <s v="Mobile Radio"/>
    <m/>
    <m/>
    <m/>
    <m/>
    <n v="0"/>
    <s v="Peterbilt"/>
    <m/>
    <s v="Non Rolling Stock"/>
    <d v="2018-10-12T00:00:00"/>
    <d v="2018-10-12T00:00:00"/>
    <x v="91"/>
    <n v="500"/>
    <n v="14040"/>
    <n v="796.28"/>
    <n v="14046"/>
    <n v="504.32"/>
    <n v="291.95999999999998"/>
    <n v="145.99"/>
    <n v="51260"/>
    <n v="13.27"/>
    <s v="P"/>
    <m/>
    <n v="3216"/>
    <m/>
    <s v="Internal"/>
    <s v="A"/>
    <s v="SL"/>
    <m/>
    <s v="WCNX"/>
    <n v="0"/>
    <n v="0"/>
    <m/>
    <m/>
    <m/>
    <m/>
    <m/>
    <m/>
    <m/>
    <m/>
    <m/>
    <m/>
    <m/>
    <m/>
    <m/>
  </r>
  <r>
    <n v="2183"/>
    <n v="205640"/>
    <n v="203124"/>
    <s v="Mobile Radio"/>
    <m/>
    <m/>
    <m/>
    <m/>
    <n v="0"/>
    <s v="WHISLER COMMUNICATIONS"/>
    <m/>
    <s v="Non Rolling Stock"/>
    <d v="2018-09-30T00:00:00"/>
    <d v="2018-09-30T00:00:00"/>
    <x v="92"/>
    <n v="500"/>
    <n v="14040"/>
    <n v="796.28"/>
    <n v="14046"/>
    <n v="504.32"/>
    <n v="291.95999999999998"/>
    <n v="145.99"/>
    <n v="51260"/>
    <n v="13.27"/>
    <s v="P"/>
    <m/>
    <n v="3215"/>
    <m/>
    <s v="Internal"/>
    <s v="A"/>
    <s v="SL"/>
    <m/>
    <s v="WCNX"/>
    <n v="0"/>
    <n v="0"/>
    <m/>
    <m/>
    <m/>
    <m/>
    <m/>
    <m/>
    <m/>
    <m/>
    <m/>
    <m/>
    <m/>
    <m/>
    <m/>
  </r>
  <r>
    <n v="2183"/>
    <n v="205639"/>
    <n v="207237"/>
    <s v="Mobile Radio"/>
    <m/>
    <m/>
    <m/>
    <m/>
    <n v="0"/>
    <s v="WHISLER COMMUNICATIONS"/>
    <m/>
    <s v="Non Rolling Stock"/>
    <d v="2018-11-26T00:00:00"/>
    <d v="2018-11-26T00:00:00"/>
    <x v="85"/>
    <n v="500"/>
    <n v="14040"/>
    <n v="796.28"/>
    <n v="14046"/>
    <n v="477.78"/>
    <n v="318.5"/>
    <n v="145.99"/>
    <n v="51260"/>
    <n v="13.27"/>
    <s v="P"/>
    <m/>
    <n v="3214"/>
    <m/>
    <s v="Internal"/>
    <s v="A"/>
    <s v="SL"/>
    <m/>
    <s v="WCNX"/>
    <n v="0"/>
    <n v="0"/>
    <m/>
    <m/>
    <m/>
    <m/>
    <m/>
    <m/>
    <m/>
    <m/>
    <m/>
    <m/>
    <m/>
    <m/>
    <m/>
  </r>
  <r>
    <n v="2183"/>
    <n v="205638"/>
    <n v="202838"/>
    <s v="Mobile Radio"/>
    <m/>
    <m/>
    <m/>
    <m/>
    <n v="0"/>
    <s v="WHISLER COMMUNICATIONS"/>
    <m/>
    <s v="Non Rolling Stock"/>
    <d v="2018-11-26T00:00:00"/>
    <d v="2018-11-26T00:00:00"/>
    <x v="93"/>
    <n v="500"/>
    <n v="14040"/>
    <n v="796.28"/>
    <n v="14046"/>
    <n v="477.78"/>
    <n v="318.5"/>
    <n v="145.99"/>
    <n v="51260"/>
    <n v="13.27"/>
    <s v="P"/>
    <m/>
    <n v="3213"/>
    <m/>
    <s v="Internal"/>
    <s v="A"/>
    <s v="SL"/>
    <m/>
    <s v="WCNX"/>
    <n v="0"/>
    <n v="0"/>
    <m/>
    <m/>
    <m/>
    <m/>
    <m/>
    <m/>
    <m/>
    <m/>
    <m/>
    <m/>
    <m/>
    <m/>
    <m/>
  </r>
  <r>
    <n v="2183"/>
    <n v="205637"/>
    <n v="205327"/>
    <s v="Mobile Radio"/>
    <m/>
    <m/>
    <m/>
    <m/>
    <n v="0"/>
    <s v="WHISLER COMMUNICATIONS"/>
    <m/>
    <s v="Non Rolling Stock"/>
    <d v="2018-11-19T00:00:00"/>
    <d v="2018-11-19T00:00:00"/>
    <x v="89"/>
    <n v="500"/>
    <n v="14040"/>
    <n v="796.28"/>
    <n v="14046"/>
    <n v="477.78"/>
    <n v="318.5"/>
    <n v="145.99"/>
    <n v="51260"/>
    <n v="13.27"/>
    <s v="P"/>
    <m/>
    <n v="3212"/>
    <m/>
    <s v="Internal"/>
    <s v="A"/>
    <s v="SL"/>
    <m/>
    <s v="WCNX"/>
    <n v="0"/>
    <n v="0"/>
    <m/>
    <m/>
    <m/>
    <m/>
    <m/>
    <m/>
    <m/>
    <m/>
    <m/>
    <m/>
    <m/>
    <m/>
    <m/>
  </r>
  <r>
    <n v="2183"/>
    <n v="205327"/>
    <s v="P"/>
    <s v="2019 ASL Truck"/>
    <m/>
    <m/>
    <s v="3BPDL70XXKF103963"/>
    <m/>
    <n v="2019"/>
    <s v="Peterbilt"/>
    <s v="Labrie"/>
    <s v="Automated Sideload"/>
    <d v="2018-11-19T00:00:00"/>
    <d v="2018-11-19T00:00:00"/>
    <x v="89"/>
    <n v="1000"/>
    <n v="14040"/>
    <n v="340374.63"/>
    <n v="14046"/>
    <n v="102112.39"/>
    <n v="238262.24"/>
    <n v="31201.01"/>
    <n v="51260"/>
    <n v="2836.46"/>
    <s v="P"/>
    <m/>
    <n v="155557"/>
    <n v="3687"/>
    <s v="Internal"/>
    <s v="A"/>
    <s v="SL"/>
    <m/>
    <s v="WCNX"/>
    <n v="0"/>
    <n v="0"/>
    <m/>
    <m/>
    <m/>
    <m/>
    <m/>
    <m/>
    <m/>
    <m/>
    <m/>
    <m/>
    <m/>
    <m/>
    <m/>
  </r>
  <r>
    <n v="2183"/>
    <n v="204944"/>
    <n v="202090"/>
    <s v="Drivecam"/>
    <m/>
    <m/>
    <m/>
    <m/>
    <n v="0"/>
    <s v="Lytx"/>
    <m/>
    <s v="Non Rolling Stock"/>
    <d v="2018-08-31T00:00:00"/>
    <d v="2018-08-31T00:00:00"/>
    <x v="94"/>
    <n v="500"/>
    <n v="14040"/>
    <n v="519.47"/>
    <n v="14046"/>
    <n v="337.64"/>
    <n v="181.83000000000004"/>
    <n v="95.23"/>
    <n v="51260"/>
    <n v="8.65"/>
    <s v="P"/>
    <m/>
    <n v="5156198"/>
    <m/>
    <s v="Internal"/>
    <s v="A"/>
    <s v="SL"/>
    <m/>
    <s v="WCNX"/>
    <n v="0"/>
    <n v="0"/>
    <m/>
    <m/>
    <m/>
    <m/>
    <m/>
    <m/>
    <m/>
    <m/>
    <m/>
    <m/>
    <m/>
    <m/>
    <m/>
  </r>
  <r>
    <n v="2183"/>
    <n v="204943"/>
    <n v="205327"/>
    <s v="Drivecam"/>
    <m/>
    <m/>
    <m/>
    <m/>
    <n v="0"/>
    <s v="Lytx"/>
    <m/>
    <s v="Non Rolling Stock"/>
    <d v="2018-10-31T00:00:00"/>
    <d v="2018-10-31T00:00:00"/>
    <x v="89"/>
    <n v="500"/>
    <n v="14040"/>
    <n v="519.47"/>
    <n v="14046"/>
    <n v="320.33"/>
    <n v="199.14000000000004"/>
    <n v="95.23"/>
    <n v="51260"/>
    <n v="8.65"/>
    <s v="P"/>
    <m/>
    <n v="5157285"/>
    <m/>
    <s v="Internal"/>
    <s v="A"/>
    <s v="SL"/>
    <m/>
    <s v="WCNX"/>
    <n v="0"/>
    <n v="0"/>
    <m/>
    <m/>
    <m/>
    <m/>
    <m/>
    <m/>
    <m/>
    <m/>
    <m/>
    <m/>
    <m/>
    <m/>
    <m/>
  </r>
  <r>
    <n v="2183"/>
    <n v="204942"/>
    <n v="203829"/>
    <s v="Drivecam"/>
    <m/>
    <m/>
    <m/>
    <m/>
    <n v="0"/>
    <s v="Peterbilt"/>
    <m/>
    <s v="Non Rolling Stock"/>
    <d v="2018-10-12T00:00:00"/>
    <d v="2018-10-12T00:00:00"/>
    <x v="91"/>
    <n v="500"/>
    <n v="14040"/>
    <n v="519.47"/>
    <n v="14046"/>
    <n v="328.98"/>
    <n v="190.49"/>
    <n v="95.23"/>
    <n v="51260"/>
    <n v="8.65"/>
    <s v="P"/>
    <m/>
    <n v="5157364"/>
    <m/>
    <s v="Internal"/>
    <s v="A"/>
    <s v="SL"/>
    <m/>
    <s v="WCNX"/>
    <n v="0"/>
    <n v="0"/>
    <m/>
    <m/>
    <m/>
    <m/>
    <m/>
    <m/>
    <m/>
    <m/>
    <m/>
    <m/>
    <m/>
    <m/>
    <m/>
  </r>
  <r>
    <n v="2183"/>
    <n v="204941"/>
    <n v="207237"/>
    <s v="Drivecam"/>
    <m/>
    <m/>
    <m/>
    <m/>
    <n v="0"/>
    <s v="Lytx"/>
    <m/>
    <s v="Non Rolling Stock"/>
    <d v="2018-10-31T00:00:00"/>
    <d v="2018-10-31T00:00:00"/>
    <x v="85"/>
    <n v="500"/>
    <n v="14040"/>
    <n v="519.47"/>
    <n v="14046"/>
    <n v="320.33"/>
    <n v="199.14000000000004"/>
    <n v="95.23"/>
    <n v="51260"/>
    <n v="8.65"/>
    <s v="P"/>
    <m/>
    <n v="5157305"/>
    <m/>
    <s v="Internal"/>
    <s v="A"/>
    <s v="SL"/>
    <m/>
    <s v="WCNX"/>
    <n v="0"/>
    <n v="0"/>
    <m/>
    <m/>
    <m/>
    <m/>
    <m/>
    <m/>
    <m/>
    <m/>
    <m/>
    <m/>
    <m/>
    <m/>
    <m/>
  </r>
  <r>
    <n v="2183"/>
    <n v="204940"/>
    <n v="202838"/>
    <s v="Drivecam"/>
    <m/>
    <m/>
    <m/>
    <m/>
    <n v="0"/>
    <s v="LYTX"/>
    <m/>
    <s v="Non Rolling Stock"/>
    <d v="2018-09-30T00:00:00"/>
    <d v="2018-09-30T00:00:00"/>
    <x v="93"/>
    <n v="500"/>
    <n v="14040"/>
    <n v="519.47"/>
    <n v="14046"/>
    <n v="328.98"/>
    <n v="190.49"/>
    <n v="95.23"/>
    <n v="51260"/>
    <n v="8.65"/>
    <s v="P"/>
    <m/>
    <n v="5157308"/>
    <m/>
    <s v="Internal"/>
    <s v="A"/>
    <s v="SL"/>
    <m/>
    <s v="WCNX"/>
    <n v="0"/>
    <n v="0"/>
    <m/>
    <m/>
    <m/>
    <m/>
    <m/>
    <m/>
    <m/>
    <m/>
    <m/>
    <m/>
    <m/>
    <m/>
    <m/>
  </r>
  <r>
    <n v="2183"/>
    <n v="204939"/>
    <n v="202091"/>
    <s v="Drivecam"/>
    <m/>
    <m/>
    <m/>
    <m/>
    <n v="0"/>
    <s v="LYTX"/>
    <m/>
    <s v="Non Rolling Stock"/>
    <d v="2018-08-31T00:00:00"/>
    <d v="2018-08-31T00:00:00"/>
    <x v="95"/>
    <n v="500"/>
    <n v="14040"/>
    <n v="519.47"/>
    <n v="14046"/>
    <n v="337.64"/>
    <n v="181.83000000000004"/>
    <n v="95.23"/>
    <n v="51260"/>
    <n v="8.65"/>
    <s v="P"/>
    <m/>
    <n v="5156784"/>
    <m/>
    <s v="Internal"/>
    <s v="A"/>
    <s v="SL"/>
    <m/>
    <s v="WCNX"/>
    <n v="0"/>
    <n v="0"/>
    <m/>
    <m/>
    <m/>
    <m/>
    <m/>
    <m/>
    <m/>
    <m/>
    <m/>
    <m/>
    <m/>
    <m/>
    <m/>
  </r>
  <r>
    <n v="2183"/>
    <n v="204911"/>
    <n v="203760"/>
    <s v="Use Tax"/>
    <m/>
    <m/>
    <m/>
    <m/>
    <n v="0"/>
    <s v="WA DOL LIC &amp; REG 57165"/>
    <m/>
    <s v="Non Rolling Stock"/>
    <d v="2018-10-05T00:00:00"/>
    <d v="2018-10-05T00:00:00"/>
    <x v="96"/>
    <n v="500"/>
    <n v="14040"/>
    <n v="2798.55"/>
    <n v="14046"/>
    <n v="1772.42"/>
    <n v="1026.1300000000001"/>
    <n v="513.07000000000005"/>
    <n v="51260"/>
    <n v="46.64"/>
    <s v="P"/>
    <m/>
    <s v="C73771N"/>
    <m/>
    <s v="Internal"/>
    <s v="A"/>
    <s v="SL"/>
    <m/>
    <s v="WCNX"/>
    <n v="0"/>
    <n v="0"/>
    <m/>
    <m/>
    <m/>
    <m/>
    <m/>
    <m/>
    <m/>
    <m/>
    <m/>
    <m/>
    <m/>
    <m/>
    <m/>
  </r>
  <r>
    <n v="2183"/>
    <n v="204847"/>
    <n v="203829"/>
    <s v="License for truck 2051"/>
    <m/>
    <m/>
    <m/>
    <m/>
    <n v="0"/>
    <s v="Peterbilt"/>
    <m/>
    <s v="Non Rolling Stock"/>
    <d v="2018-10-12T00:00:00"/>
    <d v="2018-10-12T00:00:00"/>
    <x v="91"/>
    <n v="1000"/>
    <n v="14040"/>
    <n v="1236"/>
    <n v="14046"/>
    <n v="391.4"/>
    <n v="844.6"/>
    <n v="113.3"/>
    <n v="51260"/>
    <n v="10.3"/>
    <s v="P"/>
    <m/>
    <s v="C74747N"/>
    <m/>
    <s v="Internal"/>
    <s v="A"/>
    <s v="SL"/>
    <m/>
    <s v="WCNX"/>
    <n v="0"/>
    <n v="0"/>
    <m/>
    <m/>
    <m/>
    <m/>
    <m/>
    <m/>
    <m/>
    <m/>
    <m/>
    <m/>
    <m/>
    <m/>
    <m/>
  </r>
  <r>
    <n v="2183"/>
    <n v="204846"/>
    <n v="202838"/>
    <s v="License for Truck #3686"/>
    <m/>
    <m/>
    <m/>
    <m/>
    <n v="0"/>
    <s v="WA DOL LIC &amp; REG 57165"/>
    <m/>
    <s v="Non Rolling Stock"/>
    <d v="2018-09-30T00:00:00"/>
    <d v="2018-09-30T00:00:00"/>
    <x v="93"/>
    <n v="1000"/>
    <n v="14040"/>
    <n v="243"/>
    <n v="14046"/>
    <n v="76.959999999999994"/>
    <n v="166.04000000000002"/>
    <n v="22.28"/>
    <n v="51260"/>
    <n v="2.0299999999999998"/>
    <s v="P"/>
    <m/>
    <s v="C73493N-1"/>
    <m/>
    <s v="Internal"/>
    <s v="A"/>
    <s v="SL"/>
    <m/>
    <s v="WCNX"/>
    <n v="0"/>
    <n v="0"/>
    <m/>
    <m/>
    <m/>
    <m/>
    <m/>
    <m/>
    <m/>
    <m/>
    <m/>
    <m/>
    <m/>
    <m/>
    <m/>
  </r>
  <r>
    <n v="2183"/>
    <n v="204845"/>
    <n v="202838"/>
    <s v="License for Truck #3686"/>
    <m/>
    <m/>
    <m/>
    <m/>
    <n v="0"/>
    <s v="WA DOL LIC &amp; REG 57165"/>
    <m/>
    <s v="Non Rolling Stock"/>
    <d v="2018-09-30T00:00:00"/>
    <d v="2018-09-30T00:00:00"/>
    <x v="93"/>
    <n v="1000"/>
    <n v="14040"/>
    <n v="993"/>
    <n v="14046"/>
    <n v="314.45999999999998"/>
    <n v="678.54"/>
    <n v="91.03"/>
    <n v="51260"/>
    <n v="8.2799999999999994"/>
    <s v="P"/>
    <m/>
    <s v="C73493N"/>
    <m/>
    <s v="Internal"/>
    <s v="A"/>
    <s v="SL"/>
    <m/>
    <s v="WCNX"/>
    <n v="0"/>
    <n v="0"/>
    <m/>
    <m/>
    <m/>
    <m/>
    <m/>
    <m/>
    <m/>
    <m/>
    <m/>
    <m/>
    <m/>
    <m/>
    <m/>
  </r>
  <r>
    <n v="2183"/>
    <n v="204844"/>
    <n v="202838"/>
    <s v="Decals"/>
    <m/>
    <m/>
    <m/>
    <m/>
    <n v="0"/>
    <s v="LARSEN SIGN CO"/>
    <m/>
    <s v="Non Rolling Stock"/>
    <d v="2018-09-30T00:00:00"/>
    <d v="2018-09-30T00:00:00"/>
    <x v="93"/>
    <n v="1000"/>
    <n v="14040"/>
    <n v="952.88"/>
    <n v="14046"/>
    <n v="301.75"/>
    <n v="651.13"/>
    <n v="87.35"/>
    <n v="51260"/>
    <n v="7.94"/>
    <s v="P"/>
    <m/>
    <n v="24423"/>
    <m/>
    <s v="Internal"/>
    <s v="A"/>
    <s v="SL"/>
    <m/>
    <s v="WCNX"/>
    <n v="0"/>
    <n v="0"/>
    <m/>
    <m/>
    <m/>
    <m/>
    <m/>
    <m/>
    <m/>
    <m/>
    <m/>
    <m/>
    <m/>
    <m/>
    <m/>
  </r>
  <r>
    <n v="2183"/>
    <n v="204843"/>
    <n v="203124"/>
    <s v="Decals"/>
    <m/>
    <m/>
    <m/>
    <m/>
    <n v="0"/>
    <s v="LARSEN SIGN CO"/>
    <m/>
    <s v="Non Rolling Stock"/>
    <d v="2018-09-30T00:00:00"/>
    <d v="2018-09-30T00:00:00"/>
    <x v="92"/>
    <n v="1000"/>
    <n v="14040"/>
    <n v="920.21"/>
    <n v="14046"/>
    <n v="291.39999999999998"/>
    <n v="628.81000000000006"/>
    <n v="84.35"/>
    <n v="51260"/>
    <n v="7.67"/>
    <s v="P"/>
    <m/>
    <n v="24410"/>
    <m/>
    <s v="Internal"/>
    <s v="A"/>
    <s v="SL"/>
    <m/>
    <s v="WCNX"/>
    <n v="0"/>
    <n v="0"/>
    <m/>
    <m/>
    <m/>
    <m/>
    <m/>
    <m/>
    <m/>
    <m/>
    <m/>
    <m/>
    <m/>
    <m/>
    <m/>
  </r>
  <r>
    <n v="2183"/>
    <n v="204842"/>
    <n v="203829"/>
    <s v="Decals"/>
    <m/>
    <m/>
    <m/>
    <m/>
    <n v="0"/>
    <s v="Peterbilt"/>
    <m/>
    <s v="Non Rolling Stock"/>
    <d v="2018-10-12T00:00:00"/>
    <d v="2018-10-12T00:00:00"/>
    <x v="91"/>
    <n v="1000"/>
    <n v="14040"/>
    <n v="892.98"/>
    <n v="14046"/>
    <n v="282.79000000000002"/>
    <n v="610.19000000000005"/>
    <n v="81.86"/>
    <n v="51260"/>
    <n v="7.44"/>
    <s v="P"/>
    <m/>
    <n v="24435"/>
    <m/>
    <s v="Internal"/>
    <s v="A"/>
    <s v="SL"/>
    <m/>
    <s v="WCNX"/>
    <n v="0"/>
    <n v="0"/>
    <m/>
    <m/>
    <m/>
    <m/>
    <m/>
    <m/>
    <m/>
    <m/>
    <m/>
    <m/>
    <m/>
    <m/>
    <m/>
  </r>
  <r>
    <n v="2183"/>
    <n v="204841"/>
    <n v="203124"/>
    <s v="License for Truck 2050"/>
    <m/>
    <m/>
    <m/>
    <m/>
    <n v="0"/>
    <s v="WA DOL LIC &amp; REG 57165"/>
    <m/>
    <s v="Non Rolling Stock"/>
    <d v="2018-09-30T00:00:00"/>
    <d v="2018-09-30T00:00:00"/>
    <x v="92"/>
    <n v="1000"/>
    <n v="14040"/>
    <n v="1295.25"/>
    <n v="14046"/>
    <n v="410.18"/>
    <n v="885.06999999999994"/>
    <n v="118.74"/>
    <n v="51260"/>
    <n v="10.8"/>
    <s v="P"/>
    <m/>
    <s v="C73772N"/>
    <m/>
    <s v="Internal"/>
    <s v="A"/>
    <s v="SL"/>
    <m/>
    <s v="WCNX"/>
    <n v="0"/>
    <n v="0"/>
    <m/>
    <m/>
    <m/>
    <m/>
    <m/>
    <m/>
    <m/>
    <m/>
    <m/>
    <m/>
    <m/>
    <m/>
    <m/>
  </r>
  <r>
    <n v="2183"/>
    <n v="204840"/>
    <n v="202839"/>
    <s v="Decals"/>
    <m/>
    <m/>
    <m/>
    <m/>
    <n v="0"/>
    <s v="Peterbilt"/>
    <m/>
    <s v="Non Rolling Stock"/>
    <d v="2018-09-30T00:00:00"/>
    <d v="2018-09-30T00:00:00"/>
    <x v="90"/>
    <n v="1000"/>
    <n v="14040"/>
    <n v="952.88"/>
    <n v="14046"/>
    <n v="301.75"/>
    <n v="651.13"/>
    <n v="87.35"/>
    <n v="51260"/>
    <n v="7.94"/>
    <s v="P"/>
    <m/>
    <n v="24338"/>
    <m/>
    <s v="Internal"/>
    <s v="A"/>
    <s v="SL"/>
    <m/>
    <s v="WCNX"/>
    <n v="0"/>
    <n v="0"/>
    <m/>
    <m/>
    <m/>
    <m/>
    <m/>
    <m/>
    <m/>
    <m/>
    <m/>
    <m/>
    <m/>
    <m/>
    <m/>
  </r>
  <r>
    <n v="2183"/>
    <n v="204839"/>
    <n v="202839"/>
    <s v="License"/>
    <m/>
    <m/>
    <m/>
    <m/>
    <n v="0"/>
    <s v="Peterbilt"/>
    <m/>
    <s v="Non Rolling Stock"/>
    <d v="2018-09-30T00:00:00"/>
    <d v="2018-09-30T00:00:00"/>
    <x v="90"/>
    <n v="1000"/>
    <n v="14040"/>
    <n v="371.67"/>
    <n v="14046"/>
    <n v="117.7"/>
    <n v="253.97000000000003"/>
    <n v="34.07"/>
    <n v="51260"/>
    <n v="3.09"/>
    <s v="P"/>
    <m/>
    <s v="C73731N"/>
    <m/>
    <s v="Internal"/>
    <s v="A"/>
    <s v="SL"/>
    <m/>
    <s v="WCNX"/>
    <n v="0"/>
    <n v="0"/>
    <m/>
    <m/>
    <m/>
    <m/>
    <m/>
    <m/>
    <m/>
    <m/>
    <m/>
    <m/>
    <m/>
    <m/>
    <m/>
  </r>
  <r>
    <n v="2183"/>
    <n v="204522"/>
    <n v="202839"/>
    <s v="Drivecam"/>
    <m/>
    <m/>
    <m/>
    <m/>
    <n v="0"/>
    <s v="Peterbilt"/>
    <m/>
    <s v="Non-Rolling Stock"/>
    <d v="2018-09-30T00:00:00"/>
    <d v="2018-09-30T00:00:00"/>
    <x v="90"/>
    <n v="500"/>
    <n v="14040"/>
    <n v="519.47"/>
    <n v="14046"/>
    <n v="328.98"/>
    <n v="190.49"/>
    <n v="95.23"/>
    <n v="51260"/>
    <n v="8.65"/>
    <s v="P"/>
    <m/>
    <n v="5156766"/>
    <m/>
    <s v="Internal"/>
    <s v="A"/>
    <s v="SL"/>
    <m/>
    <s v="WCNX"/>
    <n v="0"/>
    <n v="0"/>
    <m/>
    <m/>
    <m/>
    <m/>
    <m/>
    <m/>
    <m/>
    <m/>
    <m/>
    <m/>
    <m/>
    <m/>
    <m/>
  </r>
  <r>
    <n v="2183"/>
    <n v="204521"/>
    <n v="202167"/>
    <s v="Drivecam"/>
    <m/>
    <m/>
    <m/>
    <m/>
    <n v="0"/>
    <s v="LYTX"/>
    <m/>
    <s v="Non-Rolling Stock"/>
    <d v="2018-08-01T00:00:00"/>
    <d v="2018-08-01T00:00:00"/>
    <x v="88"/>
    <n v="500"/>
    <n v="14040"/>
    <n v="519.47"/>
    <n v="14046"/>
    <n v="346.3"/>
    <n v="173.17000000000002"/>
    <n v="95.23"/>
    <n v="51260"/>
    <n v="8.65"/>
    <s v="P"/>
    <m/>
    <n v="5156785"/>
    <m/>
    <s v="Internal"/>
    <s v="A"/>
    <s v="SL"/>
    <m/>
    <s v="WCNX"/>
    <n v="0"/>
    <n v="0"/>
    <m/>
    <m/>
    <m/>
    <m/>
    <m/>
    <m/>
    <m/>
    <m/>
    <m/>
    <m/>
    <m/>
    <m/>
    <m/>
  </r>
  <r>
    <n v="2183"/>
    <n v="204520"/>
    <n v="203124"/>
    <s v="Drivecam"/>
    <m/>
    <m/>
    <m/>
    <m/>
    <n v="0"/>
    <s v="LYTX"/>
    <m/>
    <s v="Non-Rolling Stock"/>
    <d v="2018-09-30T00:00:00"/>
    <d v="2018-09-30T00:00:00"/>
    <x v="92"/>
    <n v="500"/>
    <n v="14040"/>
    <n v="519.47"/>
    <n v="14046"/>
    <n v="328.98"/>
    <n v="190.49"/>
    <n v="95.23"/>
    <n v="51260"/>
    <n v="8.65"/>
    <s v="P"/>
    <m/>
    <n v="5156746"/>
    <m/>
    <s v="Internal"/>
    <s v="A"/>
    <s v="SL"/>
    <m/>
    <s v="WCNX"/>
    <n v="0"/>
    <n v="0"/>
    <m/>
    <m/>
    <m/>
    <m/>
    <m/>
    <m/>
    <m/>
    <m/>
    <m/>
    <m/>
    <m/>
    <m/>
    <m/>
  </r>
  <r>
    <n v="2183"/>
    <n v="204247"/>
    <s v="P"/>
    <s v="30Yd Containers"/>
    <n v="5"/>
    <m/>
    <m/>
    <m/>
    <n v="0"/>
    <s v="ENVIRONMENTAL METAL WORKS"/>
    <m/>
    <s v="30 YD RO Box"/>
    <d v="2018-10-04T00:00:00"/>
    <d v="2018-10-04T00:00:00"/>
    <x v="86"/>
    <n v="1200"/>
    <n v="14050"/>
    <n v="33268.620000000003"/>
    <n v="14056"/>
    <n v="8779.24"/>
    <n v="24489.380000000005"/>
    <n v="2541.36"/>
    <n v="54260"/>
    <n v="231.03"/>
    <s v="P"/>
    <m/>
    <s v="IN007006B"/>
    <m/>
    <s v="Internal"/>
    <s v="A"/>
    <s v="SL"/>
    <m/>
    <s v="WCNX"/>
    <n v="0"/>
    <n v="0"/>
    <m/>
    <m/>
    <m/>
    <m/>
    <m/>
    <m/>
    <m/>
    <m/>
    <m/>
    <m/>
    <m/>
    <m/>
    <m/>
  </r>
  <r>
    <n v="2183"/>
    <n v="204246"/>
    <s v="P"/>
    <s v="35 Gallon Refuse Containers"/>
    <n v="468"/>
    <m/>
    <m/>
    <m/>
    <n v="0"/>
    <s v="TOTER LLC"/>
    <m/>
    <m/>
    <d v="2018-08-13T00:00:00"/>
    <d v="2018-08-13T00:00:00"/>
    <x v="97"/>
    <n v="700"/>
    <n v="14050"/>
    <n v="18944.09"/>
    <n v="14056"/>
    <n v="9021.01"/>
    <n v="9923.08"/>
    <n v="2480.7800000000002"/>
    <n v="54260"/>
    <n v="225.53"/>
    <s v="P"/>
    <m/>
    <n v="65556140"/>
    <m/>
    <s v="Internal"/>
    <s v="A"/>
    <s v="SL"/>
    <m/>
    <s v="WCNX"/>
    <n v="0"/>
    <n v="0"/>
    <m/>
    <m/>
    <m/>
    <m/>
    <m/>
    <m/>
    <m/>
    <m/>
    <m/>
    <m/>
    <m/>
    <m/>
    <m/>
  </r>
  <r>
    <n v="2183"/>
    <n v="204245"/>
    <s v="P"/>
    <s v="96 Gallon Recyle Containers"/>
    <n v="312"/>
    <m/>
    <m/>
    <m/>
    <n v="0"/>
    <s v="TOTER LLC"/>
    <m/>
    <m/>
    <d v="2018-08-13T00:00:00"/>
    <d v="2018-08-13T00:00:00"/>
    <x v="97"/>
    <n v="700"/>
    <n v="14050"/>
    <n v="16735.59"/>
    <n v="14056"/>
    <n v="7969.34"/>
    <n v="8766.25"/>
    <n v="2191.5700000000002"/>
    <n v="54260"/>
    <n v="199.24"/>
    <s v="P"/>
    <m/>
    <n v="65556140"/>
    <m/>
    <s v="Internal"/>
    <s v="A"/>
    <s v="SL"/>
    <m/>
    <s v="WCNX"/>
    <n v="0"/>
    <n v="0"/>
    <m/>
    <m/>
    <m/>
    <m/>
    <m/>
    <m/>
    <m/>
    <m/>
    <m/>
    <m/>
    <m/>
    <m/>
    <m/>
  </r>
  <r>
    <n v="2183"/>
    <n v="203829"/>
    <s v="P"/>
    <s v="2019 FEL Truck"/>
    <m/>
    <m/>
    <s v="3BPDL70XXKF104143"/>
    <m/>
    <n v="2019"/>
    <s v="Peterbilt"/>
    <s v="Labrie"/>
    <s v="FEL Truck"/>
    <d v="2018-10-12T00:00:00"/>
    <d v="2018-10-12T00:00:00"/>
    <x v="91"/>
    <n v="1000"/>
    <n v="14040"/>
    <n v="319310.68"/>
    <n v="14046"/>
    <n v="101115.06"/>
    <n v="218195.62"/>
    <n v="29270.15"/>
    <n v="51260"/>
    <n v="2660.92"/>
    <s v="P"/>
    <m/>
    <n v="9934"/>
    <n v="2051"/>
    <s v="Internal"/>
    <s v="A"/>
    <s v="SL"/>
    <m/>
    <s v="WCNX"/>
    <n v="0"/>
    <n v="0"/>
    <m/>
    <m/>
    <m/>
    <m/>
    <m/>
    <m/>
    <m/>
    <m/>
    <m/>
    <m/>
    <m/>
    <m/>
    <m/>
  </r>
  <r>
    <n v="2183"/>
    <n v="203776"/>
    <n v="202167"/>
    <s v="TT&amp;L"/>
    <m/>
    <m/>
    <m/>
    <m/>
    <n v="0"/>
    <s v="McNeilus"/>
    <m/>
    <s v="Non Rolling Stock"/>
    <d v="2018-08-01T00:00:00"/>
    <d v="2018-08-01T00:00:00"/>
    <x v="88"/>
    <n v="1000"/>
    <n v="14040"/>
    <n v="1523.41"/>
    <n v="14046"/>
    <n v="507.81"/>
    <n v="1015.6000000000001"/>
    <n v="139.65"/>
    <n v="51260"/>
    <n v="12.7"/>
    <s v="P"/>
    <m/>
    <s v="2077-2"/>
    <m/>
    <s v="Internal"/>
    <s v="A"/>
    <s v="SL"/>
    <m/>
    <s v="WCNX"/>
    <n v="0"/>
    <n v="0"/>
    <m/>
    <m/>
    <m/>
    <m/>
    <m/>
    <m/>
    <m/>
    <m/>
    <m/>
    <m/>
    <m/>
    <m/>
    <m/>
  </r>
  <r>
    <n v="2183"/>
    <n v="203775"/>
    <n v="202091"/>
    <s v="TT&amp;L"/>
    <m/>
    <m/>
    <m/>
    <m/>
    <n v="0"/>
    <s v="McNeilus"/>
    <m/>
    <s v="Non Rolling Stock"/>
    <d v="2018-08-31T00:00:00"/>
    <d v="2018-08-31T00:00:00"/>
    <x v="95"/>
    <n v="1000"/>
    <n v="14040"/>
    <n v="811.22"/>
    <n v="14046"/>
    <n v="263.64"/>
    <n v="547.58000000000004"/>
    <n v="74.36"/>
    <n v="51260"/>
    <n v="6.76"/>
    <s v="P"/>
    <m/>
    <s v="2077-2"/>
    <m/>
    <s v="Internal"/>
    <s v="A"/>
    <s v="SL"/>
    <m/>
    <s v="WCNX"/>
    <n v="0"/>
    <n v="0"/>
    <m/>
    <m/>
    <m/>
    <m/>
    <m/>
    <m/>
    <m/>
    <m/>
    <m/>
    <m/>
    <m/>
    <m/>
    <m/>
  </r>
  <r>
    <n v="2183"/>
    <n v="203774"/>
    <n v="202090"/>
    <s v="TT&amp;L"/>
    <m/>
    <m/>
    <m/>
    <m/>
    <n v="0"/>
    <s v="McNeilus"/>
    <m/>
    <s v="Non Rolling Stock"/>
    <d v="2018-08-31T00:00:00"/>
    <d v="2018-08-31T00:00:00"/>
    <x v="94"/>
    <n v="1000"/>
    <n v="14040"/>
    <n v="1274.53"/>
    <n v="14046"/>
    <n v="414.22"/>
    <n v="860.31"/>
    <n v="116.83"/>
    <n v="51260"/>
    <n v="10.62"/>
    <s v="P"/>
    <m/>
    <s v="2077-2"/>
    <m/>
    <s v="Internal"/>
    <s v="A"/>
    <s v="SL"/>
    <m/>
    <s v="WCNX"/>
    <n v="0"/>
    <n v="0"/>
    <m/>
    <m/>
    <m/>
    <m/>
    <m/>
    <m/>
    <m/>
    <m/>
    <m/>
    <m/>
    <m/>
    <m/>
    <m/>
  </r>
  <r>
    <n v="2183"/>
    <n v="203765"/>
    <n v="202090"/>
    <s v="Mobile Radio"/>
    <m/>
    <m/>
    <m/>
    <m/>
    <n v="0"/>
    <s v="WHISLER COMMUNICATIONS"/>
    <m/>
    <s v="Non Rolling Stock"/>
    <d v="2018-08-31T00:00:00"/>
    <d v="2018-08-31T00:00:00"/>
    <x v="94"/>
    <n v="500"/>
    <n v="14040"/>
    <n v="731.05"/>
    <n v="14046"/>
    <n v="475.19"/>
    <n v="255.85999999999996"/>
    <n v="134.03"/>
    <n v="51260"/>
    <n v="12.19"/>
    <s v="P"/>
    <m/>
    <n v="3039"/>
    <m/>
    <s v="Internal"/>
    <s v="A"/>
    <s v="SL"/>
    <m/>
    <s v="WCNX"/>
    <n v="0"/>
    <n v="0"/>
    <m/>
    <m/>
    <m/>
    <m/>
    <m/>
    <m/>
    <m/>
    <m/>
    <m/>
    <m/>
    <m/>
    <m/>
    <m/>
  </r>
  <r>
    <n v="2183"/>
    <n v="203764"/>
    <n v="202091"/>
    <s v="Mobile Radio"/>
    <m/>
    <m/>
    <m/>
    <m/>
    <n v="0"/>
    <s v="WHISLER COMMUNICATIONS"/>
    <m/>
    <s v="Non Rolling Stock"/>
    <d v="2018-08-31T00:00:00"/>
    <d v="2018-08-31T00:00:00"/>
    <x v="95"/>
    <n v="500"/>
    <n v="14040"/>
    <n v="731.05"/>
    <n v="14046"/>
    <n v="475.19"/>
    <n v="255.85999999999996"/>
    <n v="134.03"/>
    <n v="51260"/>
    <n v="12.19"/>
    <s v="P"/>
    <m/>
    <n v="3040"/>
    <m/>
    <s v="Internal"/>
    <s v="A"/>
    <s v="SL"/>
    <m/>
    <s v="WCNX"/>
    <n v="0"/>
    <n v="0"/>
    <m/>
    <m/>
    <m/>
    <m/>
    <m/>
    <m/>
    <m/>
    <m/>
    <m/>
    <m/>
    <m/>
    <m/>
    <m/>
  </r>
  <r>
    <n v="2183"/>
    <n v="203760"/>
    <s v="P"/>
    <s v="2018 Ford F150"/>
    <m/>
    <m/>
    <s v="1FTEX1EB9JKF44424"/>
    <m/>
    <n v="2018"/>
    <s v="Ford"/>
    <m/>
    <s v="Pick Up Truck"/>
    <d v="2018-10-05T00:00:00"/>
    <d v="2018-10-05T00:00:00"/>
    <x v="96"/>
    <n v="500"/>
    <n v="14040"/>
    <n v="30633.03"/>
    <n v="14046"/>
    <n v="19400.93"/>
    <n v="11232.099999999999"/>
    <n v="5616.06"/>
    <n v="51260"/>
    <n v="510.55"/>
    <s v="P"/>
    <m/>
    <n v="375646"/>
    <n v="6058"/>
    <s v="Internal"/>
    <s v="A"/>
    <s v="SL"/>
    <m/>
    <s v="WCNX"/>
    <n v="0"/>
    <n v="0"/>
    <m/>
    <m/>
    <m/>
    <m/>
    <m/>
    <m/>
    <m/>
    <m/>
    <m/>
    <m/>
    <m/>
    <m/>
    <m/>
  </r>
  <r>
    <n v="2183"/>
    <n v="203437"/>
    <n v="202090"/>
    <s v="Overweight  Permit for Truck 3672"/>
    <m/>
    <m/>
    <m/>
    <m/>
    <n v="0"/>
    <s v="WA DOT"/>
    <m/>
    <s v="Non Rolling Stock"/>
    <d v="2018-08-31T00:00:00"/>
    <d v="2018-08-31T00:00:00"/>
    <x v="94"/>
    <n v="1000"/>
    <n v="14040"/>
    <n v="336"/>
    <n v="14046"/>
    <n v="109.2"/>
    <n v="226.8"/>
    <n v="30.8"/>
    <n v="51260"/>
    <n v="2.8"/>
    <s v="P"/>
    <m/>
    <n v="2758703"/>
    <m/>
    <s v="Internal"/>
    <s v="A"/>
    <s v="SL"/>
    <m/>
    <s v="WCNX"/>
    <n v="0"/>
    <n v="0"/>
    <m/>
    <m/>
    <m/>
    <m/>
    <m/>
    <m/>
    <m/>
    <m/>
    <m/>
    <m/>
    <m/>
    <m/>
    <m/>
  </r>
  <r>
    <n v="2183"/>
    <n v="203124"/>
    <s v="P"/>
    <s v="2019 FEL Truck"/>
    <m/>
    <m/>
    <s v="3BPDL70X7KF103306"/>
    <m/>
    <n v="2019"/>
    <s v="Peterbilt"/>
    <s v="Labrie"/>
    <s v="FEL Truck"/>
    <d v="2018-09-30T00:00:00"/>
    <d v="2018-09-30T00:00:00"/>
    <x v="92"/>
    <n v="1000"/>
    <n v="14040"/>
    <n v="317780.56"/>
    <n v="14046"/>
    <n v="100630.52"/>
    <n v="217150.03999999998"/>
    <n v="29129.89"/>
    <n v="51260"/>
    <n v="2648.17"/>
    <s v="P"/>
    <m/>
    <n v="24144642"/>
    <n v="2050"/>
    <s v="Internal"/>
    <s v="A"/>
    <s v="SL"/>
    <m/>
    <s v="WCNX"/>
    <n v="0"/>
    <n v="0"/>
    <m/>
    <m/>
    <m/>
    <m/>
    <m/>
    <m/>
    <m/>
    <m/>
    <m/>
    <m/>
    <m/>
    <m/>
    <m/>
  </r>
  <r>
    <n v="2183"/>
    <n v="202839"/>
    <s v="P"/>
    <s v="2019 ASL Truck"/>
    <m/>
    <m/>
    <s v="3BPDL70X2KF103956"/>
    <m/>
    <n v="2019"/>
    <s v="Peterbilt"/>
    <s v="Labrie"/>
    <s v="Automated Sideload"/>
    <d v="2018-09-30T00:00:00"/>
    <d v="2018-09-30T00:00:00"/>
    <x v="90"/>
    <n v="1000"/>
    <n v="14040"/>
    <n v="338957.39"/>
    <n v="14046"/>
    <n v="107336.52"/>
    <n v="231620.87"/>
    <n v="31071.1"/>
    <n v="51260"/>
    <n v="2824.65"/>
    <s v="P"/>
    <m/>
    <n v="9740"/>
    <n v="3685"/>
    <s v="Internal"/>
    <s v="A"/>
    <s v="SL"/>
    <m/>
    <s v="WCNX"/>
    <n v="0"/>
    <n v="0"/>
    <m/>
    <m/>
    <m/>
    <m/>
    <m/>
    <m/>
    <m/>
    <m/>
    <m/>
    <m/>
    <m/>
    <m/>
    <m/>
  </r>
  <r>
    <n v="2183"/>
    <n v="202838"/>
    <s v="P"/>
    <s v="2019 ASL Truck"/>
    <m/>
    <m/>
    <s v="3BPDL70X1KF103964"/>
    <m/>
    <n v="2019"/>
    <s v="Peterbilt"/>
    <s v="Labrie"/>
    <s v="Automated Sideload"/>
    <d v="2018-09-30T00:00:00"/>
    <d v="2018-09-30T00:00:00"/>
    <x v="93"/>
    <n v="1000"/>
    <n v="14040"/>
    <n v="339421.75"/>
    <n v="14046"/>
    <n v="107483.57"/>
    <n v="231938.18"/>
    <n v="31113.67"/>
    <n v="51260"/>
    <n v="2828.52"/>
    <s v="P"/>
    <m/>
    <n v="9740"/>
    <n v="3686"/>
    <s v="Internal"/>
    <s v="A"/>
    <s v="SL"/>
    <m/>
    <s v="WCNX"/>
    <n v="0"/>
    <n v="0"/>
    <m/>
    <m/>
    <m/>
    <m/>
    <m/>
    <m/>
    <m/>
    <m/>
    <m/>
    <m/>
    <m/>
    <m/>
    <m/>
  </r>
  <r>
    <n v="2183"/>
    <n v="202195"/>
    <s v="P"/>
    <s v="96 Gallon Yardwaste Containers"/>
    <n v="624"/>
    <m/>
    <m/>
    <m/>
    <n v="0"/>
    <s v="TOTER LLC"/>
    <m/>
    <m/>
    <d v="2018-06-30T00:00:00"/>
    <d v="2018-06-30T00:00:00"/>
    <x v="98"/>
    <n v="700"/>
    <n v="14050"/>
    <n v="33336.99"/>
    <n v="14056"/>
    <n v="16271.63"/>
    <n v="17065.36"/>
    <n v="4365.5600000000004"/>
    <n v="54260"/>
    <n v="396.87"/>
    <s v="P"/>
    <m/>
    <n v="65542374"/>
    <m/>
    <s v="Internal"/>
    <s v="A"/>
    <s v="SL"/>
    <m/>
    <s v="WCNX"/>
    <n v="0"/>
    <n v="0"/>
    <m/>
    <m/>
    <m/>
    <m/>
    <m/>
    <m/>
    <m/>
    <m/>
    <m/>
    <m/>
    <m/>
    <m/>
    <m/>
  </r>
  <r>
    <n v="2183"/>
    <n v="202194"/>
    <s v="P"/>
    <s v="96 Gallon Recycle Carts"/>
    <n v="624"/>
    <m/>
    <m/>
    <m/>
    <n v="0"/>
    <s v="TOTER LLC"/>
    <m/>
    <m/>
    <d v="2018-08-13T00:00:00"/>
    <d v="2018-08-13T00:00:00"/>
    <x v="97"/>
    <n v="700"/>
    <n v="14050"/>
    <n v="33435.82"/>
    <n v="14056"/>
    <n v="15921.83"/>
    <n v="17513.989999999998"/>
    <n v="4378.5"/>
    <n v="54260"/>
    <n v="398.04"/>
    <s v="P"/>
    <m/>
    <n v="65548488"/>
    <m/>
    <s v="Internal"/>
    <s v="A"/>
    <s v="SL"/>
    <m/>
    <s v="WCNX"/>
    <n v="0"/>
    <n v="0"/>
    <m/>
    <m/>
    <m/>
    <m/>
    <m/>
    <m/>
    <m/>
    <m/>
    <m/>
    <m/>
    <m/>
    <m/>
    <m/>
  </r>
  <r>
    <n v="2183"/>
    <n v="202193"/>
    <s v="P"/>
    <s v="64 Gallon Refuse Container"/>
    <n v="864"/>
    <m/>
    <m/>
    <m/>
    <n v="0"/>
    <s v="TOTER LLC"/>
    <m/>
    <m/>
    <d v="2018-07-28T00:00:00"/>
    <d v="2018-07-28T00:00:00"/>
    <x v="97"/>
    <n v="700"/>
    <n v="14050"/>
    <n v="39852.21"/>
    <n v="14056"/>
    <n v="18977.21"/>
    <n v="20875"/>
    <n v="5218.7299999999996"/>
    <n v="54260"/>
    <n v="474.43"/>
    <s v="P"/>
    <m/>
    <n v="65546477"/>
    <m/>
    <s v="Internal"/>
    <s v="A"/>
    <s v="SL"/>
    <m/>
    <s v="WCNX"/>
    <n v="0"/>
    <n v="0"/>
    <m/>
    <m/>
    <m/>
    <m/>
    <m/>
    <m/>
    <m/>
    <m/>
    <m/>
    <m/>
    <m/>
    <m/>
    <m/>
  </r>
  <r>
    <n v="2183"/>
    <n v="202192"/>
    <s v="P"/>
    <s v="96 Gallon Refuse Container"/>
    <n v="624"/>
    <m/>
    <m/>
    <m/>
    <n v="0"/>
    <s v="TOTER LLC"/>
    <m/>
    <m/>
    <d v="2018-08-08T00:00:00"/>
    <d v="2018-08-08T00:00:00"/>
    <x v="97"/>
    <n v="700"/>
    <n v="14050"/>
    <n v="33435.82"/>
    <n v="14056"/>
    <n v="15921.83"/>
    <n v="17513.989999999998"/>
    <n v="4378.5"/>
    <n v="54260"/>
    <n v="398.04"/>
    <s v="P"/>
    <m/>
    <n v="65548053"/>
    <m/>
    <s v="Internal"/>
    <s v="A"/>
    <s v="SL"/>
    <m/>
    <s v="WCNX"/>
    <n v="0"/>
    <n v="0"/>
    <m/>
    <m/>
    <m/>
    <m/>
    <m/>
    <m/>
    <m/>
    <m/>
    <m/>
    <m/>
    <m/>
    <m/>
    <m/>
  </r>
  <r>
    <n v="2183"/>
    <n v="202191"/>
    <s v="P"/>
    <s v="96 Gallon Refuse Containers"/>
    <n v="624"/>
    <m/>
    <m/>
    <m/>
    <n v="0"/>
    <s v="TOTER LLC"/>
    <m/>
    <m/>
    <d v="2018-08-08T00:00:00"/>
    <d v="2018-08-08T00:00:00"/>
    <x v="97"/>
    <n v="700"/>
    <n v="14050"/>
    <n v="33435.82"/>
    <n v="14056"/>
    <n v="15921.83"/>
    <n v="17513.989999999998"/>
    <n v="4378.5"/>
    <n v="54260"/>
    <n v="398.04"/>
    <s v="P"/>
    <m/>
    <n v="65547925"/>
    <m/>
    <s v="Internal"/>
    <s v="A"/>
    <s v="SL"/>
    <m/>
    <s v="WCNX"/>
    <n v="0"/>
    <n v="0"/>
    <m/>
    <m/>
    <m/>
    <m/>
    <m/>
    <m/>
    <m/>
    <m/>
    <m/>
    <m/>
    <m/>
    <m/>
    <m/>
  </r>
  <r>
    <n v="2183"/>
    <n v="202167"/>
    <s v="P"/>
    <s v="2019 ASL Truck"/>
    <m/>
    <m/>
    <s v="3BPDL70X8KF103265"/>
    <m/>
    <n v="2019"/>
    <s v="Peterbilt"/>
    <s v="Labrie"/>
    <s v="Automated Sideload"/>
    <d v="2018-08-01T00:00:00"/>
    <d v="2018-08-01T00:00:00"/>
    <x v="88"/>
    <n v="1000"/>
    <n v="14040"/>
    <n v="339272.41"/>
    <n v="14046"/>
    <n v="113090.8"/>
    <n v="226181.61"/>
    <n v="31099.97"/>
    <n v="51260"/>
    <n v="2827.27"/>
    <s v="P"/>
    <m/>
    <n v="9476"/>
    <n v="3674"/>
    <s v="Internal"/>
    <s v="A"/>
    <s v="SL"/>
    <m/>
    <s v="WCNX"/>
    <n v="0"/>
    <n v="0"/>
    <m/>
    <m/>
    <m/>
    <m/>
    <m/>
    <m/>
    <m/>
    <m/>
    <m/>
    <m/>
    <m/>
    <m/>
    <m/>
  </r>
  <r>
    <n v="2183"/>
    <n v="202091"/>
    <s v="P"/>
    <s v="2019 Recycle Truck"/>
    <m/>
    <m/>
    <s v="3BPDHJ7X6KF104239"/>
    <m/>
    <n v="2019"/>
    <s v="Peterbilt"/>
    <s v="Kann"/>
    <s v="Recycle Truck"/>
    <d v="2018-08-31T00:00:00"/>
    <d v="2018-08-31T00:00:00"/>
    <x v="95"/>
    <n v="1000"/>
    <n v="14040"/>
    <n v="235481.69"/>
    <n v="14046"/>
    <n v="76531.55"/>
    <n v="158950.14000000001"/>
    <n v="21585.82"/>
    <n v="51260"/>
    <n v="1962.34"/>
    <s v="P"/>
    <m/>
    <n v="9476"/>
    <n v="5050"/>
    <s v="Internal"/>
    <s v="A"/>
    <s v="SL"/>
    <m/>
    <s v="WCNX"/>
    <n v="0"/>
    <n v="0"/>
    <m/>
    <m/>
    <m/>
    <m/>
    <m/>
    <m/>
    <m/>
    <m/>
    <m/>
    <m/>
    <m/>
    <m/>
    <m/>
  </r>
  <r>
    <n v="2183"/>
    <n v="202090"/>
    <s v="P"/>
    <s v="2019 ASL Truck"/>
    <m/>
    <m/>
    <s v="3BPDL70X0KF103258"/>
    <m/>
    <n v="2019"/>
    <s v="Peterbilt"/>
    <s v="Labrie"/>
    <s v="Automated Sideload"/>
    <d v="2018-08-31T00:00:00"/>
    <d v="2018-08-31T00:00:00"/>
    <x v="94"/>
    <n v="1000"/>
    <n v="14040"/>
    <n v="339421.75"/>
    <n v="14046"/>
    <n v="110312.09"/>
    <n v="229109.66"/>
    <n v="31113.67"/>
    <n v="51260"/>
    <n v="2828.52"/>
    <s v="P"/>
    <m/>
    <n v="9476"/>
    <n v="3672"/>
    <s v="Internal"/>
    <s v="A"/>
    <s v="SL"/>
    <m/>
    <s v="WCNX"/>
    <n v="0"/>
    <n v="0"/>
    <m/>
    <m/>
    <m/>
    <m/>
    <m/>
    <m/>
    <m/>
    <m/>
    <m/>
    <m/>
    <m/>
    <m/>
    <m/>
  </r>
  <r>
    <n v="2183"/>
    <n v="200989"/>
    <n v="199117"/>
    <s v="License for Truck 3673"/>
    <m/>
    <m/>
    <m/>
    <m/>
    <n v="0"/>
    <s v="WA DOL"/>
    <m/>
    <s v="Non Rolling Stock"/>
    <d v="2018-06-30T00:00:00"/>
    <d v="2018-06-30T00:00:00"/>
    <x v="99"/>
    <n v="1000"/>
    <n v="14040"/>
    <n v="950.67"/>
    <n v="14046"/>
    <n v="324.79000000000002"/>
    <n v="625.87999999999988"/>
    <n v="87.14"/>
    <n v="51260"/>
    <n v="7.92"/>
    <s v="P"/>
    <m/>
    <s v="C44531L"/>
    <m/>
    <s v="Internal"/>
    <s v="A"/>
    <s v="SL"/>
    <m/>
    <s v="WCNX"/>
    <n v="0"/>
    <n v="0"/>
    <m/>
    <m/>
    <m/>
    <m/>
    <m/>
    <m/>
    <m/>
    <m/>
    <m/>
    <m/>
    <m/>
    <m/>
    <m/>
  </r>
  <r>
    <n v="2183"/>
    <n v="200622"/>
    <n v="199117"/>
    <s v="Mobile Radio"/>
    <m/>
    <m/>
    <m/>
    <m/>
    <n v="0"/>
    <s v="WHISLER COMMUNICATIONS"/>
    <m/>
    <s v="Non Rolling Stock"/>
    <d v="2018-06-30T00:00:00"/>
    <d v="2018-06-30T00:00:00"/>
    <x v="99"/>
    <n v="500"/>
    <n v="14040"/>
    <n v="722.88"/>
    <n v="14046"/>
    <n v="493.98"/>
    <n v="228.89999999999998"/>
    <n v="132.53"/>
    <n v="51260"/>
    <n v="12.05"/>
    <s v="P"/>
    <m/>
    <n v="2914"/>
    <m/>
    <s v="Internal"/>
    <s v="A"/>
    <s v="SL"/>
    <m/>
    <s v="WCNX"/>
    <n v="0"/>
    <n v="0"/>
    <m/>
    <m/>
    <m/>
    <m/>
    <m/>
    <m/>
    <m/>
    <m/>
    <m/>
    <m/>
    <m/>
    <m/>
    <m/>
  </r>
  <r>
    <n v="2183"/>
    <n v="200600"/>
    <s v="P"/>
    <s v="30YD Containers"/>
    <n v="56"/>
    <m/>
    <m/>
    <m/>
    <n v="0"/>
    <m/>
    <m/>
    <s v="30 YD RO Box"/>
    <d v="2008-11-03T00:00:00"/>
    <d v="2008-11-03T00:00:00"/>
    <x v="19"/>
    <n v="700"/>
    <n v="14050"/>
    <n v="72596.160000000003"/>
    <n v="14056"/>
    <n v="72596.160000000003"/>
    <n v="0"/>
    <n v="0"/>
    <n v="54260"/>
    <n v="0"/>
    <s v="A"/>
    <s v="LeMay Enterprises"/>
    <m/>
    <m/>
    <s v="Internal"/>
    <s v="A"/>
    <s v="SL"/>
    <d v="2018-06-30T00:00:00"/>
    <s v="WCNX"/>
    <n v="0"/>
    <n v="72596.160000000003"/>
    <m/>
    <m/>
    <m/>
    <m/>
    <m/>
    <m/>
    <m/>
    <m/>
    <m/>
    <m/>
    <m/>
    <m/>
    <m/>
  </r>
  <r>
    <n v="2183"/>
    <n v="200593"/>
    <s v="P"/>
    <s v="20YD Containers"/>
    <n v="88"/>
    <m/>
    <m/>
    <m/>
    <n v="0"/>
    <m/>
    <m/>
    <s v="20 YD RO Box"/>
    <d v="2008-11-03T00:00:00"/>
    <d v="2008-11-03T00:00:00"/>
    <x v="19"/>
    <n v="700"/>
    <n v="14050"/>
    <n v="114079.67999999999"/>
    <n v="14056"/>
    <n v="114079.67999999999"/>
    <n v="0"/>
    <n v="0"/>
    <n v="54260"/>
    <n v="0"/>
    <s v="A"/>
    <s v="LeMay Enterprises"/>
    <m/>
    <m/>
    <s v="Internal"/>
    <s v="A"/>
    <s v="SL"/>
    <d v="2018-06-30T00:00:00"/>
    <s v="WCNX"/>
    <n v="0"/>
    <n v="114079.67999999999"/>
    <m/>
    <m/>
    <m/>
    <m/>
    <m/>
    <m/>
    <m/>
    <m/>
    <m/>
    <m/>
    <m/>
    <m/>
    <m/>
  </r>
  <r>
    <n v="2183"/>
    <n v="200586"/>
    <s v="P"/>
    <s v="19.5 YD Containers"/>
    <n v="80"/>
    <m/>
    <m/>
    <m/>
    <n v="0"/>
    <m/>
    <m/>
    <s v="19.5 YD RO Box"/>
    <d v="2008-11-03T00:00:00"/>
    <d v="2008-11-03T00:00:00"/>
    <x v="19"/>
    <n v="700"/>
    <n v="14050"/>
    <n v="103709.6"/>
    <n v="14056"/>
    <n v="103709.6"/>
    <n v="0"/>
    <n v="0"/>
    <n v="54260"/>
    <n v="0"/>
    <s v="A"/>
    <s v="LeMay Enterprises"/>
    <m/>
    <m/>
    <s v="Internal"/>
    <s v="A"/>
    <s v="SL"/>
    <d v="2018-06-30T00:00:00"/>
    <s v="WCNX"/>
    <n v="2"/>
    <n v="103709.6"/>
    <m/>
    <m/>
    <m/>
    <m/>
    <m/>
    <m/>
    <m/>
    <m/>
    <m/>
    <m/>
    <m/>
    <m/>
    <m/>
  </r>
  <r>
    <n v="2183"/>
    <n v="200583"/>
    <s v="P"/>
    <s v="2 Yard Commercial Containers"/>
    <n v="229"/>
    <m/>
    <m/>
    <m/>
    <n v="0"/>
    <m/>
    <m/>
    <s v="2 YD FEL/REL/SL Metal"/>
    <d v="2008-11-03T00:00:00"/>
    <d v="2008-11-03T00:00:00"/>
    <x v="19"/>
    <n v="1200"/>
    <n v="14050"/>
    <n v="31979.85"/>
    <n v="14056"/>
    <n v="31979.85"/>
    <n v="0"/>
    <n v="0"/>
    <n v="54260"/>
    <n v="0"/>
    <s v="A"/>
    <s v="LeMay Enterprises"/>
    <m/>
    <m/>
    <s v="Internal"/>
    <s v="A"/>
    <s v="SL"/>
    <d v="2021-07-31T00:00:00"/>
    <s v="WCNX"/>
    <n v="1"/>
    <n v="31979.85"/>
    <m/>
    <m/>
    <m/>
    <m/>
    <m/>
    <m/>
    <m/>
    <m/>
    <m/>
    <m/>
    <m/>
    <m/>
    <m/>
  </r>
  <r>
    <n v="2183"/>
    <n v="200581"/>
    <s v="P"/>
    <s v="20 Yd Containers"/>
    <n v="87"/>
    <m/>
    <m/>
    <m/>
    <n v="0"/>
    <m/>
    <m/>
    <s v="20 YD RO Box"/>
    <d v="2008-11-03T00:00:00"/>
    <d v="2008-11-03T00:00:00"/>
    <x v="19"/>
    <n v="700"/>
    <n v="14050"/>
    <n v="130650.51"/>
    <n v="14056"/>
    <n v="130650.51"/>
    <n v="0"/>
    <n v="0"/>
    <n v="54260"/>
    <n v="0"/>
    <s v="A"/>
    <s v="LeMay Enterprises"/>
    <m/>
    <m/>
    <s v="Internal"/>
    <s v="A"/>
    <s v="SL"/>
    <d v="2021-07-31T00:00:00"/>
    <s v="WCNX"/>
    <n v="1"/>
    <n v="130650.51"/>
    <m/>
    <m/>
    <m/>
    <m/>
    <m/>
    <m/>
    <m/>
    <m/>
    <m/>
    <m/>
    <m/>
    <m/>
    <m/>
  </r>
  <r>
    <n v="2183"/>
    <n v="200572"/>
    <s v="P"/>
    <s v="1 Yd Containers"/>
    <n v="82"/>
    <m/>
    <m/>
    <m/>
    <n v="0"/>
    <m/>
    <m/>
    <s v="1 YD FEL/REL/SL Metal"/>
    <d v="2008-11-03T00:00:00"/>
    <d v="2008-11-03T00:00:00"/>
    <x v="19"/>
    <n v="1200"/>
    <n v="14050"/>
    <n v="11451.3"/>
    <n v="14056"/>
    <n v="11451.3"/>
    <n v="0"/>
    <n v="0"/>
    <n v="54260"/>
    <n v="0"/>
    <s v="A"/>
    <s v="LeMay Enterprises"/>
    <m/>
    <m/>
    <s v="Internal"/>
    <s v="A"/>
    <s v="SL"/>
    <d v="2018-06-30T00:00:00"/>
    <s v="WCNX"/>
    <n v="6"/>
    <n v="9224.66"/>
    <m/>
    <m/>
    <m/>
    <m/>
    <m/>
    <m/>
    <m/>
    <m/>
    <m/>
    <m/>
    <m/>
    <m/>
    <m/>
  </r>
  <r>
    <n v="2183"/>
    <n v="200571"/>
    <s v="P"/>
    <s v="10 YD Containers"/>
    <n v="12"/>
    <m/>
    <m/>
    <m/>
    <n v="0"/>
    <m/>
    <m/>
    <s v="10 YD RO Box"/>
    <d v="2008-11-03T00:00:00"/>
    <d v="2008-11-03T00:00:00"/>
    <x v="19"/>
    <n v="700"/>
    <n v="14050"/>
    <n v="1567.56"/>
    <n v="14056"/>
    <n v="1567.56"/>
    <n v="0"/>
    <n v="0"/>
    <n v="54260"/>
    <n v="0"/>
    <s v="A"/>
    <s v="LeMay Enterprises"/>
    <m/>
    <m/>
    <s v="Internal"/>
    <s v="A"/>
    <s v="SL"/>
    <d v="2018-06-30T00:00:00"/>
    <s v="WCNX"/>
    <n v="0"/>
    <n v="1567.56"/>
    <m/>
    <m/>
    <m/>
    <m/>
    <m/>
    <m/>
    <m/>
    <m/>
    <m/>
    <m/>
    <m/>
    <m/>
    <m/>
  </r>
  <r>
    <n v="2183"/>
    <n v="199449"/>
    <s v="P"/>
    <s v="65 Gallon Refuse Containers"/>
    <n v="864"/>
    <m/>
    <m/>
    <m/>
    <n v="0"/>
    <s v="TOTER"/>
    <m/>
    <m/>
    <d v="2018-03-31T00:00:00"/>
    <d v="2018-03-31T00:00:00"/>
    <x v="98"/>
    <n v="700"/>
    <n v="14050"/>
    <n v="39644.51"/>
    <n v="14056"/>
    <n v="20766.169999999998"/>
    <n v="18878.340000000004"/>
    <n v="5191.54"/>
    <n v="54260"/>
    <n v="471.96"/>
    <s v="P"/>
    <m/>
    <n v="65526376"/>
    <m/>
    <s v="Internal"/>
    <s v="A"/>
    <s v="SL"/>
    <m/>
    <s v="WCNX"/>
    <n v="0"/>
    <n v="0"/>
    <m/>
    <m/>
    <m/>
    <m/>
    <m/>
    <m/>
    <m/>
    <m/>
    <m/>
    <m/>
    <m/>
    <m/>
    <m/>
  </r>
  <r>
    <n v="2183"/>
    <n v="199448"/>
    <s v="P"/>
    <s v="96 Gal YardWaste Totes"/>
    <n v="624"/>
    <m/>
    <m/>
    <m/>
    <n v="0"/>
    <s v="TOTER"/>
    <m/>
    <m/>
    <d v="2018-04-26T00:00:00"/>
    <d v="2018-04-26T00:00:00"/>
    <x v="100"/>
    <n v="700"/>
    <n v="14050"/>
    <n v="33108.660000000003"/>
    <n v="14056"/>
    <n v="16948.490000000002"/>
    <n v="16160.170000000002"/>
    <n v="4335.66"/>
    <n v="54260"/>
    <n v="394.15"/>
    <s v="P"/>
    <m/>
    <n v="65530553"/>
    <m/>
    <s v="Internal"/>
    <s v="A"/>
    <s v="SL"/>
    <m/>
    <s v="WCNX"/>
    <n v="0"/>
    <n v="0"/>
    <m/>
    <m/>
    <m/>
    <m/>
    <m/>
    <m/>
    <m/>
    <m/>
    <m/>
    <m/>
    <m/>
    <m/>
    <m/>
  </r>
  <r>
    <n v="2183"/>
    <n v="199447"/>
    <s v="P"/>
    <s v="64 Gallon Refuse Container"/>
    <n v="432"/>
    <m/>
    <m/>
    <m/>
    <n v="0"/>
    <s v="TOTER"/>
    <m/>
    <m/>
    <d v="2018-04-18T00:00:00"/>
    <d v="2018-04-18T00:00:00"/>
    <x v="98"/>
    <n v="700"/>
    <n v="14050"/>
    <n v="20942.36"/>
    <n v="14056"/>
    <n v="10720.51"/>
    <n v="10221.85"/>
    <n v="2742.46"/>
    <n v="54260"/>
    <n v="249.32"/>
    <s v="P"/>
    <m/>
    <n v="65529504"/>
    <m/>
    <s v="Internal"/>
    <s v="A"/>
    <s v="SL"/>
    <m/>
    <s v="WCNX"/>
    <n v="0"/>
    <n v="0"/>
    <m/>
    <m/>
    <m/>
    <m/>
    <m/>
    <m/>
    <m/>
    <m/>
    <m/>
    <m/>
    <m/>
    <m/>
    <m/>
  </r>
  <r>
    <n v="2183"/>
    <n v="199446"/>
    <s v="P"/>
    <s v="96 Gallon Refuse Containers"/>
    <n v="312"/>
    <m/>
    <m/>
    <m/>
    <n v="0"/>
    <s v="TOTER"/>
    <m/>
    <m/>
    <d v="2018-04-18T00:00:00"/>
    <d v="2018-04-18T00:00:00"/>
    <x v="98"/>
    <n v="700"/>
    <n v="14050"/>
    <n v="17734.16"/>
    <n v="14056"/>
    <n v="9078.1299999999992"/>
    <n v="8656.0300000000007"/>
    <n v="2322.31"/>
    <n v="54260"/>
    <n v="211.12"/>
    <s v="P"/>
    <m/>
    <n v="65529529"/>
    <m/>
    <s v="Internal"/>
    <s v="A"/>
    <s v="SL"/>
    <m/>
    <s v="WCNX"/>
    <n v="0"/>
    <n v="0"/>
    <m/>
    <m/>
    <m/>
    <m/>
    <m/>
    <m/>
    <m/>
    <m/>
    <m/>
    <m/>
    <m/>
    <m/>
    <m/>
  </r>
  <r>
    <n v="2183"/>
    <n v="199445"/>
    <s v="P"/>
    <s v="96 Gallon Recycle Containers"/>
    <n v="624"/>
    <m/>
    <m/>
    <m/>
    <n v="0"/>
    <s v="TOTER"/>
    <m/>
    <m/>
    <d v="2018-04-18T00:00:00"/>
    <d v="2018-04-18T00:00:00"/>
    <x v="98"/>
    <n v="700"/>
    <n v="14050"/>
    <n v="33108.660000000003"/>
    <n v="14056"/>
    <n v="16948.490000000002"/>
    <n v="16160.170000000002"/>
    <n v="4335.66"/>
    <n v="54260"/>
    <n v="394.15"/>
    <s v="P"/>
    <m/>
    <n v="65529627"/>
    <m/>
    <s v="Internal"/>
    <s v="A"/>
    <s v="SL"/>
    <m/>
    <s v="WCNX"/>
    <n v="0"/>
    <n v="0"/>
    <m/>
    <m/>
    <m/>
    <m/>
    <m/>
    <m/>
    <m/>
    <m/>
    <m/>
    <m/>
    <m/>
    <m/>
    <m/>
  </r>
  <r>
    <n v="2183"/>
    <n v="199444"/>
    <s v="P"/>
    <s v="35 Gallon Refuse Containers"/>
    <n v="945"/>
    <m/>
    <m/>
    <m/>
    <n v="0"/>
    <s v="TOTER"/>
    <m/>
    <m/>
    <d v="2018-04-18T00:00:00"/>
    <d v="2018-04-18T00:00:00"/>
    <x v="98"/>
    <n v="700"/>
    <n v="14050"/>
    <n v="37863.78"/>
    <n v="14056"/>
    <n v="19382.650000000001"/>
    <n v="18481.129999999997"/>
    <n v="4958.3500000000004"/>
    <n v="54260"/>
    <n v="450.76"/>
    <s v="P"/>
    <m/>
    <n v="65529102"/>
    <m/>
    <s v="Internal"/>
    <s v="A"/>
    <s v="SL"/>
    <m/>
    <s v="WCNX"/>
    <n v="0"/>
    <n v="0"/>
    <m/>
    <m/>
    <m/>
    <m/>
    <m/>
    <m/>
    <m/>
    <m/>
    <m/>
    <m/>
    <m/>
    <m/>
    <m/>
  </r>
  <r>
    <n v="2183"/>
    <n v="199421"/>
    <n v="199117"/>
    <s v="Decals"/>
    <m/>
    <m/>
    <m/>
    <m/>
    <n v="0"/>
    <s v="SIGN CONNECTIONS"/>
    <m/>
    <s v="Non Rolling Stock"/>
    <d v="2018-06-30T00:00:00"/>
    <d v="2018-06-30T00:00:00"/>
    <x v="99"/>
    <n v="1000"/>
    <n v="14040"/>
    <n v="1003.93"/>
    <n v="14046"/>
    <n v="343"/>
    <n v="660.93"/>
    <n v="92.02"/>
    <n v="51260"/>
    <n v="8.36"/>
    <s v="P"/>
    <m/>
    <n v="2782"/>
    <m/>
    <s v="Internal"/>
    <s v="A"/>
    <s v="SL"/>
    <m/>
    <s v="WCNX"/>
    <n v="0"/>
    <n v="0"/>
    <m/>
    <m/>
    <m/>
    <m/>
    <m/>
    <m/>
    <m/>
    <m/>
    <m/>
    <m/>
    <m/>
    <m/>
    <m/>
  </r>
  <r>
    <n v="2183"/>
    <n v="199117"/>
    <s v="P"/>
    <s v="2018 ASL Truck"/>
    <m/>
    <m/>
    <s v="3BPDL70X0JF161174"/>
    <m/>
    <n v="2018"/>
    <s v="Peterbilt"/>
    <s v="Labrie"/>
    <s v="Automated Sideload"/>
    <d v="2018-06-30T00:00:00"/>
    <d v="2018-06-30T00:00:00"/>
    <x v="99"/>
    <n v="1000"/>
    <n v="14040"/>
    <n v="339421.75"/>
    <n v="14046"/>
    <n v="115969.12"/>
    <n v="223452.63"/>
    <n v="31113.67"/>
    <n v="51260"/>
    <n v="2828.52"/>
    <s v="P"/>
    <m/>
    <m/>
    <n v="3673"/>
    <s v="Internal"/>
    <s v="A"/>
    <s v="SL"/>
    <m/>
    <s v="WCNX"/>
    <n v="0"/>
    <n v="0"/>
    <m/>
    <m/>
    <m/>
    <m/>
    <m/>
    <m/>
    <m/>
    <m/>
    <m/>
    <m/>
    <m/>
    <m/>
    <m/>
  </r>
  <r>
    <n v="2183"/>
    <n v="198061"/>
    <s v="P"/>
    <s v="12 ft Storage Units"/>
    <n v="3"/>
    <m/>
    <m/>
    <m/>
    <n v="0"/>
    <m/>
    <m/>
    <s v="12 YD Storage Container"/>
    <d v="1992-03-01T00:00:00"/>
    <d v="1992-03-01T00:00:00"/>
    <x v="19"/>
    <n v="1500"/>
    <n v="14050"/>
    <n v="7710"/>
    <n v="14056"/>
    <n v="7710"/>
    <n v="0"/>
    <n v="0"/>
    <n v="54260"/>
    <n v="0"/>
    <s v="A"/>
    <s v="American Portable Storage"/>
    <m/>
    <m/>
    <s v="Internal"/>
    <s v="A"/>
    <s v="SL"/>
    <d v="2018-05-31T00:00:00"/>
    <s v="WCNX"/>
    <n v="0"/>
    <n v="7710"/>
    <m/>
    <m/>
    <m/>
    <m/>
    <m/>
    <m/>
    <m/>
    <m/>
    <m/>
    <m/>
    <m/>
    <m/>
    <m/>
  </r>
  <r>
    <n v="2183"/>
    <n v="198060"/>
    <s v="P"/>
    <s v="22 ft Storage Units"/>
    <n v="8"/>
    <m/>
    <m/>
    <m/>
    <n v="0"/>
    <m/>
    <m/>
    <s v="22 YD Storage Container"/>
    <d v="1988-02-19T00:00:00"/>
    <d v="1988-02-19T00:00:00"/>
    <x v="19"/>
    <n v="1500"/>
    <n v="14050"/>
    <n v="22692"/>
    <n v="14056"/>
    <n v="22692"/>
    <n v="0"/>
    <n v="0"/>
    <n v="54260"/>
    <n v="0"/>
    <s v="A"/>
    <s v="American Portable Storage"/>
    <m/>
    <m/>
    <s v="Internal"/>
    <s v="A"/>
    <s v="SL"/>
    <d v="2018-05-31T00:00:00"/>
    <s v="WCNX"/>
    <n v="0"/>
    <n v="22692"/>
    <m/>
    <m/>
    <m/>
    <m/>
    <m/>
    <m/>
    <m/>
    <m/>
    <m/>
    <m/>
    <m/>
    <m/>
    <m/>
  </r>
  <r>
    <n v="2183"/>
    <n v="197581"/>
    <n v="195950"/>
    <s v="Overweight  Permit for Truck 3671"/>
    <m/>
    <m/>
    <m/>
    <m/>
    <n v="0"/>
    <s v="WA DOT"/>
    <m/>
    <s v="Non Rolling Stock"/>
    <d v="2018-04-30T00:00:00"/>
    <d v="2018-04-30T00:00:00"/>
    <x v="101"/>
    <n v="1000"/>
    <n v="14040"/>
    <n v="336"/>
    <n v="14046"/>
    <n v="120.4"/>
    <n v="215.6"/>
    <n v="30.8"/>
    <n v="51260"/>
    <n v="2.8"/>
    <s v="P"/>
    <m/>
    <n v="2699323"/>
    <m/>
    <s v="Internal"/>
    <s v="A"/>
    <s v="SL"/>
    <m/>
    <s v="WCNX"/>
    <n v="0"/>
    <n v="0"/>
    <m/>
    <m/>
    <m/>
    <m/>
    <m/>
    <m/>
    <m/>
    <m/>
    <m/>
    <m/>
    <m/>
    <m/>
    <m/>
  </r>
  <r>
    <n v="2183"/>
    <n v="197580"/>
    <n v="195950"/>
    <s v="Decals"/>
    <m/>
    <m/>
    <m/>
    <m/>
    <n v="0"/>
    <s v="SIGN CONNECTINS"/>
    <m/>
    <s v="Non Rolling Stock"/>
    <d v="2018-04-30T00:00:00"/>
    <d v="2018-04-30T00:00:00"/>
    <x v="101"/>
    <n v="1000"/>
    <n v="14040"/>
    <n v="1003.93"/>
    <n v="14046"/>
    <n v="359.73"/>
    <n v="644.19999999999993"/>
    <n v="92.02"/>
    <n v="51260"/>
    <n v="8.36"/>
    <s v="P"/>
    <m/>
    <n v="2751"/>
    <m/>
    <s v="Internal"/>
    <s v="A"/>
    <s v="SL"/>
    <m/>
    <s v="WCNX"/>
    <n v="0"/>
    <n v="0"/>
    <m/>
    <m/>
    <m/>
    <m/>
    <m/>
    <m/>
    <m/>
    <m/>
    <m/>
    <m/>
    <m/>
    <m/>
    <m/>
  </r>
  <r>
    <n v="2183"/>
    <n v="197493"/>
    <n v="195950"/>
    <s v="License for Truck 3671"/>
    <m/>
    <m/>
    <m/>
    <m/>
    <n v="0"/>
    <s v="WA DOL"/>
    <m/>
    <s v="Non Rolling Stock"/>
    <d v="2018-04-30T00:00:00"/>
    <d v="2018-04-30T00:00:00"/>
    <x v="101"/>
    <n v="1000"/>
    <n v="14040"/>
    <n v="677.33"/>
    <n v="14046"/>
    <n v="242.71"/>
    <n v="434.62"/>
    <n v="62.09"/>
    <n v="51260"/>
    <n v="5.65"/>
    <s v="P"/>
    <m/>
    <n v="51118"/>
    <m/>
    <s v="Internal"/>
    <s v="A"/>
    <s v="SL"/>
    <m/>
    <s v="WCNX"/>
    <n v="0"/>
    <n v="0"/>
    <m/>
    <m/>
    <m/>
    <m/>
    <m/>
    <m/>
    <m/>
    <m/>
    <m/>
    <m/>
    <m/>
    <m/>
    <m/>
  </r>
  <r>
    <n v="2183"/>
    <n v="197437"/>
    <n v="195950"/>
    <s v="Drivecam"/>
    <m/>
    <m/>
    <m/>
    <m/>
    <n v="0"/>
    <s v="LYTX, INC"/>
    <m/>
    <s v="Non-Rolling Stock"/>
    <d v="2018-04-30T00:00:00"/>
    <d v="2018-04-30T00:00:00"/>
    <x v="101"/>
    <n v="500"/>
    <n v="14040"/>
    <n v="518.38"/>
    <n v="14046"/>
    <n v="371.52"/>
    <n v="146.86000000000001"/>
    <n v="95.04"/>
    <n v="51260"/>
    <n v="8.64"/>
    <s v="P"/>
    <m/>
    <n v="5129747"/>
    <m/>
    <s v="Internal"/>
    <s v="A"/>
    <s v="SL"/>
    <m/>
    <s v="WCNX"/>
    <n v="0"/>
    <n v="0"/>
    <m/>
    <m/>
    <m/>
    <m/>
    <m/>
    <m/>
    <m/>
    <m/>
    <m/>
    <m/>
    <m/>
    <m/>
    <m/>
  </r>
  <r>
    <n v="2183"/>
    <n v="196996"/>
    <n v="195950"/>
    <s v="Radio"/>
    <m/>
    <m/>
    <m/>
    <m/>
    <n v="0"/>
    <m/>
    <m/>
    <s v="Non-Rolling Stock"/>
    <d v="2018-04-30T00:00:00"/>
    <d v="2018-04-30T00:00:00"/>
    <x v="101"/>
    <n v="500"/>
    <n v="14040"/>
    <n v="722.88"/>
    <n v="14046"/>
    <n v="518.07000000000005"/>
    <n v="204.80999999999995"/>
    <n v="132.53"/>
    <n v="51260"/>
    <n v="12.05"/>
    <s v="P"/>
    <m/>
    <n v="2736"/>
    <m/>
    <s v="Internal"/>
    <s v="A"/>
    <s v="SL"/>
    <m/>
    <s v="WCNX"/>
    <n v="0"/>
    <n v="0"/>
    <m/>
    <m/>
    <m/>
    <m/>
    <m/>
    <m/>
    <m/>
    <m/>
    <m/>
    <m/>
    <m/>
    <m/>
    <m/>
  </r>
  <r>
    <n v="2183"/>
    <n v="196852"/>
    <n v="194074"/>
    <s v="Decals"/>
    <m/>
    <m/>
    <m/>
    <m/>
    <n v="0"/>
    <m/>
    <s v="NA"/>
    <s v="Non-Rolling Stock"/>
    <d v="2018-03-31T00:00:00"/>
    <d v="2018-03-31T00:00:00"/>
    <x v="102"/>
    <n v="1000"/>
    <n v="14040"/>
    <n v="794.16"/>
    <n v="14046"/>
    <n v="291.2"/>
    <n v="502.96"/>
    <n v="72.8"/>
    <n v="51260"/>
    <n v="6.62"/>
    <s v="P"/>
    <m/>
    <n v="47150"/>
    <m/>
    <s v="Internal"/>
    <s v="A"/>
    <s v="SL"/>
    <m/>
    <s v="WCNX"/>
    <n v="0"/>
    <n v="0"/>
    <m/>
    <m/>
    <m/>
    <m/>
    <m/>
    <m/>
    <m/>
    <m/>
    <m/>
    <m/>
    <m/>
    <m/>
    <m/>
  </r>
  <r>
    <n v="2183"/>
    <n v="196551"/>
    <s v="P"/>
    <s v="96 gal Yardwaste Totes"/>
    <n v="624"/>
    <m/>
    <m/>
    <s v="94-3283464"/>
    <n v="0"/>
    <s v="WASTEQUIP TOTER"/>
    <m/>
    <m/>
    <d v="2018-03-28T00:00:00"/>
    <d v="2018-03-28T00:00:00"/>
    <x v="100"/>
    <n v="700"/>
    <n v="14050"/>
    <n v="32857.040000000001"/>
    <n v="14056"/>
    <n v="17210.830000000002"/>
    <n v="15646.21"/>
    <n v="4302.71"/>
    <n v="54260"/>
    <n v="391.16"/>
    <s v="P"/>
    <m/>
    <n v="65525899"/>
    <m/>
    <s v="Internal"/>
    <s v="A"/>
    <s v="SL"/>
    <m/>
    <s v="WCNX"/>
    <n v="0"/>
    <n v="0"/>
    <m/>
    <m/>
    <m/>
    <m/>
    <m/>
    <m/>
    <m/>
    <m/>
    <m/>
    <m/>
    <m/>
    <m/>
    <m/>
  </r>
  <r>
    <n v="2183"/>
    <n v="195950"/>
    <s v="P"/>
    <s v="2018 ASL Truck"/>
    <m/>
    <m/>
    <s v="3BPDL70X4JF161081"/>
    <s v="94-3283464"/>
    <n v="2018"/>
    <s v="Peterbilt"/>
    <s v="Labrie"/>
    <s v="Automated Sideload"/>
    <d v="2018-04-30T00:00:00"/>
    <d v="2018-04-30T00:00:00"/>
    <x v="101"/>
    <n v="1000"/>
    <n v="14040"/>
    <n v="339677.75"/>
    <n v="14046"/>
    <n v="121717.87"/>
    <n v="217959.88"/>
    <n v="31137.13"/>
    <n v="51260"/>
    <n v="2830.65"/>
    <s v="P"/>
    <m/>
    <s v="0102816IN"/>
    <n v="3671"/>
    <s v="Internal"/>
    <s v="A"/>
    <s v="SL"/>
    <m/>
    <s v="WCNX"/>
    <n v="0"/>
    <n v="0"/>
    <m/>
    <m/>
    <m/>
    <m/>
    <m/>
    <m/>
    <m/>
    <m/>
    <m/>
    <m/>
    <m/>
    <m/>
    <m/>
  </r>
  <r>
    <n v="2183"/>
    <n v="194075"/>
    <n v="194074"/>
    <s v="Body for REL Truck"/>
    <m/>
    <m/>
    <m/>
    <s v="94-3283464"/>
    <n v="0"/>
    <m/>
    <s v="Solid Waste Systems"/>
    <s v="Non-Rolling Stock"/>
    <d v="2018-03-31T00:00:00"/>
    <d v="2018-03-31T00:00:00"/>
    <x v="102"/>
    <n v="1000"/>
    <n v="14040"/>
    <n v="84963.78"/>
    <n v="14046"/>
    <n v="31153.39"/>
    <n v="53810.39"/>
    <n v="7788.35"/>
    <n v="51260"/>
    <n v="708.03"/>
    <s v="P"/>
    <m/>
    <n v="4102490"/>
    <m/>
    <s v="Internal"/>
    <s v="A"/>
    <s v="SL"/>
    <m/>
    <s v="WCNX"/>
    <n v="0"/>
    <n v="0"/>
    <m/>
    <m/>
    <m/>
    <m/>
    <m/>
    <m/>
    <m/>
    <m/>
    <m/>
    <m/>
    <m/>
    <m/>
    <m/>
  </r>
  <r>
    <n v="2183"/>
    <n v="194074"/>
    <s v="P"/>
    <s v="2018 REL Truck"/>
    <m/>
    <m/>
    <s v="3BPPHM7X4JF591714"/>
    <s v="94-3283464"/>
    <n v="2018"/>
    <s v="Peterbilt"/>
    <s v="Neway"/>
    <s v="REL Truck"/>
    <d v="2018-03-31T00:00:00"/>
    <d v="2018-03-31T00:00:00"/>
    <x v="103"/>
    <n v="1000"/>
    <n v="14040"/>
    <n v="99882.2"/>
    <n v="14046"/>
    <n v="36623.440000000002"/>
    <n v="63258.759999999995"/>
    <n v="9155.86"/>
    <n v="51260"/>
    <n v="832.35"/>
    <s v="P"/>
    <m/>
    <s v="P591714"/>
    <n v="1083"/>
    <s v="Internal"/>
    <s v="A"/>
    <s v="SL"/>
    <m/>
    <s v="WCNX"/>
    <n v="0"/>
    <n v="0"/>
    <m/>
    <m/>
    <m/>
    <m/>
    <m/>
    <m/>
    <m/>
    <m/>
    <m/>
    <m/>
    <m/>
    <m/>
    <m/>
  </r>
  <r>
    <n v="2183"/>
    <n v="193628"/>
    <s v="P"/>
    <s v="1999 Type H Van Box"/>
    <n v="0"/>
    <m/>
    <s v="1HTSCABN8XH646982"/>
    <m/>
    <n v="1999"/>
    <s v="International"/>
    <s v="Other"/>
    <s v="Container Delivery Truck"/>
    <d v="2008-11-03T00:00:00"/>
    <d v="2008-11-03T00:00:00"/>
    <x v="19"/>
    <n v="300"/>
    <n v="14040"/>
    <n v="5500"/>
    <n v="14046"/>
    <n v="5500"/>
    <n v="0"/>
    <n v="0"/>
    <n v="51260"/>
    <n v="0"/>
    <s v="A"/>
    <s v="LeMay Enterprises"/>
    <m/>
    <n v="9576"/>
    <s v="Internal"/>
    <s v="A"/>
    <s v="SL"/>
    <d v="2018-02-28T00:00:00"/>
    <s v="WCNX"/>
    <n v="0"/>
    <n v="5500"/>
    <m/>
    <m/>
    <m/>
    <m/>
    <m/>
    <m/>
    <m/>
    <m/>
    <m/>
    <m/>
    <m/>
    <m/>
    <m/>
  </r>
  <r>
    <n v="2183"/>
    <n v="191901"/>
    <s v="P"/>
    <s v="HP ProBook 650 G2"/>
    <m/>
    <m/>
    <m/>
    <s v="94-3283464"/>
    <n v="0"/>
    <s v="CDW"/>
    <m/>
    <m/>
    <d v="2018-01-09T00:00:00"/>
    <d v="2018-01-09T00:00:00"/>
    <x v="104"/>
    <n v="300"/>
    <n v="14110"/>
    <n v="1306.96"/>
    <n v="14116"/>
    <n v="1306.96"/>
    <n v="0"/>
    <n v="0"/>
    <n v="70260"/>
    <n v="0"/>
    <s v="P"/>
    <m/>
    <s v="LJG4797"/>
    <m/>
    <s v="Internal"/>
    <s v="A"/>
    <s v="SL"/>
    <m/>
    <s v="WCNX"/>
    <n v="0"/>
    <n v="0"/>
    <m/>
    <m/>
    <m/>
    <m/>
    <m/>
    <m/>
    <m/>
    <m/>
    <m/>
    <m/>
    <m/>
    <m/>
    <m/>
  </r>
  <r>
    <n v="2183"/>
    <n v="191852"/>
    <n v="191688"/>
    <s v="Decals for New Truck"/>
    <m/>
    <m/>
    <m/>
    <s v="94-3283464"/>
    <n v="0"/>
    <s v="Labrie"/>
    <m/>
    <s v="Non Rolling Stock"/>
    <d v="2018-01-01T00:00:00"/>
    <d v="2018-01-01T00:00:00"/>
    <x v="105"/>
    <n v="1000"/>
    <n v="14040"/>
    <n v="1003.93"/>
    <n v="14046"/>
    <n v="393.19"/>
    <n v="610.74"/>
    <n v="92.02"/>
    <n v="51260"/>
    <n v="8.36"/>
    <s v="P"/>
    <m/>
    <n v="2661"/>
    <m/>
    <s v="Internal"/>
    <s v="A"/>
    <s v="SL"/>
    <m/>
    <s v="WCNX"/>
    <n v="0"/>
    <n v="0"/>
    <m/>
    <m/>
    <m/>
    <m/>
    <m/>
    <m/>
    <m/>
    <m/>
    <m/>
    <m/>
    <m/>
    <m/>
    <m/>
  </r>
  <r>
    <n v="2183"/>
    <n v="191688"/>
    <s v="P"/>
    <s v="2018 ASL Truck"/>
    <m/>
    <m/>
    <s v="3BPDL70X7JF161172"/>
    <m/>
    <n v="2018"/>
    <s v="Peterbilt"/>
    <s v="Labrie"/>
    <s v="Automated Sideload"/>
    <d v="2018-01-01T00:00:00"/>
    <d v="2018-01-01T00:00:00"/>
    <x v="105"/>
    <n v="1000"/>
    <n v="14040"/>
    <n v="336750.81"/>
    <n v="14046"/>
    <n v="131894.06"/>
    <n v="204856.75"/>
    <n v="30868.82"/>
    <n v="51260"/>
    <n v="2806.25"/>
    <s v="P"/>
    <m/>
    <s v="P161172"/>
    <n v="3670"/>
    <s v="Internal"/>
    <s v="A"/>
    <s v="SL"/>
    <m/>
    <s v="WCNX"/>
    <n v="0"/>
    <n v="0"/>
    <m/>
    <m/>
    <m/>
    <m/>
    <m/>
    <m/>
    <m/>
    <m/>
    <m/>
    <m/>
    <m/>
    <m/>
    <m/>
  </r>
  <r>
    <n v="2183"/>
    <n v="191687"/>
    <n v="114271"/>
    <s v="Body for Truck"/>
    <m/>
    <m/>
    <m/>
    <m/>
    <n v="0"/>
    <m/>
    <m/>
    <s v="Non-Rolling Stock"/>
    <d v="2018-01-01T00:00:00"/>
    <d v="2018-01-01T00:00:00"/>
    <x v="106"/>
    <n v="300"/>
    <n v="14040"/>
    <n v="60725.69"/>
    <n v="14046"/>
    <n v="60725.69"/>
    <n v="0"/>
    <n v="0"/>
    <n v="51260"/>
    <n v="0"/>
    <s v="P"/>
    <m/>
    <n v="4102464"/>
    <m/>
    <s v="Internal"/>
    <s v="A"/>
    <s v="SL"/>
    <m/>
    <s v="WCNX"/>
    <n v="0"/>
    <n v="0"/>
    <m/>
    <m/>
    <m/>
    <m/>
    <m/>
    <m/>
    <m/>
    <m/>
    <m/>
    <m/>
    <m/>
    <m/>
    <m/>
  </r>
  <r>
    <n v="2183"/>
    <n v="191686"/>
    <s v="P"/>
    <s v="2018 Hooklift Truck"/>
    <m/>
    <m/>
    <s v="3BPPHM7X3JF591817"/>
    <m/>
    <n v="2018"/>
    <s v="Peterbilt"/>
    <s v="Stellar"/>
    <s v="Hook Lift Truck"/>
    <d v="2018-01-01T00:00:00"/>
    <d v="2018-01-01T00:00:00"/>
    <x v="107"/>
    <n v="1000"/>
    <n v="14040"/>
    <n v="150065.09"/>
    <n v="14046"/>
    <n v="58775.5"/>
    <n v="91289.59"/>
    <n v="13755.97"/>
    <n v="51260"/>
    <n v="1250.54"/>
    <s v="P"/>
    <m/>
    <n v="4102492"/>
    <n v="4522"/>
    <s v="Internal"/>
    <s v="A"/>
    <s v="SL"/>
    <m/>
    <s v="WCNX"/>
    <n v="0"/>
    <n v="0"/>
    <m/>
    <m/>
    <m/>
    <m/>
    <m/>
    <m/>
    <m/>
    <m/>
    <m/>
    <m/>
    <m/>
    <m/>
    <m/>
  </r>
  <r>
    <n v="2183"/>
    <n v="190751"/>
    <s v="P"/>
    <s v="96 Gallon Recycle Carts"/>
    <n v="642"/>
    <m/>
    <m/>
    <s v="94-3283464"/>
    <n v="0"/>
    <s v="Toter"/>
    <m/>
    <m/>
    <d v="2017-11-15T00:00:00"/>
    <d v="2017-11-15T00:00:00"/>
    <x v="108"/>
    <n v="700"/>
    <n v="14050"/>
    <n v="32805.43"/>
    <n v="14056"/>
    <n v="19136.5"/>
    <n v="13668.93"/>
    <n v="4295.95"/>
    <n v="54260"/>
    <n v="390.54"/>
    <s v="P"/>
    <m/>
    <n v="65504137"/>
    <m/>
    <s v="Internal"/>
    <s v="A"/>
    <s v="SL"/>
    <m/>
    <s v="WCNX"/>
    <n v="0"/>
    <n v="0"/>
    <m/>
    <m/>
    <m/>
    <m/>
    <m/>
    <m/>
    <m/>
    <m/>
    <m/>
    <m/>
    <m/>
    <m/>
    <m/>
  </r>
  <r>
    <n v="2183"/>
    <n v="190473"/>
    <s v="P"/>
    <s v="65 Gallon Refuse Carts"/>
    <n v="432"/>
    <m/>
    <m/>
    <s v="94-3283464"/>
    <n v="0"/>
    <s v="Toter"/>
    <m/>
    <m/>
    <d v="2017-11-15T00:00:00"/>
    <d v="2017-11-15T00:00:00"/>
    <x v="108"/>
    <n v="700"/>
    <n v="14050"/>
    <n v="19630.52"/>
    <n v="14056"/>
    <n v="11451.13"/>
    <n v="8179.3900000000012"/>
    <n v="2570.66"/>
    <n v="54260"/>
    <n v="233.69"/>
    <s v="P"/>
    <m/>
    <n v="65540355"/>
    <m/>
    <s v="Internal"/>
    <s v="A"/>
    <s v="SL"/>
    <m/>
    <s v="WCNX"/>
    <n v="0"/>
    <n v="0"/>
    <m/>
    <m/>
    <m/>
    <m/>
    <m/>
    <m/>
    <m/>
    <m/>
    <m/>
    <m/>
    <m/>
    <m/>
    <m/>
  </r>
  <r>
    <n v="2183"/>
    <n v="190472"/>
    <s v="P"/>
    <s v="96 Gallon Refuse Carts"/>
    <n v="312"/>
    <m/>
    <m/>
    <s v="94-3283464"/>
    <n v="0"/>
    <s v="Toter"/>
    <m/>
    <m/>
    <d v="2017-11-15T00:00:00"/>
    <d v="2017-11-15T00:00:00"/>
    <x v="108"/>
    <n v="700"/>
    <n v="14050"/>
    <n v="16402.71"/>
    <n v="14056"/>
    <n v="9568.27"/>
    <n v="6834.4399999999987"/>
    <n v="2147.98"/>
    <n v="54260"/>
    <n v="195.27"/>
    <s v="P"/>
    <m/>
    <n v="65540355"/>
    <m/>
    <s v="Internal"/>
    <s v="A"/>
    <s v="SL"/>
    <m/>
    <s v="WCNX"/>
    <n v="0"/>
    <n v="0"/>
    <m/>
    <m/>
    <m/>
    <m/>
    <m/>
    <m/>
    <m/>
    <m/>
    <m/>
    <m/>
    <m/>
    <m/>
    <m/>
  </r>
  <r>
    <n v="2183"/>
    <n v="189053"/>
    <s v="P"/>
    <s v="35 Gallon Refuse Carts"/>
    <n v="945"/>
    <m/>
    <m/>
    <s v="94-3283464"/>
    <n v="0"/>
    <s v="TOTER LLC"/>
    <m/>
    <m/>
    <d v="2017-11-15T00:00:00"/>
    <d v="2017-11-15T00:00:00"/>
    <x v="108"/>
    <n v="700"/>
    <n v="14050"/>
    <n v="38070.199999999997"/>
    <n v="14056"/>
    <n v="22207.61"/>
    <n v="15862.589999999997"/>
    <n v="4985.38"/>
    <n v="54260"/>
    <n v="453.21"/>
    <s v="P"/>
    <m/>
    <n v="65504842"/>
    <m/>
    <s v="Internal"/>
    <s v="A"/>
    <s v="SL"/>
    <m/>
    <s v="WCNX"/>
    <n v="0"/>
    <n v="0"/>
    <m/>
    <m/>
    <m/>
    <m/>
    <m/>
    <m/>
    <m/>
    <m/>
    <m/>
    <m/>
    <m/>
    <m/>
    <m/>
  </r>
  <r>
    <n v="2183"/>
    <n v="188510"/>
    <s v="P"/>
    <s v="2Yd RL Metal  Containers"/>
    <n v="30"/>
    <m/>
    <m/>
    <s v="94-3283464"/>
    <n v="0"/>
    <s v="CAPITAL INDUSTRIES INC"/>
    <m/>
    <s v="2 YD FEL/REL/SL Metal"/>
    <d v="2017-10-31T00:00:00"/>
    <d v="2017-10-31T00:00:00"/>
    <x v="109"/>
    <n v="1200"/>
    <n v="14050"/>
    <n v="16171.66"/>
    <n v="14056"/>
    <n v="5502.87"/>
    <n v="10668.79"/>
    <n v="1235.3399999999999"/>
    <n v="54260"/>
    <n v="112.31"/>
    <s v="P"/>
    <m/>
    <n v="134932"/>
    <m/>
    <s v="Internal"/>
    <s v="A"/>
    <s v="SL"/>
    <m/>
    <s v="WCNX"/>
    <n v="0"/>
    <n v="0"/>
    <m/>
    <m/>
    <m/>
    <m/>
    <m/>
    <m/>
    <m/>
    <m/>
    <m/>
    <m/>
    <m/>
    <m/>
    <m/>
  </r>
  <r>
    <n v="2183"/>
    <n v="188327"/>
    <s v="P"/>
    <s v="35 Gallon Refuse Carts"/>
    <n v="945"/>
    <m/>
    <m/>
    <s v="94-3283464"/>
    <n v="0"/>
    <s v="TOTER LLC"/>
    <m/>
    <m/>
    <d v="2017-10-09T00:00:00"/>
    <d v="2017-10-09T00:00:00"/>
    <x v="110"/>
    <n v="700"/>
    <n v="14050"/>
    <n v="38070.199999999997"/>
    <n v="14056"/>
    <n v="22660.83"/>
    <n v="15409.369999999995"/>
    <n v="4985.38"/>
    <n v="54260"/>
    <n v="453.21"/>
    <s v="P"/>
    <m/>
    <n v="65499877"/>
    <m/>
    <s v="Internal"/>
    <s v="A"/>
    <s v="SL"/>
    <m/>
    <s v="WCNX"/>
    <n v="0"/>
    <n v="0"/>
    <m/>
    <m/>
    <m/>
    <m/>
    <m/>
    <m/>
    <m/>
    <m/>
    <m/>
    <m/>
    <m/>
    <m/>
    <m/>
  </r>
  <r>
    <n v="2183"/>
    <n v="187607"/>
    <s v="P"/>
    <s v="2018 ASL Truck"/>
    <m/>
    <m/>
    <s v="3BPDL70X3JF187137"/>
    <m/>
    <n v="2018"/>
    <s v="Peterbilt"/>
    <s v="Labrie"/>
    <s v="Automated Sideload"/>
    <d v="2017-10-31T00:00:00"/>
    <d v="2017-10-31T00:00:00"/>
    <x v="111"/>
    <n v="1000"/>
    <n v="14040"/>
    <n v="336704.5"/>
    <n v="14046"/>
    <n v="137487.67000000001"/>
    <n v="199216.83"/>
    <n v="30864.58"/>
    <n v="51260"/>
    <n v="2805.87"/>
    <s v="P"/>
    <m/>
    <s v="P187137"/>
    <n v="3664"/>
    <s v="Internal"/>
    <s v="A"/>
    <s v="SL"/>
    <m/>
    <s v="WCNX"/>
    <n v="0"/>
    <n v="0"/>
    <m/>
    <m/>
    <m/>
    <m/>
    <m/>
    <m/>
    <m/>
    <m/>
    <m/>
    <m/>
    <m/>
    <m/>
    <m/>
  </r>
  <r>
    <n v="2183"/>
    <n v="187606"/>
    <s v="P"/>
    <s v="2018 ASL Truck"/>
    <m/>
    <m/>
    <s v="3BPDL70X1JF187136"/>
    <m/>
    <n v="2018"/>
    <s v="Peterbilt"/>
    <s v="Labrie"/>
    <s v="Automated Sideload"/>
    <d v="2017-10-31T00:00:00"/>
    <d v="2017-10-31T00:00:00"/>
    <x v="112"/>
    <n v="1000"/>
    <n v="14040"/>
    <n v="337878.55"/>
    <n v="14046"/>
    <n v="137967.1"/>
    <n v="199911.44999999998"/>
    <n v="30972.21"/>
    <n v="51260"/>
    <n v="2815.66"/>
    <s v="P"/>
    <m/>
    <s v="P187136"/>
    <n v="3663"/>
    <s v="Internal"/>
    <s v="A"/>
    <s v="SL"/>
    <m/>
    <s v="WCNX"/>
    <n v="0"/>
    <n v="0"/>
    <m/>
    <m/>
    <m/>
    <m/>
    <m/>
    <m/>
    <m/>
    <m/>
    <m/>
    <m/>
    <m/>
    <m/>
    <m/>
  </r>
  <r>
    <n v="2183"/>
    <n v="187605"/>
    <s v="P"/>
    <s v="2018 ASL Truck"/>
    <m/>
    <m/>
    <s v="3BPDL70XXJF187135"/>
    <m/>
    <n v="2018"/>
    <s v="Peterbilt"/>
    <s v="Labrie"/>
    <s v="Automated Sideload"/>
    <d v="2017-10-31T00:00:00"/>
    <d v="2017-10-31T00:00:00"/>
    <x v="113"/>
    <n v="1000"/>
    <n v="14040"/>
    <n v="337983.11"/>
    <n v="14046"/>
    <n v="138009.76"/>
    <n v="199973.34999999998"/>
    <n v="30981.78"/>
    <n v="51260"/>
    <n v="2816.52"/>
    <s v="P"/>
    <m/>
    <s v="P187135"/>
    <n v="3662"/>
    <s v="Internal"/>
    <s v="A"/>
    <s v="SL"/>
    <m/>
    <s v="WCNX"/>
    <n v="0"/>
    <n v="0"/>
    <m/>
    <m/>
    <m/>
    <m/>
    <m/>
    <m/>
    <m/>
    <m/>
    <m/>
    <m/>
    <m/>
    <m/>
    <m/>
  </r>
  <r>
    <n v="2183"/>
    <n v="187522"/>
    <s v="P"/>
    <s v="96G Recycle Containers"/>
    <n v="624"/>
    <m/>
    <m/>
    <s v="94-3283464"/>
    <n v="0"/>
    <s v="TOTER LLC"/>
    <m/>
    <m/>
    <d v="2017-10-09T00:00:00"/>
    <d v="2017-10-09T00:00:00"/>
    <x v="110"/>
    <n v="700"/>
    <n v="14050"/>
    <n v="32805.43"/>
    <n v="14056"/>
    <n v="19527.04"/>
    <n v="13278.39"/>
    <n v="4295.95"/>
    <n v="54260"/>
    <n v="390.54"/>
    <s v="P"/>
    <m/>
    <n v="65497160"/>
    <m/>
    <s v="Internal"/>
    <s v="A"/>
    <s v="SL"/>
    <m/>
    <s v="WCNX"/>
    <n v="0"/>
    <n v="0"/>
    <m/>
    <m/>
    <m/>
    <m/>
    <m/>
    <m/>
    <m/>
    <m/>
    <m/>
    <m/>
    <m/>
    <m/>
    <m/>
  </r>
  <r>
    <n v="2183"/>
    <n v="187521"/>
    <s v="P"/>
    <s v="96G Recycle Containers"/>
    <n v="624"/>
    <m/>
    <m/>
    <s v="94-3283464"/>
    <n v="0"/>
    <s v="TOTER LLC"/>
    <m/>
    <m/>
    <d v="2017-10-09T00:00:00"/>
    <d v="2017-10-09T00:00:00"/>
    <x v="110"/>
    <n v="700"/>
    <n v="14050"/>
    <n v="32805.43"/>
    <n v="14056"/>
    <n v="19527.04"/>
    <n v="13278.39"/>
    <n v="4295.95"/>
    <n v="54260"/>
    <n v="390.54"/>
    <s v="P"/>
    <m/>
    <n v="65497087"/>
    <m/>
    <s v="Internal"/>
    <s v="A"/>
    <s v="SL"/>
    <m/>
    <s v="WCNX"/>
    <n v="0"/>
    <n v="0"/>
    <m/>
    <m/>
    <m/>
    <m/>
    <m/>
    <m/>
    <m/>
    <m/>
    <m/>
    <m/>
    <m/>
    <m/>
    <m/>
  </r>
  <r>
    <n v="2183"/>
    <n v="187206"/>
    <s v="P"/>
    <s v="30 Yd RO Boxes"/>
    <n v="3"/>
    <m/>
    <m/>
    <s v="94-3283464"/>
    <n v="0"/>
    <s v="CAPITAL INDUSTRIES INC"/>
    <m/>
    <s v="30 YD RO Box"/>
    <d v="2017-09-15T00:00:00"/>
    <d v="2017-09-15T00:00:00"/>
    <x v="114"/>
    <n v="1200"/>
    <n v="14050"/>
    <n v="18525"/>
    <n v="14056"/>
    <n v="6560.93"/>
    <n v="11964.07"/>
    <n v="1415.1"/>
    <n v="54260"/>
    <n v="128.63999999999999"/>
    <s v="P"/>
    <m/>
    <n v="133338"/>
    <m/>
    <s v="Internal"/>
    <s v="A"/>
    <s v="SL"/>
    <m/>
    <s v="WCNX"/>
    <n v="0"/>
    <n v="0"/>
    <m/>
    <m/>
    <m/>
    <m/>
    <m/>
    <m/>
    <m/>
    <m/>
    <m/>
    <m/>
    <m/>
    <m/>
    <m/>
  </r>
  <r>
    <n v="2183"/>
    <n v="186461"/>
    <s v="P"/>
    <s v="30 Yd Lidded RO Boxes"/>
    <n v="3"/>
    <m/>
    <m/>
    <s v="94-3283464"/>
    <n v="0"/>
    <s v="CAPITAL INDUSTRIES INC"/>
    <m/>
    <s v="30 YD RO Box"/>
    <d v="2017-09-15T00:00:00"/>
    <d v="2017-09-15T00:00:00"/>
    <x v="114"/>
    <n v="1200"/>
    <n v="14050"/>
    <n v="18525"/>
    <n v="14056"/>
    <n v="6560.93"/>
    <n v="11964.07"/>
    <n v="1415.1"/>
    <n v="54260"/>
    <n v="128.63999999999999"/>
    <s v="P"/>
    <m/>
    <n v="133339"/>
    <m/>
    <s v="Internal"/>
    <s v="A"/>
    <s v="SL"/>
    <m/>
    <s v="WCNX"/>
    <n v="0"/>
    <n v="0"/>
    <m/>
    <m/>
    <m/>
    <m/>
    <m/>
    <m/>
    <m/>
    <m/>
    <m/>
    <m/>
    <m/>
    <m/>
    <m/>
  </r>
  <r>
    <n v="2183"/>
    <n v="186158"/>
    <n v="61097"/>
    <s v="Hoist RO Body"/>
    <m/>
    <m/>
    <m/>
    <m/>
    <n v="0"/>
    <m/>
    <m/>
    <s v="Non-Rolling Stock"/>
    <d v="2017-09-30T00:00:00"/>
    <d v="2017-09-30T00:00:00"/>
    <x v="115"/>
    <n v="300"/>
    <n v="14040"/>
    <n v="59424.88"/>
    <n v="14046"/>
    <n v="59424.88"/>
    <n v="0"/>
    <n v="0"/>
    <n v="51260"/>
    <n v="0"/>
    <s v="P"/>
    <m/>
    <n v="4102463"/>
    <m/>
    <s v="Internal"/>
    <s v="A"/>
    <s v="SL"/>
    <m/>
    <s v="WCNX"/>
    <n v="0"/>
    <n v="0"/>
    <m/>
    <m/>
    <m/>
    <m/>
    <m/>
    <m/>
    <m/>
    <m/>
    <m/>
    <m/>
    <m/>
    <m/>
    <m/>
  </r>
  <r>
    <n v="2183"/>
    <n v="186157"/>
    <n v="61096"/>
    <s v="Hoist RO Body"/>
    <m/>
    <m/>
    <m/>
    <m/>
    <n v="0"/>
    <m/>
    <m/>
    <s v="Non-Rolling Stock"/>
    <d v="2017-09-30T00:00:00"/>
    <d v="2017-09-30T00:00:00"/>
    <x v="116"/>
    <n v="300"/>
    <n v="14040"/>
    <n v="59424.88"/>
    <n v="14046"/>
    <n v="59424.88"/>
    <n v="0"/>
    <n v="0"/>
    <n v="51260"/>
    <n v="0"/>
    <s v="P"/>
    <m/>
    <s v="4102462-Revised"/>
    <m/>
    <s v="Internal"/>
    <s v="A"/>
    <s v="SL"/>
    <m/>
    <s v="WCNX"/>
    <n v="0"/>
    <n v="0"/>
    <m/>
    <m/>
    <m/>
    <m/>
    <m/>
    <m/>
    <m/>
    <m/>
    <m/>
    <m/>
    <m/>
    <m/>
    <m/>
  </r>
  <r>
    <n v="2183"/>
    <n v="185550"/>
    <s v="P"/>
    <s v="(5) Truck Tablets"/>
    <m/>
    <m/>
    <m/>
    <m/>
    <n v="0"/>
    <m/>
    <m/>
    <m/>
    <d v="2017-08-01T00:00:00"/>
    <d v="2017-08-01T00:00:00"/>
    <x v="117"/>
    <n v="100"/>
    <n v="14110"/>
    <n v="1244.8"/>
    <n v="14116"/>
    <n v="1244.8"/>
    <n v="0"/>
    <n v="0"/>
    <n v="70260"/>
    <n v="0"/>
    <s v="P"/>
    <m/>
    <s v="MB7000006772071"/>
    <m/>
    <s v="Internal"/>
    <s v="A"/>
    <s v="SL"/>
    <m/>
    <s v="WCNX"/>
    <n v="0"/>
    <n v="0"/>
    <m/>
    <m/>
    <m/>
    <m/>
    <m/>
    <m/>
    <m/>
    <m/>
    <m/>
    <m/>
    <m/>
    <m/>
    <m/>
  </r>
  <r>
    <n v="2183"/>
    <n v="184512"/>
    <s v="P"/>
    <s v="6 Yd Containers"/>
    <n v="15"/>
    <m/>
    <m/>
    <m/>
    <n v="0"/>
    <s v="RULE STEEL TANK INC"/>
    <m/>
    <s v="6 YD FEL/REL/SL Metal"/>
    <d v="2017-07-17T00:00:00"/>
    <d v="2017-07-17T00:00:00"/>
    <x v="118"/>
    <n v="1200"/>
    <n v="14050"/>
    <n v="12459.15"/>
    <n v="14056"/>
    <n v="4499.13"/>
    <n v="7960.0199999999995"/>
    <n v="951.74"/>
    <n v="54260"/>
    <n v="86.52"/>
    <s v="P"/>
    <m/>
    <s v="028589-In"/>
    <m/>
    <s v="Internal"/>
    <s v="A"/>
    <s v="SL"/>
    <m/>
    <s v="WCNX"/>
    <n v="0"/>
    <n v="0"/>
    <m/>
    <m/>
    <m/>
    <m/>
    <m/>
    <m/>
    <m/>
    <m/>
    <m/>
    <m/>
    <m/>
    <m/>
    <m/>
  </r>
  <r>
    <n v="2183"/>
    <n v="184511"/>
    <s v="P"/>
    <s v="4 Yd Containers"/>
    <n v="20"/>
    <m/>
    <m/>
    <m/>
    <n v="0"/>
    <s v="RULE STEEL TANK INC"/>
    <m/>
    <s v="4 YD FEL/REL/SL Metal"/>
    <d v="2017-07-17T00:00:00"/>
    <d v="2017-07-17T00:00:00"/>
    <x v="118"/>
    <n v="1200"/>
    <n v="14050"/>
    <n v="13410.54"/>
    <n v="14056"/>
    <n v="4842.71"/>
    <n v="8567.8300000000017"/>
    <n v="1024.42"/>
    <n v="54260"/>
    <n v="93.13"/>
    <s v="P"/>
    <m/>
    <s v="028589-In"/>
    <m/>
    <s v="Internal"/>
    <s v="A"/>
    <s v="SL"/>
    <m/>
    <s v="WCNX"/>
    <n v="0"/>
    <n v="0"/>
    <m/>
    <m/>
    <m/>
    <m/>
    <m/>
    <m/>
    <m/>
    <m/>
    <m/>
    <m/>
    <m/>
    <m/>
    <m/>
  </r>
  <r>
    <n v="2183"/>
    <n v="184510"/>
    <s v="P"/>
    <s v="1 Yd Containers"/>
    <n v="20"/>
    <m/>
    <m/>
    <m/>
    <n v="0"/>
    <s v="RULE STEEL TANK INC"/>
    <m/>
    <s v="1 YD FEL/REL/SL Metal"/>
    <d v="2017-07-17T00:00:00"/>
    <d v="2017-07-17T00:00:00"/>
    <x v="118"/>
    <n v="1200"/>
    <n v="14050"/>
    <n v="10208.879999999999"/>
    <n v="14056"/>
    <n v="3686.55"/>
    <n v="6522.329999999999"/>
    <n v="779.85"/>
    <n v="54260"/>
    <n v="70.900000000000006"/>
    <s v="P"/>
    <m/>
    <s v="028589-In"/>
    <m/>
    <s v="Internal"/>
    <s v="A"/>
    <s v="SL"/>
    <m/>
    <s v="WCNX"/>
    <n v="0"/>
    <n v="0"/>
    <m/>
    <m/>
    <m/>
    <m/>
    <m/>
    <m/>
    <m/>
    <m/>
    <m/>
    <m/>
    <m/>
    <m/>
    <m/>
  </r>
  <r>
    <n v="2183"/>
    <n v="184509"/>
    <s v="P"/>
    <s v="30 Yd Lidded RO Boxes"/>
    <n v="9"/>
    <m/>
    <m/>
    <m/>
    <n v="0"/>
    <s v="CAPITAL INDUSTRIES INC"/>
    <m/>
    <s v="30 YD RO Box"/>
    <d v="2017-07-25T00:00:00"/>
    <d v="2017-07-25T00:00:00"/>
    <x v="114"/>
    <n v="1200"/>
    <n v="14050"/>
    <n v="55575"/>
    <n v="14056"/>
    <n v="20068.75"/>
    <n v="35506.25"/>
    <n v="4245.3100000000004"/>
    <n v="54260"/>
    <n v="385.93"/>
    <s v="P"/>
    <m/>
    <n v="1483190000"/>
    <m/>
    <s v="Internal"/>
    <s v="A"/>
    <s v="SL"/>
    <m/>
    <s v="WCNX"/>
    <n v="0"/>
    <n v="0"/>
    <m/>
    <m/>
    <m/>
    <m/>
    <m/>
    <m/>
    <m/>
    <m/>
    <m/>
    <m/>
    <m/>
    <m/>
    <m/>
  </r>
  <r>
    <n v="2183"/>
    <n v="183938"/>
    <s v="P"/>
    <s v="96 Gallon Yardwaste Carts"/>
    <n v="624"/>
    <m/>
    <m/>
    <m/>
    <n v="0"/>
    <s v="TOTER LLC"/>
    <m/>
    <m/>
    <d v="2017-06-02T00:00:00"/>
    <d v="2017-06-02T00:00:00"/>
    <x v="119"/>
    <n v="700"/>
    <n v="14050"/>
    <n v="32107.98"/>
    <n v="14056"/>
    <n v="20640.87"/>
    <n v="11467.11"/>
    <n v="4204.62"/>
    <n v="54260"/>
    <n v="382.24"/>
    <s v="P"/>
    <m/>
    <n v="65474291"/>
    <m/>
    <s v="Internal"/>
    <s v="A"/>
    <s v="SL"/>
    <m/>
    <s v="WCNX"/>
    <n v="0"/>
    <n v="0"/>
    <m/>
    <m/>
    <m/>
    <m/>
    <m/>
    <m/>
    <m/>
    <m/>
    <m/>
    <m/>
    <m/>
    <m/>
    <m/>
  </r>
  <r>
    <n v="2183"/>
    <n v="183937"/>
    <s v="P"/>
    <s v="35 Gallon Refuse Carts"/>
    <n v="945"/>
    <m/>
    <m/>
    <m/>
    <n v="0"/>
    <s v="TOTER LLC"/>
    <m/>
    <m/>
    <d v="2017-06-02T00:00:00"/>
    <d v="2017-06-02T00:00:00"/>
    <x v="119"/>
    <n v="700"/>
    <n v="14050"/>
    <n v="38071.93"/>
    <n v="14056"/>
    <n v="24474.82"/>
    <n v="13597.11"/>
    <n v="4985.6099999999997"/>
    <n v="54260"/>
    <n v="453.23"/>
    <s v="P"/>
    <m/>
    <n v="65473968"/>
    <m/>
    <s v="Internal"/>
    <s v="A"/>
    <s v="SL"/>
    <m/>
    <s v="WCNX"/>
    <n v="0"/>
    <n v="0"/>
    <m/>
    <m/>
    <m/>
    <m/>
    <m/>
    <m/>
    <m/>
    <m/>
    <m/>
    <m/>
    <m/>
    <m/>
    <m/>
  </r>
  <r>
    <n v="2183"/>
    <n v="183936"/>
    <s v="P"/>
    <s v="96 Gallon Refuse Carts"/>
    <n v="624"/>
    <m/>
    <m/>
    <m/>
    <n v="0"/>
    <s v="TOTER LLC"/>
    <m/>
    <m/>
    <d v="2017-06-02T00:00:00"/>
    <d v="2017-06-02T00:00:00"/>
    <x v="119"/>
    <n v="700"/>
    <n v="14050"/>
    <n v="32107.98"/>
    <n v="14056"/>
    <n v="20640.87"/>
    <n v="11467.11"/>
    <n v="4204.62"/>
    <n v="54260"/>
    <n v="382.24"/>
    <s v="P"/>
    <m/>
    <n v="65473848"/>
    <m/>
    <s v="Internal"/>
    <s v="A"/>
    <s v="SL"/>
    <m/>
    <s v="WCNX"/>
    <n v="0"/>
    <n v="0"/>
    <m/>
    <m/>
    <m/>
    <m/>
    <m/>
    <m/>
    <m/>
    <m/>
    <m/>
    <m/>
    <m/>
    <m/>
    <m/>
  </r>
  <r>
    <n v="2183"/>
    <n v="182636"/>
    <s v="P"/>
    <s v="40yd Lidded RO Boxes"/>
    <n v="3"/>
    <m/>
    <m/>
    <m/>
    <n v="0"/>
    <s v="CAPITAL INDUSTRIES INC"/>
    <m/>
    <s v="40 YD RO Box"/>
    <d v="2017-05-31T00:00:00"/>
    <d v="2017-05-31T00:00:00"/>
    <x v="120"/>
    <n v="1200"/>
    <n v="14050"/>
    <n v="21435"/>
    <n v="14056"/>
    <n v="8038.13"/>
    <n v="13396.869999999999"/>
    <n v="1637.4"/>
    <n v="54260"/>
    <n v="148.86000000000001"/>
    <s v="P"/>
    <m/>
    <n v="130078"/>
    <m/>
    <s v="Internal"/>
    <s v="A"/>
    <s v="SL"/>
    <m/>
    <s v="WCNX"/>
    <n v="0"/>
    <n v="0"/>
    <m/>
    <m/>
    <m/>
    <m/>
    <m/>
    <m/>
    <m/>
    <m/>
    <m/>
    <m/>
    <m/>
    <m/>
    <m/>
  </r>
  <r>
    <n v="2183"/>
    <n v="182635"/>
    <s v="P"/>
    <s v="96 Gal Recycle Carts"/>
    <n v="624"/>
    <m/>
    <m/>
    <m/>
    <n v="0"/>
    <s v="TOTER LLC"/>
    <m/>
    <m/>
    <d v="2017-06-02T00:00:00"/>
    <d v="2017-06-02T00:00:00"/>
    <x v="119"/>
    <n v="700"/>
    <n v="14050"/>
    <n v="32816.83"/>
    <n v="14056"/>
    <n v="21096.54"/>
    <n v="11720.29"/>
    <n v="4297.4399999999996"/>
    <n v="54260"/>
    <n v="390.67"/>
    <s v="P"/>
    <m/>
    <n v="65470288"/>
    <m/>
    <s v="Internal"/>
    <s v="A"/>
    <s v="SL"/>
    <m/>
    <s v="WCNX"/>
    <n v="0"/>
    <n v="0"/>
    <m/>
    <m/>
    <m/>
    <m/>
    <m/>
    <m/>
    <m/>
    <m/>
    <m/>
    <m/>
    <m/>
    <m/>
    <m/>
  </r>
  <r>
    <n v="2183"/>
    <n v="182634"/>
    <s v="P"/>
    <s v="64 Gal MSW Carts"/>
    <n v="864"/>
    <m/>
    <m/>
    <m/>
    <n v="0"/>
    <s v="TOTER LLC"/>
    <m/>
    <m/>
    <d v="2017-05-23T00:00:00"/>
    <d v="2017-05-23T00:00:00"/>
    <x v="119"/>
    <n v="700"/>
    <n v="14050"/>
    <n v="38790.980000000003"/>
    <n v="14056"/>
    <n v="24937.06"/>
    <n v="13853.920000000002"/>
    <n v="5079.7700000000004"/>
    <n v="54260"/>
    <n v="461.79"/>
    <s v="P"/>
    <m/>
    <n v="65467426"/>
    <m/>
    <s v="Internal"/>
    <s v="A"/>
    <s v="SL"/>
    <m/>
    <s v="WCNX"/>
    <n v="0"/>
    <n v="0"/>
    <m/>
    <m/>
    <m/>
    <m/>
    <m/>
    <m/>
    <m/>
    <m/>
    <m/>
    <m/>
    <m/>
    <m/>
    <m/>
  </r>
  <r>
    <n v="2183"/>
    <n v="182597"/>
    <s v="P"/>
    <s v="40yd Lidded RO Boxes"/>
    <n v="4"/>
    <m/>
    <m/>
    <m/>
    <n v="0"/>
    <s v="CAPITAL INDUSTRIES INC"/>
    <m/>
    <s v="40 YD RO Box"/>
    <d v="2017-05-31T00:00:00"/>
    <d v="2017-05-31T00:00:00"/>
    <x v="120"/>
    <n v="1200"/>
    <n v="14050"/>
    <n v="28580"/>
    <n v="14056"/>
    <n v="10717.52"/>
    <n v="17862.48"/>
    <n v="2183.1999999999998"/>
    <n v="54260"/>
    <n v="198.47"/>
    <s v="P"/>
    <m/>
    <n v="130079"/>
    <m/>
    <s v="Internal"/>
    <s v="A"/>
    <s v="SL"/>
    <m/>
    <s v="WCNX"/>
    <n v="0"/>
    <n v="0"/>
    <m/>
    <m/>
    <m/>
    <m/>
    <m/>
    <m/>
    <m/>
    <m/>
    <m/>
    <m/>
    <m/>
    <m/>
    <m/>
  </r>
  <r>
    <n v="2183"/>
    <n v="182548"/>
    <s v="P"/>
    <s v="40yd Lidded RO Boxes"/>
    <n v="3"/>
    <m/>
    <m/>
    <m/>
    <n v="0"/>
    <s v="CAPITAL INDUSTRIES INC"/>
    <m/>
    <s v="40 YD RO Box"/>
    <d v="2017-05-31T00:00:00"/>
    <d v="2017-05-31T00:00:00"/>
    <x v="120"/>
    <n v="1200"/>
    <n v="14050"/>
    <n v="21435"/>
    <n v="14056"/>
    <n v="8038.13"/>
    <n v="13396.869999999999"/>
    <n v="1637.4"/>
    <n v="54260"/>
    <n v="148.86000000000001"/>
    <s v="P"/>
    <m/>
    <n v="130065"/>
    <m/>
    <s v="Internal"/>
    <s v="A"/>
    <s v="SL"/>
    <m/>
    <s v="WCNX"/>
    <n v="0"/>
    <n v="0"/>
    <m/>
    <m/>
    <m/>
    <m/>
    <m/>
    <m/>
    <m/>
    <m/>
    <m/>
    <m/>
    <m/>
    <m/>
    <m/>
  </r>
  <r>
    <n v="2183"/>
    <n v="181061"/>
    <s v="P"/>
    <s v="64 Gallon MSW Carts and Lids"/>
    <n v="864"/>
    <m/>
    <m/>
    <m/>
    <n v="0"/>
    <s v="TOTER LLC"/>
    <m/>
    <m/>
    <d v="2017-04-21T00:00:00"/>
    <d v="2017-04-21T00:00:00"/>
    <x v="119"/>
    <n v="700"/>
    <n v="14050"/>
    <n v="38790.9"/>
    <n v="14056"/>
    <n v="25398.81"/>
    <n v="13392.09"/>
    <n v="5079.76"/>
    <n v="54260"/>
    <n v="461.79"/>
    <s v="P"/>
    <m/>
    <n v="65458794"/>
    <m/>
    <s v="Internal"/>
    <s v="A"/>
    <s v="SL"/>
    <m/>
    <s v="WCNX"/>
    <n v="0"/>
    <n v="0"/>
    <m/>
    <m/>
    <m/>
    <m/>
    <m/>
    <m/>
    <m/>
    <m/>
    <m/>
    <m/>
    <m/>
    <m/>
    <m/>
  </r>
  <r>
    <n v="2183"/>
    <n v="179026"/>
    <s v="P"/>
    <s v="35 Gallon Garbage"/>
    <n v="945"/>
    <m/>
    <m/>
    <m/>
    <n v="0"/>
    <s v="TOTER LLC"/>
    <m/>
    <m/>
    <d v="2017-03-17T00:00:00"/>
    <d v="2017-03-17T00:00:00"/>
    <x v="121"/>
    <n v="700"/>
    <n v="14050"/>
    <n v="37282.6"/>
    <n v="14056"/>
    <n v="24855.09"/>
    <n v="12427.509999999998"/>
    <n v="4882.25"/>
    <n v="54260"/>
    <n v="443.84"/>
    <s v="P"/>
    <m/>
    <n v="65450829"/>
    <m/>
    <s v="Internal"/>
    <s v="A"/>
    <s v="SL"/>
    <m/>
    <s v="WCNX"/>
    <n v="0"/>
    <n v="0"/>
    <m/>
    <m/>
    <m/>
    <m/>
    <m/>
    <m/>
    <m/>
    <m/>
    <m/>
    <m/>
    <m/>
    <m/>
    <m/>
  </r>
  <r>
    <n v="2183"/>
    <n v="178891"/>
    <s v="P"/>
    <s v="96 Gallon Yardwaste Carts"/>
    <n v="624"/>
    <m/>
    <m/>
    <m/>
    <n v="0"/>
    <s v="TOTER LLC"/>
    <m/>
    <m/>
    <d v="2017-03-17T00:00:00"/>
    <d v="2017-03-17T00:00:00"/>
    <x v="121"/>
    <n v="700"/>
    <n v="14050"/>
    <n v="31795.97"/>
    <n v="14056"/>
    <n v="21197.31"/>
    <n v="10598.66"/>
    <n v="4163.76"/>
    <n v="54260"/>
    <n v="378.53"/>
    <s v="P"/>
    <m/>
    <n v="65450660"/>
    <m/>
    <s v="Internal"/>
    <s v="A"/>
    <s v="SL"/>
    <m/>
    <s v="WCNX"/>
    <n v="0"/>
    <n v="0"/>
    <m/>
    <m/>
    <m/>
    <m/>
    <m/>
    <m/>
    <m/>
    <m/>
    <m/>
    <m/>
    <m/>
    <m/>
    <m/>
  </r>
  <r>
    <n v="2183"/>
    <n v="178890"/>
    <s v="P"/>
    <s v="96 Gallon Yardwaste Carts"/>
    <n v="624"/>
    <m/>
    <m/>
    <m/>
    <n v="0"/>
    <s v="TOTER LLC"/>
    <m/>
    <m/>
    <d v="2017-03-17T00:00:00"/>
    <d v="2017-03-17T00:00:00"/>
    <x v="121"/>
    <n v="700"/>
    <n v="14050"/>
    <n v="31795.97"/>
    <n v="14056"/>
    <n v="21197.31"/>
    <n v="10598.66"/>
    <n v="4163.76"/>
    <n v="54260"/>
    <n v="378.53"/>
    <s v="P"/>
    <m/>
    <n v="65450014"/>
    <m/>
    <s v="Internal"/>
    <s v="A"/>
    <s v="SL"/>
    <m/>
    <s v="WCNX"/>
    <n v="0"/>
    <n v="0"/>
    <m/>
    <m/>
    <m/>
    <m/>
    <m/>
    <m/>
    <m/>
    <m/>
    <m/>
    <m/>
    <m/>
    <m/>
    <m/>
  </r>
  <r>
    <n v="2183"/>
    <n v="178889"/>
    <s v="P"/>
    <s v="96 Gallon Recycle Carts"/>
    <n v="624"/>
    <m/>
    <m/>
    <m/>
    <n v="0"/>
    <s v="TOTER LLC"/>
    <m/>
    <m/>
    <d v="2017-03-17T00:00:00"/>
    <d v="2017-03-17T00:00:00"/>
    <x v="121"/>
    <n v="700"/>
    <n v="14050"/>
    <n v="31795.97"/>
    <n v="14056"/>
    <n v="21197.31"/>
    <n v="10598.66"/>
    <n v="4163.76"/>
    <n v="54260"/>
    <n v="378.53"/>
    <s v="P"/>
    <m/>
    <n v="65450110"/>
    <m/>
    <s v="Internal"/>
    <s v="A"/>
    <s v="SL"/>
    <m/>
    <s v="WCNX"/>
    <n v="0"/>
    <n v="0"/>
    <m/>
    <m/>
    <m/>
    <m/>
    <m/>
    <m/>
    <m/>
    <m/>
    <m/>
    <m/>
    <m/>
    <m/>
    <m/>
  </r>
  <r>
    <n v="2183"/>
    <n v="177573"/>
    <s v="P"/>
    <s v="6 Yd Container"/>
    <n v="3"/>
    <m/>
    <m/>
    <m/>
    <n v="0"/>
    <s v="RULE STEEL TANKS INC"/>
    <m/>
    <s v="6 YD FEL/REL/SL Metal"/>
    <d v="2017-01-03T00:00:00"/>
    <d v="2017-01-03T00:00:00"/>
    <x v="122"/>
    <n v="1200"/>
    <n v="14050"/>
    <n v="2429.44"/>
    <n v="14056"/>
    <n v="995.28"/>
    <n v="1434.16"/>
    <n v="185.56"/>
    <n v="54260"/>
    <n v="16.87"/>
    <s v="P"/>
    <m/>
    <s v="0026120in-2"/>
    <m/>
    <s v="Internal"/>
    <s v="A"/>
    <s v="SL"/>
    <m/>
    <s v="WCNX"/>
    <n v="0"/>
    <n v="0"/>
    <m/>
    <m/>
    <m/>
    <m/>
    <m/>
    <m/>
    <m/>
    <m/>
    <m/>
    <m/>
    <m/>
    <m/>
    <m/>
  </r>
  <r>
    <n v="2183"/>
    <n v="177572"/>
    <s v="P"/>
    <s v="1.5Yd Container"/>
    <n v="6"/>
    <m/>
    <m/>
    <m/>
    <n v="0"/>
    <s v="RULE STEEL TANKS INC"/>
    <m/>
    <s v="1.5 YD FEL/REL/SL Metal"/>
    <d v="2017-01-03T00:00:00"/>
    <d v="2017-01-03T00:00:00"/>
    <x v="122"/>
    <n v="1200"/>
    <n v="14050"/>
    <n v="3169.69"/>
    <n v="14056"/>
    <n v="1298.69"/>
    <n v="1871"/>
    <n v="242.13"/>
    <n v="54260"/>
    <n v="22.01"/>
    <s v="P"/>
    <m/>
    <s v="0026120in-2"/>
    <m/>
    <s v="Internal"/>
    <s v="A"/>
    <s v="SL"/>
    <m/>
    <s v="WCNX"/>
    <n v="0"/>
    <n v="0"/>
    <m/>
    <m/>
    <m/>
    <m/>
    <m/>
    <m/>
    <m/>
    <m/>
    <m/>
    <m/>
    <m/>
    <m/>
    <m/>
  </r>
  <r>
    <n v="2183"/>
    <n v="177571"/>
    <s v="P"/>
    <s v="1 Yd Container"/>
    <n v="8"/>
    <m/>
    <m/>
    <m/>
    <n v="0"/>
    <s v="RULE STEEL TANKS INC"/>
    <m/>
    <s v="1 YD FEL/REL/SL Metal"/>
    <d v="2017-01-03T00:00:00"/>
    <d v="2017-01-03T00:00:00"/>
    <x v="122"/>
    <n v="1200"/>
    <n v="14050"/>
    <n v="3921.9"/>
    <n v="14056"/>
    <n v="1606.91"/>
    <n v="2314.9899999999998"/>
    <n v="299.58999999999997"/>
    <n v="54260"/>
    <n v="27.23"/>
    <s v="P"/>
    <m/>
    <s v="0026120in-2"/>
    <m/>
    <s v="Internal"/>
    <s v="A"/>
    <s v="SL"/>
    <m/>
    <s v="WCNX"/>
    <n v="0"/>
    <n v="0"/>
    <m/>
    <m/>
    <m/>
    <m/>
    <m/>
    <m/>
    <m/>
    <m/>
    <m/>
    <m/>
    <m/>
    <m/>
    <m/>
  </r>
  <r>
    <n v="2183"/>
    <n v="176637"/>
    <s v="P"/>
    <s v="20gal Garbage Carts"/>
    <n v="875"/>
    <m/>
    <m/>
    <m/>
    <n v="0"/>
    <s v="REHRIG PACIFIC COMPANY IN"/>
    <m/>
    <m/>
    <d v="2017-01-09T00:00:00"/>
    <d v="2017-01-09T00:00:00"/>
    <x v="123"/>
    <n v="700"/>
    <n v="14050"/>
    <n v="30080.55"/>
    <n v="14056"/>
    <n v="21128"/>
    <n v="8952.5499999999993"/>
    <n v="3939.12"/>
    <n v="54260"/>
    <n v="358.1"/>
    <s v="P"/>
    <m/>
    <s v="LA210102"/>
    <m/>
    <s v="Internal"/>
    <s v="A"/>
    <s v="SL"/>
    <m/>
    <s v="WCNX"/>
    <n v="0"/>
    <n v="0"/>
    <m/>
    <m/>
    <m/>
    <m/>
    <m/>
    <m/>
    <m/>
    <m/>
    <m/>
    <m/>
    <m/>
    <m/>
    <m/>
  </r>
  <r>
    <n v="2183"/>
    <n v="172715"/>
    <s v="P"/>
    <s v="6 Yd FEL Containers"/>
    <n v="7"/>
    <m/>
    <m/>
    <m/>
    <n v="0"/>
    <s v="RULE STEEL TANKS INC"/>
    <m/>
    <s v="6 YD FEL/REL/SL Metal"/>
    <d v="2017-01-17T00:00:00"/>
    <d v="2017-01-17T00:00:00"/>
    <x v="124"/>
    <n v="1200"/>
    <n v="14050"/>
    <n v="5668.7"/>
    <n v="14056"/>
    <n v="2283.2199999999998"/>
    <n v="3385.48"/>
    <n v="433.02"/>
    <n v="54260"/>
    <n v="39.36"/>
    <s v="P"/>
    <m/>
    <s v="0026120IN"/>
    <m/>
    <s v="Internal"/>
    <s v="A"/>
    <s v="SL"/>
    <m/>
    <s v="WCNX"/>
    <n v="0"/>
    <n v="0"/>
    <m/>
    <m/>
    <m/>
    <m/>
    <m/>
    <m/>
    <m/>
    <m/>
    <m/>
    <m/>
    <m/>
    <m/>
    <m/>
  </r>
  <r>
    <n v="2183"/>
    <n v="172714"/>
    <s v="P"/>
    <s v="1.5 Yd Rear Load Containers"/>
    <n v="14"/>
    <m/>
    <m/>
    <m/>
    <n v="0"/>
    <s v="RULE STEEL TANKS INC"/>
    <m/>
    <s v="1.5 YD FEL/REL/SL Metal"/>
    <d v="2017-01-17T00:00:00"/>
    <d v="2017-01-17T00:00:00"/>
    <x v="124"/>
    <n v="1200"/>
    <n v="14050"/>
    <n v="7395.94"/>
    <n v="14056"/>
    <n v="2978.93"/>
    <n v="4417.01"/>
    <n v="564.97"/>
    <n v="54260"/>
    <n v="51.36"/>
    <s v="P"/>
    <m/>
    <s v="0026120IN"/>
    <m/>
    <s v="Internal"/>
    <s v="A"/>
    <s v="SL"/>
    <m/>
    <s v="WCNX"/>
    <n v="0"/>
    <n v="0"/>
    <m/>
    <m/>
    <m/>
    <m/>
    <m/>
    <m/>
    <m/>
    <m/>
    <m/>
    <m/>
    <m/>
    <m/>
    <m/>
  </r>
  <r>
    <n v="2183"/>
    <n v="172713"/>
    <s v="P"/>
    <s v="1 Yd Rear Load Containers"/>
    <n v="12"/>
    <m/>
    <m/>
    <m/>
    <n v="0"/>
    <s v="RULE STEEL TANKS INC"/>
    <m/>
    <s v="1 YD FEL/REL/SL Metal"/>
    <d v="2017-01-17T00:00:00"/>
    <d v="2017-01-17T00:00:00"/>
    <x v="124"/>
    <n v="1200"/>
    <n v="14050"/>
    <n v="5882.84"/>
    <n v="14056"/>
    <n v="2369.44"/>
    <n v="3513.4"/>
    <n v="449.38"/>
    <n v="54260"/>
    <n v="40.85"/>
    <s v="P"/>
    <m/>
    <s v="0026120IN"/>
    <m/>
    <s v="Internal"/>
    <s v="A"/>
    <s v="SL"/>
    <m/>
    <s v="WCNX"/>
    <n v="0"/>
    <n v="0"/>
    <m/>
    <m/>
    <m/>
    <m/>
    <m/>
    <m/>
    <m/>
    <m/>
    <m/>
    <m/>
    <m/>
    <m/>
    <m/>
  </r>
  <r>
    <n v="2183"/>
    <n v="172712"/>
    <s v="P"/>
    <s v="30yd RO Boxes / R.O Metal Cont, 30yd"/>
    <n v="4"/>
    <m/>
    <m/>
    <m/>
    <n v="0"/>
    <s v="CAPITAL INDUSTRIES, INC."/>
    <m/>
    <s v="30 YD RO Box"/>
    <d v="2017-01-17T00:00:00"/>
    <d v="2017-01-17T00:00:00"/>
    <x v="125"/>
    <n v="1111"/>
    <n v="14050"/>
    <n v="23940"/>
    <n v="14056"/>
    <n v="9709.93"/>
    <n v="14230.07"/>
    <n v="1841.54"/>
    <n v="54260"/>
    <n v="167.41"/>
    <s v="P"/>
    <m/>
    <n v="125228"/>
    <m/>
    <s v="Internal"/>
    <s v="A"/>
    <s v="SL"/>
    <m/>
    <s v="WCNX"/>
    <n v="0"/>
    <n v="0"/>
    <m/>
    <m/>
    <m/>
    <m/>
    <m/>
    <m/>
    <m/>
    <m/>
    <m/>
    <m/>
    <m/>
    <m/>
    <m/>
  </r>
  <r>
    <n v="2183"/>
    <n v="171241"/>
    <s v="P"/>
    <s v="2017 FEL Truck"/>
    <m/>
    <m/>
    <s v="3BPZL70X8HF173427"/>
    <m/>
    <n v="2017"/>
    <s v="Peterbilt"/>
    <s v="Labrie"/>
    <s v="FEL Truck"/>
    <d v="2016-11-30T00:00:00"/>
    <d v="2016-11-30T00:00:00"/>
    <x v="126"/>
    <n v="1000"/>
    <n v="14040"/>
    <n v="318387.46000000002"/>
    <n v="14046"/>
    <n v="159193.75"/>
    <n v="159193.71000000002"/>
    <n v="29185.52"/>
    <n v="51260"/>
    <n v="2653.23"/>
    <s v="P"/>
    <m/>
    <s v="P173427"/>
    <n v="2046"/>
    <s v="Internal"/>
    <s v="A"/>
    <s v="SL"/>
    <m/>
    <s v="WCNX"/>
    <n v="0"/>
    <n v="0"/>
    <m/>
    <m/>
    <m/>
    <m/>
    <m/>
    <m/>
    <m/>
    <m/>
    <m/>
    <m/>
    <m/>
    <m/>
    <m/>
  </r>
  <r>
    <n v="2183"/>
    <n v="170977"/>
    <s v="P"/>
    <s v="96 Gallon Recycle Carts"/>
    <n v="624"/>
    <m/>
    <m/>
    <m/>
    <n v="0"/>
    <s v="TOTER INCORPORATED"/>
    <m/>
    <m/>
    <d v="2016-12-16T00:00:00"/>
    <d v="2016-12-16T00:00:00"/>
    <x v="127"/>
    <n v="700"/>
    <n v="14050"/>
    <n v="31926.69"/>
    <n v="14056"/>
    <n v="22424.720000000001"/>
    <n v="9501.9699999999975"/>
    <n v="4180.88"/>
    <n v="54260"/>
    <n v="380.08"/>
    <s v="P"/>
    <m/>
    <n v="65440829"/>
    <m/>
    <s v="Internal"/>
    <s v="A"/>
    <s v="SL"/>
    <m/>
    <s v="WCNX"/>
    <n v="0"/>
    <n v="0"/>
    <m/>
    <m/>
    <m/>
    <m/>
    <m/>
    <m/>
    <m/>
    <m/>
    <m/>
    <m/>
    <m/>
    <m/>
    <m/>
  </r>
  <r>
    <n v="2183"/>
    <n v="170669"/>
    <s v="P"/>
    <s v="64 Gallon Refuse Carts and Lids"/>
    <n v="864"/>
    <m/>
    <m/>
    <m/>
    <n v="0"/>
    <s v="TOTER LLC"/>
    <m/>
    <m/>
    <d v="2016-11-26T00:00:00"/>
    <d v="2016-11-26T00:00:00"/>
    <x v="127"/>
    <n v="700"/>
    <n v="14050"/>
    <n v="37809.53"/>
    <n v="14056"/>
    <n v="27006.799999999999"/>
    <n v="10802.73"/>
    <n v="4951.25"/>
    <n v="54260"/>
    <n v="450.12"/>
    <s v="P"/>
    <m/>
    <n v="65437910"/>
    <m/>
    <s v="Internal"/>
    <s v="A"/>
    <s v="SL"/>
    <m/>
    <s v="WCNX"/>
    <n v="0"/>
    <n v="0"/>
    <m/>
    <m/>
    <m/>
    <m/>
    <m/>
    <m/>
    <m/>
    <m/>
    <m/>
    <m/>
    <m/>
    <m/>
    <m/>
  </r>
  <r>
    <n v="2183"/>
    <n v="170668"/>
    <s v="P"/>
    <s v="35 Gallon Refuse Carts and Lids"/>
    <n v="950"/>
    <m/>
    <m/>
    <m/>
    <n v="0"/>
    <s v="TOTER LLC"/>
    <m/>
    <m/>
    <d v="2016-11-26T00:00:00"/>
    <d v="2016-11-26T00:00:00"/>
    <x v="127"/>
    <n v="700"/>
    <n v="14050"/>
    <n v="37597.57"/>
    <n v="14056"/>
    <n v="26855.4"/>
    <n v="10742.169999999998"/>
    <n v="4923.49"/>
    <n v="54260"/>
    <n v="447.59"/>
    <s v="P"/>
    <m/>
    <n v="65438556"/>
    <m/>
    <s v="Internal"/>
    <s v="A"/>
    <s v="SL"/>
    <m/>
    <s v="WCNX"/>
    <n v="0"/>
    <n v="0"/>
    <m/>
    <m/>
    <m/>
    <m/>
    <m/>
    <m/>
    <m/>
    <m/>
    <m/>
    <m/>
    <m/>
    <m/>
    <m/>
  </r>
  <r>
    <n v="2183"/>
    <n v="170263"/>
    <n v="169999"/>
    <s v="License for Truck #5047"/>
    <m/>
    <m/>
    <m/>
    <m/>
    <n v="0"/>
    <s v="WA DOL"/>
    <m/>
    <s v="Non Rolling Stock"/>
    <d v="2016-11-21T00:00:00"/>
    <d v="2016-11-21T00:00:00"/>
    <x v="128"/>
    <n v="1000"/>
    <n v="14040"/>
    <n v="152.33000000000001"/>
    <n v="14046"/>
    <n v="76.150000000000006"/>
    <n v="76.180000000000007"/>
    <n v="13.96"/>
    <n v="51260"/>
    <n v="1.27"/>
    <s v="P"/>
    <m/>
    <n v="62201127"/>
    <m/>
    <s v="Internal"/>
    <s v="A"/>
    <s v="SL"/>
    <m/>
    <s v="WCNX"/>
    <n v="0"/>
    <n v="0"/>
    <m/>
    <m/>
    <m/>
    <m/>
    <m/>
    <m/>
    <m/>
    <m/>
    <m/>
    <m/>
    <m/>
    <m/>
    <m/>
  </r>
  <r>
    <n v="2183"/>
    <n v="170262"/>
    <n v="170001"/>
    <s v="License for Truck # 5049"/>
    <m/>
    <m/>
    <m/>
    <m/>
    <n v="0"/>
    <s v="WA DOL"/>
    <m/>
    <s v="Non Rolling Stock"/>
    <d v="2016-11-04T00:00:00"/>
    <d v="2016-11-04T00:00:00"/>
    <x v="129"/>
    <n v="1000"/>
    <n v="14040"/>
    <n v="152.33000000000001"/>
    <n v="14046"/>
    <n v="77.42"/>
    <n v="74.910000000000011"/>
    <n v="13.96"/>
    <n v="51260"/>
    <n v="1.27"/>
    <s v="P"/>
    <m/>
    <n v="62201683"/>
    <m/>
    <s v="Internal"/>
    <s v="A"/>
    <s v="SL"/>
    <m/>
    <s v="WCNX"/>
    <n v="0"/>
    <n v="0"/>
    <m/>
    <m/>
    <m/>
    <m/>
    <m/>
    <m/>
    <m/>
    <m/>
    <m/>
    <m/>
    <m/>
    <m/>
    <m/>
  </r>
  <r>
    <n v="2183"/>
    <n v="170171"/>
    <s v="P"/>
    <s v="(4) Truck lifts and forklift adapter"/>
    <m/>
    <m/>
    <m/>
    <m/>
    <n v="0"/>
    <s v="GRAY AUTOMOTIVE PRODUCTS "/>
    <m/>
    <m/>
    <d v="2016-11-08T00:00:00"/>
    <d v="2016-11-08T00:00:00"/>
    <x v="130"/>
    <n v="500"/>
    <n v="14070"/>
    <n v="44611.57"/>
    <n v="14076"/>
    <n v="44611.57"/>
    <n v="0"/>
    <n v="7435.28"/>
    <n v="51260"/>
    <n v="0"/>
    <s v="P"/>
    <m/>
    <n v="837984"/>
    <m/>
    <s v="Internal"/>
    <s v="A"/>
    <s v="SL"/>
    <m/>
    <s v="WCNX"/>
    <n v="0"/>
    <n v="0"/>
    <m/>
    <m/>
    <m/>
    <m/>
    <m/>
    <m/>
    <m/>
    <m/>
    <m/>
    <m/>
    <m/>
    <m/>
    <m/>
  </r>
  <r>
    <n v="2183"/>
    <n v="170001"/>
    <s v="P"/>
    <s v="2017 Recycle Truck"/>
    <m/>
    <m/>
    <s v="3BPZHJ7X5HF173342"/>
    <m/>
    <n v="2017"/>
    <s v="Peterbilt"/>
    <s v="Kann"/>
    <s v="Recycle Truck"/>
    <d v="2016-11-04T00:00:00"/>
    <d v="2016-11-04T00:00:00"/>
    <x v="129"/>
    <n v="1000"/>
    <n v="14040"/>
    <n v="230356.84"/>
    <n v="14046"/>
    <n v="117098.04"/>
    <n v="113258.8"/>
    <n v="21116.04"/>
    <n v="51260"/>
    <n v="1919.64"/>
    <s v="P"/>
    <m/>
    <s v="P173342"/>
    <n v="5049"/>
    <s v="Internal"/>
    <s v="A"/>
    <s v="SL"/>
    <m/>
    <s v="WCNX"/>
    <n v="0"/>
    <n v="0"/>
    <m/>
    <m/>
    <m/>
    <m/>
    <m/>
    <m/>
    <m/>
    <m/>
    <m/>
    <m/>
    <m/>
    <m/>
    <m/>
  </r>
  <r>
    <n v="2183"/>
    <n v="170000"/>
    <s v="P"/>
    <s v="2017 Recycle Truck"/>
    <m/>
    <m/>
    <s v="3BPZHJ7X3HF173341"/>
    <m/>
    <n v="2017"/>
    <s v="Peterbilt"/>
    <s v="Kann"/>
    <s v="Recycle Truck"/>
    <d v="2016-11-21T00:00:00"/>
    <d v="2016-11-21T00:00:00"/>
    <x v="131"/>
    <n v="1000"/>
    <n v="14040"/>
    <n v="230356.84"/>
    <n v="14046"/>
    <n v="115178.4"/>
    <n v="115178.44"/>
    <n v="21116.04"/>
    <n v="51260"/>
    <n v="1919.64"/>
    <s v="P"/>
    <m/>
    <s v="P173341"/>
    <n v="5048"/>
    <s v="Internal"/>
    <s v="A"/>
    <s v="SL"/>
    <m/>
    <s v="WCNX"/>
    <n v="0"/>
    <n v="0"/>
    <m/>
    <m/>
    <m/>
    <m/>
    <m/>
    <m/>
    <m/>
    <m/>
    <m/>
    <m/>
    <m/>
    <m/>
    <m/>
  </r>
  <r>
    <n v="2183"/>
    <n v="169999"/>
    <s v="P"/>
    <s v="2017 Recycle Truck"/>
    <m/>
    <m/>
    <s v="3BPZHJ7X1HF173340"/>
    <m/>
    <n v="2017"/>
    <s v="Peterbilt"/>
    <s v="Kann"/>
    <s v="Recycle Truck"/>
    <d v="2016-11-21T00:00:00"/>
    <d v="2016-11-21T00:00:00"/>
    <x v="128"/>
    <n v="1000"/>
    <n v="14040"/>
    <n v="230356.84"/>
    <n v="14046"/>
    <n v="115178.4"/>
    <n v="115178.44"/>
    <n v="21116.04"/>
    <n v="51260"/>
    <n v="1919.64"/>
    <s v="P"/>
    <m/>
    <s v="P173340"/>
    <n v="5047"/>
    <s v="Internal"/>
    <s v="A"/>
    <s v="SL"/>
    <m/>
    <s v="WCNX"/>
    <n v="0"/>
    <n v="0"/>
    <m/>
    <m/>
    <m/>
    <m/>
    <m/>
    <m/>
    <m/>
    <m/>
    <m/>
    <m/>
    <m/>
    <m/>
    <m/>
  </r>
  <r>
    <n v="2183"/>
    <n v="169402"/>
    <s v="P"/>
    <s v="Upgrade shop lighting"/>
    <m/>
    <m/>
    <m/>
    <m/>
    <n v="0"/>
    <s v="SARE Electric"/>
    <m/>
    <m/>
    <d v="2016-08-24T00:00:00"/>
    <d v="2016-08-24T00:00:00"/>
    <x v="132"/>
    <n v="1000"/>
    <n v="14080"/>
    <n v="27577.19"/>
    <n v="14086"/>
    <n v="14478.03"/>
    <n v="13099.159999999998"/>
    <n v="2527.91"/>
    <n v="57260"/>
    <n v="229.81"/>
    <s v="P"/>
    <m/>
    <s v="8104-01"/>
    <m/>
    <s v="Internal"/>
    <s v="A"/>
    <s v="SL"/>
    <m/>
    <s v="WCNX"/>
    <n v="0"/>
    <n v="0"/>
    <m/>
    <m/>
    <m/>
    <m/>
    <m/>
    <m/>
    <m/>
    <m/>
    <m/>
    <m/>
    <m/>
    <m/>
    <m/>
  </r>
  <r>
    <n v="2183"/>
    <n v="169241"/>
    <n v="167233"/>
    <s v="Vehicle Registration"/>
    <m/>
    <m/>
    <m/>
    <m/>
    <n v="0"/>
    <s v="Ford"/>
    <m/>
    <s v="Non Rolling Stock"/>
    <d v="2016-09-19T00:00:00"/>
    <d v="2016-09-19T00:00:00"/>
    <x v="133"/>
    <n v="400"/>
    <n v="14040"/>
    <n v="2673.24"/>
    <n v="14046"/>
    <n v="2673.24"/>
    <n v="0"/>
    <n v="0"/>
    <n v="51260"/>
    <n v="0"/>
    <s v="P"/>
    <m/>
    <s v="Use Tax"/>
    <m/>
    <s v="Internal"/>
    <s v="A"/>
    <s v="SL"/>
    <m/>
    <s v="WCNX"/>
    <n v="0"/>
    <n v="0"/>
    <m/>
    <m/>
    <m/>
    <m/>
    <m/>
    <m/>
    <m/>
    <m/>
    <m/>
    <m/>
    <m/>
    <m/>
    <m/>
  </r>
  <r>
    <n v="2183"/>
    <n v="169041"/>
    <s v="P"/>
    <s v="2017 R/O Truck"/>
    <m/>
    <m/>
    <s v="1NPCX4EX3HD420029"/>
    <m/>
    <n v="2017"/>
    <s v="Peterbilt"/>
    <s v="AA Welding"/>
    <s v="R/O Truck"/>
    <d v="2016-10-03T00:00:00"/>
    <d v="2016-10-03T00:00:00"/>
    <x v="134"/>
    <n v="1000"/>
    <n v="14040"/>
    <n v="231607.35"/>
    <n v="14046"/>
    <n v="119663.82"/>
    <n v="111943.53"/>
    <n v="21230.68"/>
    <n v="51260"/>
    <n v="1930.06"/>
    <s v="P"/>
    <m/>
    <s v="P414303"/>
    <n v="4076"/>
    <s v="Internal"/>
    <s v="A"/>
    <s v="SL"/>
    <m/>
    <s v="WCNX"/>
    <n v="0"/>
    <n v="0"/>
    <m/>
    <m/>
    <m/>
    <m/>
    <m/>
    <m/>
    <m/>
    <m/>
    <m/>
    <m/>
    <m/>
    <m/>
    <m/>
  </r>
  <r>
    <n v="2183"/>
    <n v="168615"/>
    <s v="P"/>
    <s v="5 Yard Commercial Containers"/>
    <n v="6"/>
    <m/>
    <m/>
    <m/>
    <n v="0"/>
    <m/>
    <m/>
    <m/>
    <d v="2011-01-01T00:00:00"/>
    <d v="2011-01-01T00:00:00"/>
    <x v="19"/>
    <n v="300"/>
    <n v="14050"/>
    <n v="0.01"/>
    <n v="14056"/>
    <n v="0.01"/>
    <n v="0"/>
    <n v="0"/>
    <n v="54260"/>
    <n v="0"/>
    <s v="P"/>
    <m/>
    <m/>
    <m/>
    <s v="Internal"/>
    <s v="A"/>
    <s v="SL"/>
    <m/>
    <s v="WCNX"/>
    <n v="0"/>
    <n v="0"/>
    <m/>
    <m/>
    <m/>
    <m/>
    <m/>
    <m/>
    <m/>
    <m/>
    <m/>
    <m/>
    <m/>
    <m/>
    <m/>
  </r>
  <r>
    <n v="2183"/>
    <n v="167286"/>
    <s v="P"/>
    <s v="2 Yd Dumpsters"/>
    <n v="40"/>
    <m/>
    <m/>
    <m/>
    <n v="0"/>
    <s v="CAPITAL INDUSTRIES INC"/>
    <m/>
    <s v="2 YD FEL/REL/SL Metal"/>
    <d v="2016-08-31T00:00:00"/>
    <d v="2016-08-31T00:00:00"/>
    <x v="135"/>
    <n v="1200"/>
    <n v="14050"/>
    <n v="23044.400000000001"/>
    <n v="14056"/>
    <n v="10081.94"/>
    <n v="12962.460000000001"/>
    <n v="1760.34"/>
    <n v="54260"/>
    <n v="160.03"/>
    <s v="P"/>
    <m/>
    <n v="123147"/>
    <m/>
    <s v="Internal"/>
    <s v="A"/>
    <s v="SL"/>
    <m/>
    <s v="WCNX"/>
    <n v="0"/>
    <n v="0"/>
    <m/>
    <m/>
    <m/>
    <m/>
    <m/>
    <m/>
    <m/>
    <m/>
    <m/>
    <m/>
    <m/>
    <m/>
    <m/>
  </r>
  <r>
    <n v="2183"/>
    <n v="167233"/>
    <s v="P"/>
    <s v="2016 Ford F150"/>
    <m/>
    <m/>
    <s v="1FTEX1E80GFC47659"/>
    <m/>
    <n v="2016"/>
    <s v="Ford"/>
    <s v="Ford"/>
    <s v="Pick Up Truck"/>
    <d v="2016-09-19T00:00:00"/>
    <d v="2016-09-19T00:00:00"/>
    <x v="133"/>
    <n v="400"/>
    <n v="14040"/>
    <n v="29202.25"/>
    <n v="14046"/>
    <n v="29202.25"/>
    <n v="0"/>
    <n v="0"/>
    <n v="51260"/>
    <n v="0"/>
    <s v="P"/>
    <m/>
    <n v="362553"/>
    <n v="6056"/>
    <s v="Internal"/>
    <s v="A"/>
    <s v="SL"/>
    <m/>
    <s v="WCNX"/>
    <n v="0"/>
    <n v="0"/>
    <m/>
    <m/>
    <m/>
    <m/>
    <m/>
    <m/>
    <m/>
    <m/>
    <m/>
    <m/>
    <m/>
    <m/>
    <m/>
  </r>
  <r>
    <n v="2183"/>
    <n v="166033"/>
    <s v="P"/>
    <s v="64 Gallon Refuse Carts and Lids"/>
    <n v="864"/>
    <m/>
    <m/>
    <m/>
    <n v="0"/>
    <s v="TOTER INCORPORATED"/>
    <m/>
    <m/>
    <d v="2016-07-20T00:00:00"/>
    <d v="2016-07-20T00:00:00"/>
    <x v="136"/>
    <n v="700"/>
    <n v="14050"/>
    <n v="36851.300000000003"/>
    <n v="14056"/>
    <n v="28077.17"/>
    <n v="8774.1300000000047"/>
    <n v="4825.76"/>
    <n v="54260"/>
    <n v="438.7"/>
    <s v="P"/>
    <m/>
    <n v="65423893"/>
    <m/>
    <s v="Internal"/>
    <s v="A"/>
    <s v="SL"/>
    <m/>
    <s v="WCNX"/>
    <n v="0"/>
    <n v="0"/>
    <m/>
    <m/>
    <m/>
    <m/>
    <m/>
    <m/>
    <m/>
    <m/>
    <m/>
    <m/>
    <m/>
    <m/>
    <m/>
  </r>
  <r>
    <n v="2183"/>
    <n v="165694"/>
    <s v="P"/>
    <s v="3 40yd Roll Off Boxes"/>
    <n v="3"/>
    <m/>
    <m/>
    <m/>
    <n v="0"/>
    <s v="CAPITAL INDUSTRIES INC"/>
    <m/>
    <s v="40 YD RO Box"/>
    <d v="2016-07-31T00:00:00"/>
    <d v="2016-07-31T00:00:00"/>
    <x v="135"/>
    <n v="1200"/>
    <n v="14050"/>
    <n v="19635"/>
    <n v="14056"/>
    <n v="8726.67"/>
    <n v="10908.33"/>
    <n v="1499.9"/>
    <n v="54260"/>
    <n v="136.36000000000001"/>
    <s v="P"/>
    <m/>
    <n v="121891"/>
    <m/>
    <s v="Internal"/>
    <s v="A"/>
    <s v="SL"/>
    <m/>
    <s v="WCNX"/>
    <n v="0"/>
    <n v="0"/>
    <m/>
    <m/>
    <m/>
    <m/>
    <m/>
    <m/>
    <m/>
    <m/>
    <m/>
    <m/>
    <m/>
    <m/>
    <m/>
  </r>
  <r>
    <n v="2183"/>
    <n v="165693"/>
    <s v="P"/>
    <s v="35 Gallon Carts and Lids"/>
    <n v="950"/>
    <m/>
    <m/>
    <m/>
    <n v="0"/>
    <s v="TOTER INCORPORATED"/>
    <m/>
    <m/>
    <d v="2016-07-20T00:00:00"/>
    <d v="2016-07-20T00:00:00"/>
    <x v="136"/>
    <n v="700"/>
    <n v="14050"/>
    <n v="33156.589999999997"/>
    <n v="14056"/>
    <n v="25262.19"/>
    <n v="7894.3999999999978"/>
    <n v="4341.9399999999996"/>
    <n v="54260"/>
    <n v="394.72"/>
    <s v="P"/>
    <m/>
    <n v="65423105"/>
    <m/>
    <s v="Internal"/>
    <s v="A"/>
    <s v="SL"/>
    <m/>
    <s v="WCNX"/>
    <n v="0"/>
    <n v="0"/>
    <m/>
    <m/>
    <m/>
    <m/>
    <m/>
    <m/>
    <m/>
    <m/>
    <m/>
    <m/>
    <m/>
    <m/>
    <m/>
  </r>
  <r>
    <n v="2183"/>
    <n v="165692"/>
    <s v="P"/>
    <s v="96 Gallon Yardwaste Carts and Lids"/>
    <n v="624"/>
    <m/>
    <m/>
    <m/>
    <n v="0"/>
    <s v="TOTER INCORPORATED"/>
    <m/>
    <m/>
    <d v="2016-06-28T00:00:00"/>
    <d v="2016-06-28T00:00:00"/>
    <x v="136"/>
    <n v="700"/>
    <n v="14050"/>
    <n v="30864.1"/>
    <n v="14056"/>
    <n v="23882.95"/>
    <n v="6981.1499999999978"/>
    <n v="4041.73"/>
    <n v="54260"/>
    <n v="367.43"/>
    <s v="P"/>
    <m/>
    <n v="65420173"/>
    <m/>
    <s v="Internal"/>
    <s v="A"/>
    <s v="SL"/>
    <m/>
    <s v="WCNX"/>
    <n v="0"/>
    <n v="0"/>
    <m/>
    <m/>
    <m/>
    <m/>
    <m/>
    <m/>
    <m/>
    <m/>
    <m/>
    <m/>
    <m/>
    <m/>
    <m/>
  </r>
  <r>
    <n v="2183"/>
    <n v="165691"/>
    <s v="P"/>
    <s v="96 Gallon Refuse Carts and Lids"/>
    <n v="624"/>
    <m/>
    <m/>
    <m/>
    <n v="0"/>
    <s v="TOTER INCORPORATED"/>
    <m/>
    <m/>
    <d v="2016-06-28T00:00:00"/>
    <d v="2016-06-28T00:00:00"/>
    <x v="136"/>
    <n v="700"/>
    <n v="14050"/>
    <n v="30864.1"/>
    <n v="14056"/>
    <n v="23882.95"/>
    <n v="6981.1499999999978"/>
    <n v="4041.73"/>
    <n v="54260"/>
    <n v="367.43"/>
    <s v="P"/>
    <m/>
    <n v="65414524"/>
    <m/>
    <s v="Internal"/>
    <s v="A"/>
    <s v="SL"/>
    <m/>
    <s v="WCNX"/>
    <n v="0"/>
    <n v="0"/>
    <m/>
    <m/>
    <m/>
    <m/>
    <m/>
    <m/>
    <m/>
    <m/>
    <m/>
    <m/>
    <m/>
    <m/>
    <m/>
  </r>
  <r>
    <n v="2183"/>
    <n v="139930"/>
    <n v="132279"/>
    <s v="(75) Setup fees for Route Tablets at 2183"/>
    <m/>
    <m/>
    <m/>
    <m/>
    <n v="0"/>
    <s v="Liquid Networx"/>
    <m/>
    <m/>
    <d v="2016-04-30T00:00:00"/>
    <d v="2016-04-30T00:00:00"/>
    <x v="137"/>
    <n v="100"/>
    <n v="14110"/>
    <n v="675"/>
    <n v="14116"/>
    <n v="675"/>
    <n v="0"/>
    <n v="0"/>
    <n v="70260"/>
    <n v="0"/>
    <s v="P"/>
    <m/>
    <n v="123"/>
    <m/>
    <s v="Internal"/>
    <s v="A"/>
    <s v="SL"/>
    <m/>
    <s v="WCNX"/>
    <n v="0"/>
    <n v="0"/>
    <m/>
    <m/>
    <m/>
    <m/>
    <m/>
    <m/>
    <m/>
    <m/>
    <m/>
    <m/>
    <m/>
    <m/>
    <m/>
  </r>
  <r>
    <n v="2183"/>
    <n v="139785"/>
    <n v="132279"/>
    <s v="(75) Tablet Mounting Hardware"/>
    <m/>
    <m/>
    <m/>
    <m/>
    <n v="0"/>
    <s v="ProClip"/>
    <m/>
    <m/>
    <d v="2016-04-30T00:00:00"/>
    <d v="2016-04-30T00:00:00"/>
    <x v="137"/>
    <n v="100"/>
    <n v="14110"/>
    <n v="16641.82"/>
    <n v="14116"/>
    <n v="16641.82"/>
    <n v="0"/>
    <n v="0"/>
    <n v="70260"/>
    <n v="0"/>
    <s v="P"/>
    <m/>
    <s v="SI-1138716"/>
    <m/>
    <s v="Internal"/>
    <s v="A"/>
    <s v="SL"/>
    <m/>
    <s v="WCNX"/>
    <n v="0"/>
    <n v="0"/>
    <m/>
    <m/>
    <m/>
    <m/>
    <m/>
    <m/>
    <m/>
    <m/>
    <m/>
    <m/>
    <m/>
    <m/>
    <m/>
  </r>
  <r>
    <n v="2183"/>
    <n v="133138"/>
    <s v="P"/>
    <s v="HP SB PROBOOK 650"/>
    <m/>
    <m/>
    <m/>
    <m/>
    <n v="0"/>
    <s v="CDW"/>
    <m/>
    <m/>
    <d v="2016-02-16T00:00:00"/>
    <d v="2016-02-16T00:00:00"/>
    <x v="138"/>
    <n v="300"/>
    <n v="14110"/>
    <n v="1045.18"/>
    <n v="14116"/>
    <n v="1045.18"/>
    <n v="0"/>
    <n v="0"/>
    <n v="70260"/>
    <n v="0"/>
    <s v="P"/>
    <m/>
    <s v="1BMBH8Y"/>
    <m/>
    <s v="Internal"/>
    <s v="A"/>
    <s v="SL"/>
    <m/>
    <s v="WCNX"/>
    <n v="0"/>
    <n v="0"/>
    <m/>
    <m/>
    <m/>
    <m/>
    <m/>
    <m/>
    <m/>
    <m/>
    <m/>
    <m/>
    <m/>
    <m/>
    <m/>
  </r>
  <r>
    <n v="2183"/>
    <n v="132591"/>
    <s v="P"/>
    <s v="40 Yd Containers with Lids"/>
    <n v="6"/>
    <m/>
    <m/>
    <m/>
    <n v="0"/>
    <s v="CAPITAL INDUSTRIES INC"/>
    <m/>
    <s v="40 YD RO Box"/>
    <d v="2016-04-30T00:00:00"/>
    <d v="2016-04-30T00:00:00"/>
    <x v="139"/>
    <n v="1200"/>
    <n v="14050"/>
    <n v="39270"/>
    <n v="14056"/>
    <n v="18271.46"/>
    <n v="20998.54"/>
    <n v="2999.79"/>
    <n v="54260"/>
    <n v="272.70999999999998"/>
    <s v="P"/>
    <m/>
    <n v="1345310001"/>
    <m/>
    <s v="Internal"/>
    <s v="A"/>
    <s v="SL"/>
    <m/>
    <s v="WCNX"/>
    <n v="0"/>
    <n v="0"/>
    <m/>
    <m/>
    <m/>
    <m/>
    <m/>
    <m/>
    <m/>
    <m/>
    <m/>
    <m/>
    <m/>
    <m/>
    <m/>
  </r>
  <r>
    <n v="2183"/>
    <n v="132482"/>
    <s v="P"/>
    <s v="1.5 Yd REL Container"/>
    <n v="15"/>
    <m/>
    <m/>
    <m/>
    <n v="0"/>
    <s v="CAPITAL INDUSTRIES INC"/>
    <m/>
    <s v="1.5 YD FEL/REL/SL Metal"/>
    <d v="2016-04-29T00:00:00"/>
    <d v="2016-04-29T00:00:00"/>
    <x v="140"/>
    <n v="1200"/>
    <n v="14050"/>
    <n v="7092.68"/>
    <n v="14056"/>
    <n v="3300.09"/>
    <n v="3792.59"/>
    <n v="541.80999999999995"/>
    <n v="54260"/>
    <n v="49.26"/>
    <s v="P"/>
    <m/>
    <n v="119399"/>
    <m/>
    <s v="Internal"/>
    <s v="A"/>
    <s v="SL"/>
    <m/>
    <s v="WCNX"/>
    <n v="0"/>
    <n v="0"/>
    <m/>
    <m/>
    <m/>
    <m/>
    <m/>
    <m/>
    <m/>
    <m/>
    <m/>
    <m/>
    <m/>
    <m/>
    <m/>
  </r>
  <r>
    <n v="2183"/>
    <n v="132481"/>
    <s v="P"/>
    <s v="1 Yd Rear Load Containers"/>
    <n v="25"/>
    <m/>
    <m/>
    <m/>
    <n v="0"/>
    <s v="CAPITAL INDUSTRIES INC"/>
    <m/>
    <s v="1 YD FEL/REL/SL Metal"/>
    <d v="2016-04-29T00:00:00"/>
    <d v="2016-04-29T00:00:00"/>
    <x v="141"/>
    <n v="1200"/>
    <n v="14050"/>
    <n v="10870"/>
    <n v="14056"/>
    <n v="5057.55"/>
    <n v="5812.45"/>
    <n v="830.34"/>
    <n v="54260"/>
    <n v="75.48"/>
    <s v="P"/>
    <m/>
    <n v="119398"/>
    <m/>
    <s v="Internal"/>
    <s v="A"/>
    <s v="SL"/>
    <m/>
    <s v="WCNX"/>
    <n v="0"/>
    <n v="0"/>
    <m/>
    <m/>
    <m/>
    <m/>
    <m/>
    <m/>
    <m/>
    <m/>
    <m/>
    <m/>
    <m/>
    <m/>
    <m/>
  </r>
  <r>
    <n v="2183"/>
    <n v="132480"/>
    <s v="P"/>
    <s v="3 Yd FEL Containers"/>
    <n v="10"/>
    <m/>
    <m/>
    <m/>
    <n v="0"/>
    <s v="CAPITAL INDUSTRIES INC"/>
    <m/>
    <s v="3 YD FEL/REL/SL Metal"/>
    <d v="2016-04-29T00:00:00"/>
    <d v="2016-04-29T00:00:00"/>
    <x v="141"/>
    <n v="1200"/>
    <n v="14050"/>
    <n v="6282.86"/>
    <n v="14056"/>
    <n v="2923.27"/>
    <n v="3359.5899999999997"/>
    <n v="479.94"/>
    <n v="54260"/>
    <n v="43.63"/>
    <s v="P"/>
    <m/>
    <n v="119340"/>
    <m/>
    <s v="Internal"/>
    <s v="A"/>
    <s v="SL"/>
    <m/>
    <s v="WCNX"/>
    <n v="0"/>
    <n v="0"/>
    <m/>
    <m/>
    <m/>
    <m/>
    <m/>
    <m/>
    <m/>
    <m/>
    <m/>
    <m/>
    <m/>
    <m/>
    <m/>
  </r>
  <r>
    <n v="2183"/>
    <n v="132479"/>
    <s v="P"/>
    <s v="30 Yd Containers"/>
    <n v="3"/>
    <m/>
    <m/>
    <m/>
    <n v="0"/>
    <s v="CAPITAL INDUSTRIES INC"/>
    <m/>
    <s v="30 YD RO Box"/>
    <d v="2016-04-26T00:00:00"/>
    <d v="2016-04-26T00:00:00"/>
    <x v="139"/>
    <n v="1200"/>
    <n v="14050"/>
    <n v="17610"/>
    <n v="14056"/>
    <n v="8193.5400000000009"/>
    <n v="9416.4599999999991"/>
    <n v="1345.21"/>
    <n v="54260"/>
    <n v="122.29"/>
    <s v="P"/>
    <m/>
    <n v="119585"/>
    <m/>
    <s v="Internal"/>
    <s v="A"/>
    <s v="SL"/>
    <m/>
    <s v="WCNX"/>
    <n v="0"/>
    <n v="0"/>
    <m/>
    <m/>
    <m/>
    <m/>
    <m/>
    <m/>
    <m/>
    <m/>
    <m/>
    <m/>
    <m/>
    <m/>
    <m/>
  </r>
  <r>
    <n v="2183"/>
    <n v="132478"/>
    <s v="P"/>
    <s v="6 Yd Front Load Containers"/>
    <n v="15"/>
    <m/>
    <m/>
    <m/>
    <n v="0"/>
    <s v="CAPITAL INDUSTRIES INC"/>
    <m/>
    <s v="6 YD FEL/REL/SL Metal"/>
    <d v="2016-04-18T00:00:00"/>
    <d v="2016-04-18T00:00:00"/>
    <x v="140"/>
    <n v="1200"/>
    <n v="14050"/>
    <n v="12636.38"/>
    <n v="14056"/>
    <n v="5879.42"/>
    <n v="6756.9599999999991"/>
    <n v="965.28"/>
    <n v="54260"/>
    <n v="87.75"/>
    <s v="P"/>
    <m/>
    <n v="118989"/>
    <m/>
    <s v="Internal"/>
    <s v="A"/>
    <s v="SL"/>
    <m/>
    <s v="WCNX"/>
    <n v="0"/>
    <n v="0"/>
    <m/>
    <m/>
    <m/>
    <m/>
    <m/>
    <m/>
    <m/>
    <m/>
    <m/>
    <m/>
    <m/>
    <m/>
    <m/>
  </r>
  <r>
    <n v="2183"/>
    <n v="132279"/>
    <s v="P"/>
    <s v="(75) Samsung Tab E  Tablets"/>
    <m/>
    <m/>
    <m/>
    <m/>
    <n v="0"/>
    <s v="Verizon Wireless"/>
    <m/>
    <m/>
    <d v="2016-04-30T00:00:00"/>
    <d v="2016-04-30T00:00:00"/>
    <x v="137"/>
    <n v="100"/>
    <n v="14110"/>
    <n v="14612.94"/>
    <n v="14116"/>
    <n v="14612.94"/>
    <n v="0"/>
    <n v="0"/>
    <n v="70260"/>
    <n v="0"/>
    <s v="P"/>
    <m/>
    <s v="MB7000004798660"/>
    <m/>
    <s v="Internal"/>
    <s v="A"/>
    <s v="SL"/>
    <m/>
    <s v="WCNX"/>
    <n v="0"/>
    <n v="0"/>
    <m/>
    <m/>
    <m/>
    <m/>
    <m/>
    <m/>
    <m/>
    <m/>
    <m/>
    <m/>
    <m/>
    <m/>
    <m/>
  </r>
  <r>
    <n v="2183"/>
    <n v="131777"/>
    <s v="P"/>
    <s v="96 Gallon Forest Green w/ Green"/>
    <n v="312"/>
    <m/>
    <m/>
    <m/>
    <n v="0"/>
    <s v="TOTER INCORPORATED"/>
    <m/>
    <m/>
    <d v="2016-03-14T00:00:00"/>
    <d v="2016-03-14T00:00:00"/>
    <x v="142"/>
    <n v="700"/>
    <n v="14050"/>
    <n v="15417.47"/>
    <n v="14056"/>
    <n v="12664.37"/>
    <n v="2753.0999999999985"/>
    <n v="2018.96"/>
    <n v="54260"/>
    <n v="183.54"/>
    <s v="P"/>
    <m/>
    <n v="65402037"/>
    <m/>
    <s v="Internal"/>
    <s v="A"/>
    <s v="SL"/>
    <m/>
    <s v="WCNX"/>
    <n v="0"/>
    <n v="0"/>
    <m/>
    <m/>
    <m/>
    <m/>
    <m/>
    <m/>
    <m/>
    <m/>
    <m/>
    <m/>
    <m/>
    <m/>
    <m/>
  </r>
  <r>
    <n v="2183"/>
    <n v="131776"/>
    <s v="P"/>
    <s v="96 Gallon Forest Green w/ Blue Lid"/>
    <n v="312"/>
    <m/>
    <m/>
    <m/>
    <n v="0"/>
    <s v="TOTER INCORPORATED"/>
    <m/>
    <m/>
    <d v="2016-03-14T00:00:00"/>
    <d v="2016-03-14T00:00:00"/>
    <x v="142"/>
    <n v="700"/>
    <n v="14050"/>
    <n v="15417.47"/>
    <n v="14056"/>
    <n v="12664.37"/>
    <n v="2753.0999999999985"/>
    <n v="2018.96"/>
    <n v="54260"/>
    <n v="183.54"/>
    <s v="P"/>
    <m/>
    <n v="65402037"/>
    <m/>
    <s v="Internal"/>
    <s v="A"/>
    <s v="SL"/>
    <m/>
    <s v="WCNX"/>
    <n v="0"/>
    <n v="0"/>
    <m/>
    <m/>
    <m/>
    <m/>
    <m/>
    <m/>
    <m/>
    <m/>
    <m/>
    <m/>
    <m/>
    <m/>
    <m/>
  </r>
  <r>
    <n v="2183"/>
    <n v="131756"/>
    <s v="P"/>
    <s v="35 gal Garbage cart"/>
    <n v="840"/>
    <m/>
    <m/>
    <m/>
    <n v="0"/>
    <s v="TOTER INCORPORATED"/>
    <m/>
    <m/>
    <d v="2016-04-01T00:00:00"/>
    <d v="2016-04-01T00:00:00"/>
    <x v="142"/>
    <n v="700"/>
    <n v="14050"/>
    <n v="29504.44"/>
    <n v="14056"/>
    <n v="23884.55"/>
    <n v="5619.8899999999994"/>
    <n v="3863.68"/>
    <n v="54260"/>
    <n v="351.25"/>
    <s v="P"/>
    <m/>
    <n v="65402799"/>
    <m/>
    <s v="Internal"/>
    <s v="A"/>
    <s v="SL"/>
    <m/>
    <s v="WCNX"/>
    <n v="0"/>
    <n v="0"/>
    <m/>
    <m/>
    <m/>
    <m/>
    <m/>
    <m/>
    <m/>
    <m/>
    <m/>
    <m/>
    <m/>
    <m/>
    <m/>
  </r>
  <r>
    <n v="2183"/>
    <n v="131197"/>
    <s v="P"/>
    <s v="96 Gallon Refuse Carts and Lids"/>
    <n v="624"/>
    <m/>
    <m/>
    <m/>
    <n v="0"/>
    <s v="TOTER INCORPORATED"/>
    <m/>
    <m/>
    <d v="2016-03-29T00:00:00"/>
    <d v="2016-03-29T00:00:00"/>
    <x v="142"/>
    <n v="700"/>
    <n v="14050"/>
    <n v="30834.93"/>
    <n v="14056"/>
    <n v="24961.61"/>
    <n v="5873.32"/>
    <n v="4037.91"/>
    <n v="54260"/>
    <n v="367.08"/>
    <s v="P"/>
    <m/>
    <n v="65402206"/>
    <m/>
    <s v="Internal"/>
    <s v="A"/>
    <s v="SL"/>
    <m/>
    <s v="WCNX"/>
    <n v="0"/>
    <n v="0"/>
    <m/>
    <m/>
    <m/>
    <m/>
    <m/>
    <m/>
    <m/>
    <m/>
    <m/>
    <m/>
    <m/>
    <m/>
    <m/>
  </r>
  <r>
    <n v="2183"/>
    <n v="129324"/>
    <s v="P"/>
    <s v="35 Gallon Green Refuse Carts a Black Lids"/>
    <n v="500"/>
    <m/>
    <m/>
    <m/>
    <n v="0"/>
    <s v="TOTER INCORPORATED"/>
    <m/>
    <m/>
    <d v="2016-01-01T00:00:00"/>
    <d v="2016-01-01T00:00:00"/>
    <x v="143"/>
    <n v="611"/>
    <n v="14050"/>
    <n v="17256.13"/>
    <n v="14056"/>
    <n v="14761.26"/>
    <n v="2494.8700000000008"/>
    <n v="2286.96"/>
    <n v="54260"/>
    <n v="207.91"/>
    <s v="P"/>
    <m/>
    <n v="65392465"/>
    <m/>
    <s v="Internal"/>
    <s v="A"/>
    <s v="SL"/>
    <m/>
    <s v="WCNX"/>
    <n v="0"/>
    <n v="0"/>
    <m/>
    <m/>
    <m/>
    <m/>
    <m/>
    <m/>
    <m/>
    <m/>
    <m/>
    <m/>
    <m/>
    <m/>
    <m/>
  </r>
  <r>
    <n v="2183"/>
    <n v="128910"/>
    <s v="P"/>
    <s v="HP SB Probook 650 G1"/>
    <m/>
    <m/>
    <m/>
    <m/>
    <n v="0"/>
    <s v="CDW"/>
    <m/>
    <m/>
    <d v="2015-12-08T00:00:00"/>
    <d v="2015-12-08T00:00:00"/>
    <x v="144"/>
    <n v="300"/>
    <n v="14110"/>
    <n v="1087.92"/>
    <n v="14116"/>
    <n v="1087.92"/>
    <n v="0"/>
    <n v="0"/>
    <n v="70260"/>
    <n v="0"/>
    <s v="P"/>
    <m/>
    <s v="BKD3963"/>
    <m/>
    <s v="Internal"/>
    <s v="A"/>
    <s v="SL"/>
    <m/>
    <s v="WCNX"/>
    <n v="0"/>
    <n v="0"/>
    <m/>
    <m/>
    <m/>
    <m/>
    <m/>
    <m/>
    <m/>
    <m/>
    <m/>
    <m/>
    <m/>
    <m/>
    <m/>
  </r>
  <r>
    <n v="2183"/>
    <n v="128674"/>
    <s v="P"/>
    <s v="2016 ASL Truck"/>
    <m/>
    <m/>
    <s v="3BPZL70X2GF100844"/>
    <m/>
    <n v="2016"/>
    <s v="Peterbilt"/>
    <s v="Wayne"/>
    <s v="Automated Sideload"/>
    <d v="2015-12-23T00:00:00"/>
    <d v="2015-12-23T00:00:00"/>
    <x v="145"/>
    <n v="1000"/>
    <n v="14040"/>
    <n v="340829.73"/>
    <n v="14046"/>
    <n v="201657.57"/>
    <n v="139172.15999999997"/>
    <n v="31242.720000000001"/>
    <n v="51260"/>
    <n v="2840.24"/>
    <s v="P"/>
    <m/>
    <s v="P100844"/>
    <n v="3645"/>
    <s v="Internal"/>
    <s v="A"/>
    <s v="SL"/>
    <m/>
    <s v="WCNX"/>
    <n v="0"/>
    <n v="0"/>
    <m/>
    <m/>
    <m/>
    <m/>
    <m/>
    <m/>
    <m/>
    <m/>
    <m/>
    <m/>
    <m/>
    <m/>
    <m/>
  </r>
  <r>
    <n v="2183"/>
    <n v="128673"/>
    <s v="P"/>
    <s v="2016 REL Truck"/>
    <m/>
    <m/>
    <s v="3BPZL70X3GF100626"/>
    <m/>
    <n v="2016"/>
    <s v="Peterbilt"/>
    <s v="Neway"/>
    <s v="REL Truck"/>
    <d v="2015-12-31T00:00:00"/>
    <d v="2015-12-31T00:00:00"/>
    <x v="146"/>
    <n v="1000"/>
    <n v="14040"/>
    <n v="291925.26"/>
    <n v="14046"/>
    <n v="172722.47"/>
    <n v="119202.79000000001"/>
    <n v="26759.82"/>
    <n v="51260"/>
    <n v="2432.71"/>
    <s v="P"/>
    <m/>
    <s v="P100626"/>
    <n v="1073"/>
    <s v="Internal"/>
    <s v="A"/>
    <s v="SL"/>
    <m/>
    <s v="WCNX"/>
    <n v="0"/>
    <n v="0"/>
    <m/>
    <m/>
    <m/>
    <m/>
    <m/>
    <m/>
    <m/>
    <m/>
    <m/>
    <m/>
    <m/>
    <m/>
    <m/>
  </r>
  <r>
    <n v="2183"/>
    <n v="128432"/>
    <s v="P"/>
    <s v="JLG 1932RS Scissor Lift"/>
    <m/>
    <m/>
    <n v="200254278"/>
    <m/>
    <n v="2015"/>
    <s v="JLG"/>
    <s v="N/A"/>
    <s v="Forklift"/>
    <d v="2015-12-21T00:00:00"/>
    <d v="2015-12-21T00:00:00"/>
    <x v="147"/>
    <n v="900"/>
    <n v="14030"/>
    <n v="11848.3"/>
    <n v="14036"/>
    <n v="7789.17"/>
    <n v="4059.1299999999992"/>
    <n v="1206.77"/>
    <n v="51260"/>
    <n v="109.7"/>
    <s v="P"/>
    <m/>
    <s v="J04628"/>
    <n v="7966"/>
    <s v="Internal"/>
    <s v="A"/>
    <s v="SL"/>
    <m/>
    <s v="WCNX"/>
    <n v="0"/>
    <n v="0"/>
    <m/>
    <m/>
    <m/>
    <m/>
    <m/>
    <m/>
    <m/>
    <m/>
    <m/>
    <m/>
    <m/>
    <m/>
    <m/>
  </r>
  <r>
    <n v="2183"/>
    <n v="128183"/>
    <s v="P"/>
    <s v="96  Gallon Green Refuse Carts and Black Lids"/>
    <n v="288"/>
    <m/>
    <m/>
    <m/>
    <n v="0"/>
    <s v="TOTER INCORPORATED"/>
    <m/>
    <m/>
    <d v="2015-11-25T00:00:00"/>
    <d v="2015-11-25T00:00:00"/>
    <x v="143"/>
    <n v="700"/>
    <n v="14050"/>
    <n v="16008.28"/>
    <n v="14056"/>
    <n v="13721.41"/>
    <n v="2286.8700000000008"/>
    <n v="2096.33"/>
    <n v="54260"/>
    <n v="190.58"/>
    <s v="P"/>
    <m/>
    <n v="65389143"/>
    <m/>
    <s v="Internal"/>
    <s v="A"/>
    <s v="SL"/>
    <m/>
    <s v="WCNX"/>
    <n v="0"/>
    <n v="0"/>
    <m/>
    <m/>
    <m/>
    <m/>
    <m/>
    <m/>
    <m/>
    <m/>
    <m/>
    <m/>
    <m/>
    <m/>
    <m/>
  </r>
  <r>
    <n v="2183"/>
    <n v="128182"/>
    <s v="P"/>
    <s v="96 Gallon Recycle Carts"/>
    <n v="624"/>
    <m/>
    <m/>
    <m/>
    <n v="0"/>
    <s v="TOTER INCORPORATED"/>
    <m/>
    <m/>
    <d v="2015-11-17T00:00:00"/>
    <d v="2015-11-17T00:00:00"/>
    <x v="143"/>
    <n v="700"/>
    <n v="14050"/>
    <n v="32078.49"/>
    <n v="14056"/>
    <n v="27495.84"/>
    <n v="4582.6500000000015"/>
    <n v="4200.75"/>
    <n v="54260"/>
    <n v="381.88"/>
    <s v="P"/>
    <m/>
    <n v="65388415"/>
    <m/>
    <s v="Internal"/>
    <s v="A"/>
    <s v="SL"/>
    <m/>
    <s v="WCNX"/>
    <n v="0"/>
    <n v="0"/>
    <m/>
    <m/>
    <m/>
    <m/>
    <m/>
    <m/>
    <m/>
    <m/>
    <m/>
    <m/>
    <m/>
    <m/>
    <m/>
  </r>
  <r>
    <n v="2183"/>
    <n v="128181"/>
    <s v="P"/>
    <s v="96 Gallon Recycle Carts"/>
    <n v="624"/>
    <m/>
    <m/>
    <m/>
    <n v="0"/>
    <s v="TOTER INCORPORATED"/>
    <m/>
    <m/>
    <d v="2015-10-03T00:00:00"/>
    <d v="2015-10-03T00:00:00"/>
    <x v="148"/>
    <n v="700"/>
    <n v="14050"/>
    <n v="31816.22"/>
    <n v="14056"/>
    <n v="28028.61"/>
    <n v="3787.6100000000006"/>
    <n v="4166.42"/>
    <n v="54260"/>
    <n v="378.77"/>
    <s v="P"/>
    <m/>
    <n v="65384270"/>
    <m/>
    <s v="Internal"/>
    <s v="A"/>
    <s v="SL"/>
    <m/>
    <s v="WCNX"/>
    <n v="0"/>
    <n v="0"/>
    <m/>
    <m/>
    <m/>
    <m/>
    <m/>
    <m/>
    <m/>
    <m/>
    <m/>
    <m/>
    <m/>
    <m/>
    <m/>
  </r>
  <r>
    <n v="2183"/>
    <n v="127478"/>
    <s v="P"/>
    <s v="64 Gallon Forest Green Refuse Carts w/Black Lids"/>
    <n v="864"/>
    <m/>
    <m/>
    <m/>
    <n v="0"/>
    <s v="TOTER INCORPORATED"/>
    <m/>
    <m/>
    <d v="2015-11-12T00:00:00"/>
    <d v="2015-11-12T00:00:00"/>
    <x v="143"/>
    <n v="700"/>
    <n v="14050"/>
    <n v="39330.959999999999"/>
    <n v="14056"/>
    <n v="34180.480000000003"/>
    <n v="5150.4799999999959"/>
    <n v="5150.4799999999996"/>
    <n v="54260"/>
    <n v="468.22"/>
    <s v="P"/>
    <m/>
    <n v="65388001"/>
    <m/>
    <s v="Internal"/>
    <s v="A"/>
    <s v="SL"/>
    <m/>
    <s v="WCNX"/>
    <n v="0"/>
    <n v="0"/>
    <m/>
    <m/>
    <m/>
    <m/>
    <m/>
    <m/>
    <m/>
    <m/>
    <m/>
    <m/>
    <m/>
    <m/>
    <m/>
  </r>
  <r>
    <n v="2183"/>
    <n v="126867"/>
    <s v="P"/>
    <s v="5 Yd FEL Containers"/>
    <n v="5"/>
    <m/>
    <m/>
    <m/>
    <n v="0"/>
    <s v="CAPITAL INDUSTRIES, INC."/>
    <m/>
    <s v="5 YD FEL/REL/SL Metal"/>
    <d v="2015-10-20T00:00:00"/>
    <d v="2015-10-20T00:00:00"/>
    <x v="149"/>
    <n v="1200"/>
    <n v="14050"/>
    <n v="4864.33"/>
    <n v="14056"/>
    <n v="2465.94"/>
    <n v="2398.39"/>
    <n v="371.58"/>
    <n v="54260"/>
    <n v="33.78"/>
    <s v="P"/>
    <m/>
    <n v="114304"/>
    <m/>
    <s v="Internal"/>
    <s v="A"/>
    <s v="SL"/>
    <m/>
    <s v="WCNX"/>
    <n v="0"/>
    <n v="0"/>
    <m/>
    <m/>
    <m/>
    <m/>
    <m/>
    <m/>
    <m/>
    <m/>
    <m/>
    <m/>
    <m/>
    <m/>
    <m/>
  </r>
  <r>
    <n v="2183"/>
    <n v="126833"/>
    <s v="P"/>
    <s v="2Yd Rear Load Containers"/>
    <n v="15"/>
    <m/>
    <m/>
    <m/>
    <n v="0"/>
    <s v="CAPITAL INDUSTRIES, INC."/>
    <m/>
    <s v="2 YD FEL/REL/SL Metal"/>
    <d v="2015-10-20T00:00:00"/>
    <d v="2015-10-20T00:00:00"/>
    <x v="149"/>
    <n v="1200"/>
    <n v="14050"/>
    <n v="7092.68"/>
    <n v="14056"/>
    <n v="3595.62"/>
    <n v="3497.0600000000004"/>
    <n v="541.80999999999995"/>
    <n v="54260"/>
    <n v="49.26"/>
    <s v="P"/>
    <m/>
    <n v="114317"/>
    <m/>
    <s v="Internal"/>
    <s v="A"/>
    <s v="SL"/>
    <m/>
    <s v="WCNX"/>
    <n v="0"/>
    <n v="0"/>
    <m/>
    <m/>
    <m/>
    <m/>
    <m/>
    <m/>
    <m/>
    <m/>
    <m/>
    <m/>
    <m/>
    <m/>
    <m/>
  </r>
  <r>
    <n v="2183"/>
    <n v="126832"/>
    <s v="P"/>
    <s v="6 Yd Front Load Containers"/>
    <n v="2"/>
    <m/>
    <m/>
    <m/>
    <n v="0"/>
    <s v="CAPITAL INDUSTRIES, INC."/>
    <m/>
    <s v="6 YD FEL/REL/SL Metal"/>
    <d v="2015-10-15T00:00:00"/>
    <d v="2015-10-15T00:00:00"/>
    <x v="150"/>
    <n v="1200"/>
    <n v="14050"/>
    <n v="1728.33"/>
    <n v="14056"/>
    <n v="888.19"/>
    <n v="840.13999999999987"/>
    <n v="132.03"/>
    <n v="54260"/>
    <n v="12"/>
    <s v="P"/>
    <m/>
    <n v="113783"/>
    <m/>
    <s v="Internal"/>
    <s v="A"/>
    <s v="SL"/>
    <m/>
    <s v="WCNX"/>
    <n v="0"/>
    <n v="0"/>
    <m/>
    <m/>
    <m/>
    <m/>
    <m/>
    <m/>
    <m/>
    <m/>
    <m/>
    <m/>
    <m/>
    <m/>
    <m/>
  </r>
  <r>
    <n v="2183"/>
    <n v="126751"/>
    <s v="P"/>
    <s v="6 Yd Front Load Containers"/>
    <n v="3"/>
    <m/>
    <m/>
    <m/>
    <n v="0"/>
    <s v="CAPITAL INDUSTRIES, INC."/>
    <m/>
    <s v="6 YD FEL/REL/SL Metal"/>
    <d v="2015-10-15T00:00:00"/>
    <d v="2015-10-15T00:00:00"/>
    <x v="150"/>
    <n v="1200"/>
    <n v="14050"/>
    <n v="2592.5"/>
    <n v="14056"/>
    <n v="1332.25"/>
    <n v="1260.25"/>
    <n v="198.04"/>
    <n v="54260"/>
    <n v="18.010000000000002"/>
    <s v="P"/>
    <m/>
    <n v="113775"/>
    <m/>
    <s v="Internal"/>
    <s v="A"/>
    <s v="SL"/>
    <m/>
    <s v="WCNX"/>
    <n v="0"/>
    <n v="0"/>
    <m/>
    <m/>
    <m/>
    <m/>
    <m/>
    <m/>
    <m/>
    <m/>
    <m/>
    <m/>
    <m/>
    <m/>
    <m/>
  </r>
  <r>
    <n v="2183"/>
    <n v="126750"/>
    <s v="P"/>
    <s v="1 Yd Rear Load Containers"/>
    <n v="15"/>
    <m/>
    <m/>
    <m/>
    <n v="0"/>
    <s v="CAPITAL INDUSTRIES, INC."/>
    <m/>
    <s v="1 YD FEL/REL/SL Metal"/>
    <d v="2015-10-15T00:00:00"/>
    <d v="2015-10-15T00:00:00"/>
    <x v="150"/>
    <n v="1200"/>
    <n v="14050"/>
    <n v="6522"/>
    <n v="14056"/>
    <n v="3351.59"/>
    <n v="3170.41"/>
    <n v="498.21"/>
    <n v="54260"/>
    <n v="45.29"/>
    <s v="P"/>
    <m/>
    <n v="113774"/>
    <m/>
    <s v="Internal"/>
    <s v="A"/>
    <s v="SL"/>
    <m/>
    <s v="WCNX"/>
    <n v="0"/>
    <n v="0"/>
    <m/>
    <m/>
    <m/>
    <m/>
    <m/>
    <m/>
    <m/>
    <m/>
    <m/>
    <m/>
    <m/>
    <m/>
    <m/>
  </r>
  <r>
    <n v="2183"/>
    <n v="126736"/>
    <s v="P"/>
    <s v="35 Gallon Green Refuse Containers with Black Lids"/>
    <n v="1140"/>
    <m/>
    <m/>
    <m/>
    <n v="0"/>
    <s v="TOTER INCORPORATED"/>
    <m/>
    <m/>
    <d v="2015-09-23T00:00:00"/>
    <d v="2015-09-23T00:00:00"/>
    <x v="148"/>
    <n v="700"/>
    <n v="14050"/>
    <n v="39343.97"/>
    <n v="14056"/>
    <n v="34660.18"/>
    <n v="4683.7900000000009"/>
    <n v="5152.1899999999996"/>
    <n v="54260"/>
    <n v="468.38"/>
    <s v="P"/>
    <m/>
    <n v="65383010"/>
    <m/>
    <s v="Internal"/>
    <s v="A"/>
    <s v="SL"/>
    <m/>
    <s v="WCNX"/>
    <n v="0"/>
    <n v="0"/>
    <m/>
    <m/>
    <m/>
    <m/>
    <m/>
    <m/>
    <m/>
    <m/>
    <m/>
    <m/>
    <m/>
    <m/>
    <m/>
  </r>
  <r>
    <n v="2183"/>
    <n v="126474"/>
    <s v="P"/>
    <s v="64 Gallon Green Refuse Containers and Black Lids"/>
    <n v="432"/>
    <m/>
    <m/>
    <m/>
    <n v="0"/>
    <s v="TOTER INCORPORATED"/>
    <m/>
    <m/>
    <d v="2015-09-23T00:00:00"/>
    <d v="2015-09-23T00:00:00"/>
    <x v="148"/>
    <n v="700"/>
    <n v="14050"/>
    <n v="20520.12"/>
    <n v="14056"/>
    <n v="18077.27"/>
    <n v="2442.8499999999985"/>
    <n v="2687.16"/>
    <n v="54260"/>
    <n v="244.28"/>
    <s v="P"/>
    <m/>
    <n v="65383427"/>
    <m/>
    <s v="Internal"/>
    <s v="A"/>
    <s v="SL"/>
    <m/>
    <s v="WCNX"/>
    <n v="0"/>
    <n v="0"/>
    <m/>
    <m/>
    <m/>
    <m/>
    <m/>
    <m/>
    <m/>
    <m/>
    <m/>
    <m/>
    <m/>
    <m/>
    <m/>
  </r>
  <r>
    <n v="2183"/>
    <n v="126473"/>
    <s v="P"/>
    <s v="96 Gallon Green Refuse Containers with Black Lids"/>
    <n v="312"/>
    <m/>
    <m/>
    <m/>
    <n v="0"/>
    <s v="TOTER INCORPORATED"/>
    <m/>
    <m/>
    <d v="2015-09-23T00:00:00"/>
    <d v="2015-09-23T00:00:00"/>
    <x v="148"/>
    <n v="700"/>
    <n v="14050"/>
    <n v="16893.89"/>
    <n v="14056"/>
    <n v="14882.69"/>
    <n v="2011.1999999999989"/>
    <n v="2212.29"/>
    <n v="54260"/>
    <n v="201.11"/>
    <s v="P"/>
    <m/>
    <n v="65383653"/>
    <m/>
    <s v="Internal"/>
    <s v="A"/>
    <s v="SL"/>
    <m/>
    <s v="WCNX"/>
    <n v="0"/>
    <n v="0"/>
    <m/>
    <m/>
    <m/>
    <m/>
    <m/>
    <m/>
    <m/>
    <m/>
    <m/>
    <m/>
    <m/>
    <m/>
    <m/>
  </r>
  <r>
    <n v="2183"/>
    <n v="126472"/>
    <s v="P"/>
    <s v="3Yd FEL Containers"/>
    <n v="10"/>
    <m/>
    <m/>
    <m/>
    <n v="0"/>
    <s v="CAPITAL INDUSTRIES, INC."/>
    <m/>
    <s v="3 YD FEL/REL/SL Metal"/>
    <d v="2015-10-09T00:00:00"/>
    <d v="2015-10-09T00:00:00"/>
    <x v="150"/>
    <n v="1200"/>
    <n v="14050"/>
    <n v="6282.86"/>
    <n v="14056"/>
    <n v="3228.68"/>
    <n v="3054.18"/>
    <n v="479.94"/>
    <n v="54260"/>
    <n v="43.63"/>
    <s v="P"/>
    <m/>
    <n v="113619"/>
    <m/>
    <s v="Internal"/>
    <s v="A"/>
    <s v="SL"/>
    <m/>
    <s v="WCNX"/>
    <n v="0"/>
    <n v="0"/>
    <m/>
    <m/>
    <m/>
    <m/>
    <m/>
    <m/>
    <m/>
    <m/>
    <m/>
    <m/>
    <m/>
    <m/>
    <m/>
  </r>
  <r>
    <n v="2183"/>
    <n v="126400"/>
    <s v="P"/>
    <s v="Landa Pressure Washer"/>
    <m/>
    <m/>
    <m/>
    <m/>
    <n v="0"/>
    <m/>
    <m/>
    <m/>
    <d v="2015-09-01T00:00:00"/>
    <d v="2015-09-01T00:00:00"/>
    <x v="151"/>
    <n v="500"/>
    <n v="14070"/>
    <n v="11499.37"/>
    <n v="14076"/>
    <n v="11499.37"/>
    <n v="0"/>
    <n v="0"/>
    <n v="51260"/>
    <n v="0"/>
    <s v="P"/>
    <m/>
    <s v="T305188"/>
    <m/>
    <s v="Internal"/>
    <s v="A"/>
    <s v="SL"/>
    <m/>
    <s v="WCNX"/>
    <n v="0"/>
    <n v="0"/>
    <m/>
    <m/>
    <m/>
    <m/>
    <m/>
    <m/>
    <m/>
    <m/>
    <m/>
    <m/>
    <m/>
    <m/>
    <m/>
  </r>
  <r>
    <n v="2183"/>
    <n v="125758"/>
    <n v="126400"/>
    <s v="Part and Installation Landa Pressure Washer"/>
    <m/>
    <m/>
    <m/>
    <m/>
    <n v="0"/>
    <s v="AMB TOOLS"/>
    <m/>
    <m/>
    <d v="2015-09-01T00:00:00"/>
    <d v="2015-09-01T00:00:00"/>
    <x v="151"/>
    <n v="500"/>
    <n v="14070"/>
    <n v="1195.7"/>
    <n v="14076"/>
    <n v="1195.7"/>
    <n v="0"/>
    <n v="0"/>
    <n v="51260"/>
    <n v="0"/>
    <s v="P"/>
    <m/>
    <s v="T305273"/>
    <m/>
    <s v="Internal"/>
    <s v="A"/>
    <s v="SL"/>
    <m/>
    <s v="WCNX"/>
    <n v="0"/>
    <n v="0"/>
    <m/>
    <m/>
    <m/>
    <m/>
    <m/>
    <m/>
    <m/>
    <m/>
    <m/>
    <m/>
    <m/>
    <m/>
    <m/>
  </r>
  <r>
    <n v="2183"/>
    <n v="125074"/>
    <s v="P"/>
    <s v="Parking Lot Paving"/>
    <m/>
    <m/>
    <m/>
    <m/>
    <n v="0"/>
    <s v="JIMINI CONSTRUCTION"/>
    <m/>
    <m/>
    <d v="2015-07-26T00:00:00"/>
    <d v="2015-07-26T00:00:00"/>
    <x v="152"/>
    <n v="1000"/>
    <n v="14010"/>
    <n v="5978.5"/>
    <n v="14016"/>
    <n v="3786.39"/>
    <n v="2192.11"/>
    <n v="548.03"/>
    <n v="57260"/>
    <n v="49.82"/>
    <s v="P"/>
    <m/>
    <n v="11503"/>
    <m/>
    <s v="Internal"/>
    <s v="A"/>
    <s v="SL"/>
    <m/>
    <s v="WCNX"/>
    <n v="0"/>
    <n v="0"/>
    <m/>
    <m/>
    <m/>
    <m/>
    <m/>
    <m/>
    <m/>
    <m/>
    <m/>
    <m/>
    <m/>
    <m/>
    <m/>
  </r>
  <r>
    <n v="2183"/>
    <n v="124973"/>
    <s v="P"/>
    <s v="2 Yd RL Containers"/>
    <n v="11"/>
    <m/>
    <m/>
    <m/>
    <n v="0"/>
    <s v="RULE STEEL TANK"/>
    <m/>
    <s v="2 YD FEL/REL/SL Metal"/>
    <d v="2015-07-31T00:00:00"/>
    <d v="2015-07-31T00:00:00"/>
    <x v="153"/>
    <n v="1200"/>
    <n v="14050"/>
    <n v="6028.5"/>
    <n v="14056"/>
    <n v="3181.74"/>
    <n v="2846.76"/>
    <n v="460.52"/>
    <n v="54260"/>
    <n v="41.87"/>
    <s v="P"/>
    <m/>
    <s v="0020573IN"/>
    <m/>
    <s v="Internal"/>
    <s v="A"/>
    <s v="SL"/>
    <m/>
    <s v="WCNX"/>
    <n v="0"/>
    <n v="0"/>
    <m/>
    <m/>
    <m/>
    <m/>
    <m/>
    <m/>
    <m/>
    <m/>
    <m/>
    <m/>
    <m/>
    <m/>
    <m/>
  </r>
  <r>
    <n v="2183"/>
    <n v="124972"/>
    <s v="P"/>
    <s v="1.5 Yd RL Containers"/>
    <n v="11"/>
    <m/>
    <m/>
    <m/>
    <n v="0"/>
    <s v="RULE STEEL TANK"/>
    <m/>
    <s v="1.5 YD FEL/REL/SL Metal"/>
    <d v="2015-07-31T00:00:00"/>
    <d v="2015-07-31T00:00:00"/>
    <x v="153"/>
    <n v="1200"/>
    <n v="14050"/>
    <n v="5705.66"/>
    <n v="14056"/>
    <n v="3011.17"/>
    <n v="2694.49"/>
    <n v="435.83"/>
    <n v="54260"/>
    <n v="39.61"/>
    <s v="P"/>
    <m/>
    <s v="0020573IN"/>
    <m/>
    <s v="Internal"/>
    <s v="A"/>
    <s v="SL"/>
    <m/>
    <s v="WCNX"/>
    <n v="0"/>
    <n v="0"/>
    <m/>
    <m/>
    <m/>
    <m/>
    <m/>
    <m/>
    <m/>
    <m/>
    <m/>
    <m/>
    <m/>
    <m/>
    <m/>
  </r>
  <r>
    <n v="2183"/>
    <n v="124971"/>
    <s v="P"/>
    <s v="1 Yd RL Containers"/>
    <n v="11"/>
    <m/>
    <m/>
    <m/>
    <n v="0"/>
    <s v="RULE STEEL TANK"/>
    <m/>
    <s v="1 YD FEL/REL/SL Metal"/>
    <d v="2015-07-31T00:00:00"/>
    <d v="2015-07-31T00:00:00"/>
    <x v="153"/>
    <n v="1200"/>
    <n v="14050"/>
    <n v="5287.17"/>
    <n v="14056"/>
    <n v="2790.46"/>
    <n v="2496.71"/>
    <n v="403.88"/>
    <n v="54260"/>
    <n v="36.71"/>
    <s v="P"/>
    <m/>
    <s v="0020573IN"/>
    <m/>
    <s v="Internal"/>
    <s v="A"/>
    <s v="SL"/>
    <m/>
    <s v="WCNX"/>
    <n v="0"/>
    <n v="0"/>
    <m/>
    <m/>
    <m/>
    <m/>
    <m/>
    <m/>
    <m/>
    <m/>
    <m/>
    <m/>
    <m/>
    <m/>
    <m/>
  </r>
  <r>
    <n v="2183"/>
    <n v="124970"/>
    <s v="P"/>
    <s v="6 Yd FL Containers"/>
    <n v="11"/>
    <m/>
    <m/>
    <m/>
    <n v="0"/>
    <s v="RULE STEEL TANK"/>
    <m/>
    <s v="6 YD FEL/REL/SL Metal"/>
    <d v="2015-07-31T00:00:00"/>
    <d v="2015-07-31T00:00:00"/>
    <x v="153"/>
    <n v="1200"/>
    <n v="14050"/>
    <n v="8862.32"/>
    <n v="14056"/>
    <n v="4677.3599999999997"/>
    <n v="4184.96"/>
    <n v="676.99"/>
    <n v="54260"/>
    <n v="61.55"/>
    <s v="P"/>
    <m/>
    <s v="0020573IN"/>
    <m/>
    <s v="Internal"/>
    <s v="A"/>
    <s v="SL"/>
    <m/>
    <s v="WCNX"/>
    <n v="0"/>
    <n v="0"/>
    <m/>
    <m/>
    <m/>
    <m/>
    <m/>
    <m/>
    <m/>
    <m/>
    <m/>
    <m/>
    <m/>
    <m/>
    <m/>
  </r>
  <r>
    <n v="2183"/>
    <n v="124969"/>
    <s v="P"/>
    <s v="3 Yd FL Containers"/>
    <n v="11"/>
    <m/>
    <m/>
    <m/>
    <n v="0"/>
    <s v="RULE STEEL TANK"/>
    <m/>
    <s v="3 YD FEL/REL/SL Metal"/>
    <d v="2015-07-31T00:00:00"/>
    <d v="2015-07-31T00:00:00"/>
    <x v="153"/>
    <n v="1200"/>
    <n v="14050"/>
    <n v="6662.22"/>
    <n v="14056"/>
    <n v="3516.2"/>
    <n v="3146.0200000000004"/>
    <n v="508.92"/>
    <n v="54260"/>
    <n v="46.26"/>
    <s v="P"/>
    <m/>
    <s v="0020573IN"/>
    <m/>
    <s v="Internal"/>
    <s v="A"/>
    <s v="SL"/>
    <m/>
    <s v="WCNX"/>
    <n v="0"/>
    <n v="0"/>
    <m/>
    <m/>
    <m/>
    <m/>
    <m/>
    <m/>
    <m/>
    <m/>
    <m/>
    <m/>
    <m/>
    <m/>
    <m/>
  </r>
  <r>
    <n v="2183"/>
    <n v="124606"/>
    <n v="61120"/>
    <s v="Body, Floor, Packer Repair"/>
    <m/>
    <m/>
    <m/>
    <m/>
    <n v="0"/>
    <s v="SOLID WASTE SYSTEMS INC"/>
    <m/>
    <s v="Non Rolling Stock"/>
    <d v="2015-06-30T00:00:00"/>
    <d v="2015-06-30T00:00:00"/>
    <x v="154"/>
    <n v="300"/>
    <n v="14040"/>
    <n v="10023.450000000001"/>
    <n v="14046"/>
    <n v="10023.450000000001"/>
    <n v="0"/>
    <n v="0"/>
    <n v="51260"/>
    <n v="0"/>
    <s v="P"/>
    <m/>
    <n v="136356"/>
    <m/>
    <s v="Internal"/>
    <s v="A"/>
    <s v="SL"/>
    <m/>
    <s v="WCNX"/>
    <n v="0"/>
    <n v="0"/>
    <m/>
    <m/>
    <m/>
    <m/>
    <m/>
    <m/>
    <m/>
    <m/>
    <m/>
    <m/>
    <m/>
    <m/>
    <m/>
  </r>
  <r>
    <n v="2183"/>
    <n v="124524"/>
    <s v="P"/>
    <s v="40 Yd Lidded  RO Boxes"/>
    <n v="6"/>
    <m/>
    <m/>
    <m/>
    <n v="0"/>
    <s v="CAPITAL INDUSTRIES, INC."/>
    <m/>
    <m/>
    <d v="2015-04-30T00:00:00"/>
    <d v="2015-04-30T00:00:00"/>
    <x v="155"/>
    <n v="1200"/>
    <n v="14050"/>
    <n v="40590"/>
    <n v="14056"/>
    <n v="22268.13"/>
    <n v="18321.87"/>
    <n v="3100.63"/>
    <n v="54260"/>
    <n v="281.88"/>
    <s v="P"/>
    <m/>
    <n v="110290"/>
    <m/>
    <s v="Internal"/>
    <s v="A"/>
    <s v="SL"/>
    <m/>
    <s v="WCNX"/>
    <n v="0"/>
    <n v="0"/>
    <m/>
    <m/>
    <m/>
    <m/>
    <m/>
    <m/>
    <m/>
    <m/>
    <m/>
    <m/>
    <m/>
    <m/>
    <m/>
  </r>
  <r>
    <n v="2183"/>
    <n v="123666"/>
    <s v="P"/>
    <s v="96 Gallon Green Yardwaste Carts and Green Lids"/>
    <n v="624"/>
    <m/>
    <m/>
    <m/>
    <n v="0"/>
    <s v="WASTEQUIP LLC"/>
    <m/>
    <m/>
    <d v="2015-06-23T00:00:00"/>
    <d v="2015-06-23T00:00:00"/>
    <x v="156"/>
    <n v="700"/>
    <n v="14050"/>
    <n v="32155.37"/>
    <n v="14056"/>
    <n v="29475.79"/>
    <n v="2679.5799999999981"/>
    <n v="4210.83"/>
    <n v="54260"/>
    <n v="382.8"/>
    <s v="P"/>
    <m/>
    <n v="65373445"/>
    <m/>
    <s v="Internal"/>
    <s v="A"/>
    <s v="SL"/>
    <m/>
    <s v="WCNX"/>
    <n v="0"/>
    <n v="0"/>
    <m/>
    <m/>
    <m/>
    <m/>
    <m/>
    <m/>
    <m/>
    <m/>
    <m/>
    <m/>
    <m/>
    <m/>
    <m/>
  </r>
  <r>
    <n v="2183"/>
    <n v="123665"/>
    <s v="P"/>
    <s v="64 Gallon Green Refuse Carts and Black Lids"/>
    <n v="180"/>
    <m/>
    <m/>
    <m/>
    <n v="0"/>
    <s v="WASTEQUIP LLC"/>
    <m/>
    <m/>
    <d v="2015-06-23T00:00:00"/>
    <d v="2015-06-23T00:00:00"/>
    <x v="156"/>
    <n v="700"/>
    <n v="14050"/>
    <n v="8569.2000000000007"/>
    <n v="14056"/>
    <n v="7855.1"/>
    <n v="714.10000000000036"/>
    <n v="1122.1600000000001"/>
    <n v="54260"/>
    <n v="102.02"/>
    <s v="P"/>
    <m/>
    <n v="65373477"/>
    <m/>
    <s v="Internal"/>
    <s v="A"/>
    <s v="SL"/>
    <m/>
    <s v="WCNX"/>
    <n v="0"/>
    <n v="0"/>
    <m/>
    <m/>
    <m/>
    <m/>
    <m/>
    <m/>
    <m/>
    <m/>
    <m/>
    <m/>
    <m/>
    <m/>
    <m/>
  </r>
  <r>
    <n v="2183"/>
    <n v="123664"/>
    <s v="P"/>
    <s v="96 Gallon Green Recycle Carts and Blue Lids"/>
    <n v="276"/>
    <m/>
    <m/>
    <m/>
    <n v="0"/>
    <s v="WASTEQUIP LLC"/>
    <m/>
    <m/>
    <d v="2015-06-23T00:00:00"/>
    <d v="2015-06-23T00:00:00"/>
    <x v="156"/>
    <n v="700"/>
    <n v="14050"/>
    <n v="14190.57"/>
    <n v="14056"/>
    <n v="13008.05"/>
    <n v="1182.5200000000004"/>
    <n v="1858.29"/>
    <n v="54260"/>
    <n v="168.93"/>
    <s v="P"/>
    <m/>
    <n v="65373477"/>
    <m/>
    <s v="Internal"/>
    <s v="A"/>
    <s v="SL"/>
    <m/>
    <s v="WCNX"/>
    <n v="0"/>
    <n v="0"/>
    <m/>
    <m/>
    <m/>
    <m/>
    <m/>
    <m/>
    <m/>
    <m/>
    <m/>
    <m/>
    <m/>
    <m/>
    <m/>
  </r>
  <r>
    <n v="2183"/>
    <n v="123663"/>
    <s v="P"/>
    <s v="96 Gallon Green Refuse Carts and Black Lids"/>
    <n v="192"/>
    <m/>
    <m/>
    <m/>
    <n v="0"/>
    <s v="WASTEQUIP LLC"/>
    <m/>
    <m/>
    <d v="2015-06-23T00:00:00"/>
    <d v="2015-06-23T00:00:00"/>
    <x v="156"/>
    <n v="700"/>
    <n v="14050"/>
    <n v="9871.7000000000007"/>
    <n v="14056"/>
    <n v="9049.0400000000009"/>
    <n v="822.65999999999985"/>
    <n v="1292.72"/>
    <n v="54260"/>
    <n v="117.52"/>
    <s v="P"/>
    <m/>
    <n v="65373477"/>
    <m/>
    <s v="Internal"/>
    <s v="A"/>
    <s v="SL"/>
    <m/>
    <s v="WCNX"/>
    <n v="0"/>
    <n v="0"/>
    <m/>
    <m/>
    <m/>
    <m/>
    <m/>
    <m/>
    <m/>
    <m/>
    <m/>
    <m/>
    <m/>
    <m/>
    <m/>
  </r>
  <r>
    <n v="2183"/>
    <n v="123662"/>
    <s v="P"/>
    <s v="35 Gallon Green Refuse Carts and Black Lids"/>
    <n v="840"/>
    <m/>
    <m/>
    <m/>
    <n v="0"/>
    <s v="WASTEQUIP LLC"/>
    <m/>
    <m/>
    <d v="2015-06-23T00:00:00"/>
    <d v="2015-06-23T00:00:00"/>
    <x v="156"/>
    <n v="700"/>
    <n v="14050"/>
    <n v="32103.19"/>
    <n v="14056"/>
    <n v="29427.87"/>
    <n v="2675.3199999999997"/>
    <n v="4203.9799999999996"/>
    <n v="54260"/>
    <n v="382.18"/>
    <s v="P"/>
    <m/>
    <n v="65373767"/>
    <m/>
    <s v="Internal"/>
    <s v="A"/>
    <s v="SL"/>
    <m/>
    <s v="WCNX"/>
    <n v="0"/>
    <n v="0"/>
    <m/>
    <m/>
    <m/>
    <m/>
    <m/>
    <m/>
    <m/>
    <m/>
    <m/>
    <m/>
    <m/>
    <m/>
    <m/>
  </r>
  <r>
    <n v="2183"/>
    <n v="123661"/>
    <s v="P"/>
    <s v="64 Gallon Refuse Carts and Lids"/>
    <n v="648"/>
    <m/>
    <m/>
    <m/>
    <n v="0"/>
    <s v="WASTEQUIP LLC"/>
    <m/>
    <m/>
    <d v="2015-04-10T00:00:00"/>
    <d v="2015-04-10T00:00:00"/>
    <x v="157"/>
    <n v="700"/>
    <n v="14050"/>
    <n v="30802.93"/>
    <n v="14056"/>
    <n v="29336.13"/>
    <n v="1466.7999999999993"/>
    <n v="4033.72"/>
    <n v="54260"/>
    <n v="366.7"/>
    <s v="P"/>
    <m/>
    <n v="65366964"/>
    <m/>
    <s v="Internal"/>
    <s v="A"/>
    <s v="SL"/>
    <m/>
    <s v="WCNX"/>
    <n v="0"/>
    <n v="0"/>
    <m/>
    <m/>
    <m/>
    <m/>
    <m/>
    <m/>
    <m/>
    <m/>
    <m/>
    <m/>
    <m/>
    <m/>
    <m/>
  </r>
  <r>
    <n v="2183"/>
    <n v="123660"/>
    <s v="P"/>
    <s v="96 Gallon Recycle Carts and Lids"/>
    <n v="156"/>
    <m/>
    <m/>
    <m/>
    <n v="0"/>
    <s v="WASTEQUIP LLC"/>
    <m/>
    <m/>
    <d v="2015-04-10T00:00:00"/>
    <d v="2015-04-10T00:00:00"/>
    <x v="157"/>
    <n v="700"/>
    <n v="14050"/>
    <n v="8180.16"/>
    <n v="14056"/>
    <n v="7790.67"/>
    <n v="389.48999999999978"/>
    <n v="1071.22"/>
    <n v="54260"/>
    <n v="97.39"/>
    <s v="P"/>
    <m/>
    <n v="65366964"/>
    <m/>
    <s v="Internal"/>
    <s v="A"/>
    <s v="SL"/>
    <m/>
    <s v="WCNX"/>
    <n v="0"/>
    <n v="0"/>
    <m/>
    <m/>
    <m/>
    <m/>
    <m/>
    <m/>
    <m/>
    <m/>
    <m/>
    <m/>
    <m/>
    <m/>
    <m/>
  </r>
  <r>
    <n v="2183"/>
    <n v="123659"/>
    <s v="P"/>
    <s v="96 Gallon Reycle Carts and Lids"/>
    <n v="624"/>
    <m/>
    <m/>
    <m/>
    <n v="0"/>
    <s v="WASTEQUIP LLC"/>
    <m/>
    <m/>
    <d v="2015-04-08T00:00:00"/>
    <d v="2015-04-08T00:00:00"/>
    <x v="157"/>
    <n v="700"/>
    <n v="14050"/>
    <n v="33250.239999999998"/>
    <n v="14056"/>
    <n v="31666.93"/>
    <n v="1583.3099999999977"/>
    <n v="4354.2"/>
    <n v="54260"/>
    <n v="395.83"/>
    <s v="P"/>
    <m/>
    <n v="65366579"/>
    <m/>
    <s v="Internal"/>
    <s v="A"/>
    <s v="SL"/>
    <m/>
    <s v="WCNX"/>
    <n v="0"/>
    <n v="0"/>
    <m/>
    <m/>
    <m/>
    <m/>
    <m/>
    <m/>
    <m/>
    <m/>
    <m/>
    <m/>
    <m/>
    <m/>
    <m/>
  </r>
  <r>
    <n v="2183"/>
    <n v="122012"/>
    <n v="61125"/>
    <s v="Cap Repair - Transmission"/>
    <m/>
    <m/>
    <m/>
    <m/>
    <n v="0"/>
    <s v="TEC-North American Transa"/>
    <m/>
    <s v="Non Rolling Stock"/>
    <d v="2015-02-24T00:00:00"/>
    <d v="2015-02-24T00:00:00"/>
    <x v="158"/>
    <n v="300"/>
    <n v="14040"/>
    <n v="5574.98"/>
    <n v="14046"/>
    <n v="5574.98"/>
    <n v="0"/>
    <n v="0"/>
    <n v="51260"/>
    <n v="0"/>
    <s v="P"/>
    <m/>
    <n v="144607"/>
    <m/>
    <s v="Internal"/>
    <s v="A"/>
    <s v="SL"/>
    <m/>
    <s v="WCNX"/>
    <n v="0"/>
    <n v="0"/>
    <m/>
    <m/>
    <m/>
    <m/>
    <m/>
    <m/>
    <m/>
    <m/>
    <m/>
    <m/>
    <m/>
    <m/>
    <m/>
  </r>
  <r>
    <n v="2183"/>
    <n v="121103"/>
    <s v="P"/>
    <s v="HP 640 Laptop &amp; Docking Station"/>
    <m/>
    <m/>
    <m/>
    <m/>
    <n v="0"/>
    <s v="CDW"/>
    <m/>
    <m/>
    <d v="2015-03-24T00:00:00"/>
    <d v="2015-03-24T00:00:00"/>
    <x v="159"/>
    <n v="300"/>
    <n v="14110"/>
    <n v="1077.07"/>
    <n v="14116"/>
    <n v="1077.07"/>
    <n v="0"/>
    <n v="0"/>
    <n v="70260"/>
    <n v="0"/>
    <s v="P"/>
    <m/>
    <s v="TJ84708"/>
    <m/>
    <s v="Internal"/>
    <s v="A"/>
    <s v="SL"/>
    <m/>
    <s v="WCNX"/>
    <n v="0"/>
    <n v="0"/>
    <m/>
    <m/>
    <m/>
    <m/>
    <m/>
    <m/>
    <m/>
    <m/>
    <m/>
    <m/>
    <m/>
    <m/>
    <m/>
  </r>
  <r>
    <n v="2183"/>
    <n v="121057"/>
    <s v="P"/>
    <s v="HP 650 Laptop &amp; Docking Station"/>
    <m/>
    <m/>
    <m/>
    <m/>
    <n v="0"/>
    <s v="CDW"/>
    <m/>
    <m/>
    <d v="2015-03-24T00:00:00"/>
    <d v="2015-03-24T00:00:00"/>
    <x v="160"/>
    <n v="300"/>
    <n v="14110"/>
    <n v="1088.46"/>
    <n v="14116"/>
    <n v="1088.46"/>
    <n v="0"/>
    <n v="0"/>
    <n v="70260"/>
    <n v="0"/>
    <s v="P"/>
    <m/>
    <s v="TJ4909"/>
    <m/>
    <s v="Internal"/>
    <s v="A"/>
    <s v="SL"/>
    <m/>
    <s v="WCNX"/>
    <n v="0"/>
    <n v="0"/>
    <m/>
    <m/>
    <m/>
    <m/>
    <m/>
    <m/>
    <m/>
    <m/>
    <m/>
    <m/>
    <m/>
    <m/>
    <m/>
  </r>
  <r>
    <n v="2183"/>
    <n v="121056"/>
    <s v="P"/>
    <s v="(4) HP ProDesk 600G1"/>
    <m/>
    <m/>
    <m/>
    <m/>
    <n v="0"/>
    <s v="CDW"/>
    <m/>
    <m/>
    <d v="2015-03-10T00:00:00"/>
    <d v="2015-03-10T00:00:00"/>
    <x v="161"/>
    <n v="300"/>
    <n v="14110"/>
    <n v="2903.73"/>
    <n v="14116"/>
    <n v="2903.73"/>
    <n v="0"/>
    <n v="0"/>
    <n v="70260"/>
    <n v="0"/>
    <s v="P"/>
    <m/>
    <s v="TB50254"/>
    <m/>
    <s v="Internal"/>
    <s v="A"/>
    <s v="SL"/>
    <m/>
    <s v="WCNX"/>
    <n v="0"/>
    <n v="0"/>
    <m/>
    <m/>
    <m/>
    <m/>
    <m/>
    <m/>
    <m/>
    <m/>
    <m/>
    <m/>
    <m/>
    <m/>
    <m/>
  </r>
  <r>
    <n v="2183"/>
    <n v="121055"/>
    <s v="P"/>
    <s v="Winterm Upgrades (17)"/>
    <m/>
    <m/>
    <m/>
    <m/>
    <n v="0"/>
    <s v="CDW"/>
    <m/>
    <m/>
    <d v="2015-03-10T00:00:00"/>
    <d v="2015-03-10T00:00:00"/>
    <x v="162"/>
    <n v="300"/>
    <n v="14110"/>
    <n v="6120.34"/>
    <n v="14116"/>
    <n v="6120.34"/>
    <n v="0"/>
    <n v="0"/>
    <n v="70260"/>
    <n v="0"/>
    <s v="P"/>
    <m/>
    <s v="TB41289"/>
    <m/>
    <s v="Internal"/>
    <s v="A"/>
    <s v="SL"/>
    <m/>
    <s v="WCNX"/>
    <n v="0"/>
    <n v="0"/>
    <m/>
    <m/>
    <m/>
    <m/>
    <m/>
    <m/>
    <m/>
    <m/>
    <m/>
    <m/>
    <m/>
    <m/>
    <m/>
  </r>
  <r>
    <n v="2183"/>
    <n v="120388"/>
    <s v="P"/>
    <s v="New HP 650 Laptop &amp; Docking Station - Controller"/>
    <m/>
    <m/>
    <m/>
    <m/>
    <n v="0"/>
    <s v="CDW"/>
    <m/>
    <m/>
    <d v="2015-02-06T00:00:00"/>
    <d v="2015-02-06T00:00:00"/>
    <x v="163"/>
    <n v="300"/>
    <n v="14110"/>
    <n v="1090.0999999999999"/>
    <n v="14116"/>
    <n v="1090.0999999999999"/>
    <n v="0"/>
    <n v="0"/>
    <n v="70260"/>
    <n v="0"/>
    <s v="P"/>
    <m/>
    <s v="SK36687"/>
    <m/>
    <s v="Internal"/>
    <s v="A"/>
    <s v="SL"/>
    <m/>
    <s v="WCNX"/>
    <n v="0"/>
    <n v="0"/>
    <m/>
    <m/>
    <m/>
    <m/>
    <m/>
    <m/>
    <m/>
    <m/>
    <m/>
    <m/>
    <m/>
    <m/>
    <m/>
  </r>
  <r>
    <n v="2183"/>
    <n v="120169"/>
    <s v="P"/>
    <s v="35 Gallon Green Refuse Carts and Black Lids"/>
    <n v="1404"/>
    <m/>
    <m/>
    <m/>
    <n v="0"/>
    <s v="TOTER INCORPORATED"/>
    <m/>
    <m/>
    <d v="2015-02-10T00:00:00"/>
    <d v="2015-02-10T00:00:00"/>
    <x v="164"/>
    <n v="700"/>
    <n v="14050"/>
    <n v="55764.93"/>
    <n v="14056"/>
    <n v="54437.2"/>
    <n v="1327.7300000000032"/>
    <n v="7302.55"/>
    <n v="54260"/>
    <n v="663.87"/>
    <s v="P"/>
    <m/>
    <n v="65361807"/>
    <m/>
    <s v="Internal"/>
    <s v="A"/>
    <s v="SL"/>
    <m/>
    <s v="WCNX"/>
    <n v="0"/>
    <n v="0"/>
    <m/>
    <m/>
    <m/>
    <m/>
    <m/>
    <m/>
    <m/>
    <m/>
    <m/>
    <m/>
    <m/>
    <m/>
    <m/>
  </r>
  <r>
    <n v="2183"/>
    <n v="120168"/>
    <s v="P"/>
    <s v="96 Gallon Recycle Carts with Blue Lids"/>
    <n v="624"/>
    <m/>
    <m/>
    <m/>
    <n v="0"/>
    <s v="TOTER INCORPORATED"/>
    <m/>
    <m/>
    <d v="2015-01-30T00:00:00"/>
    <d v="2015-01-30T00:00:00"/>
    <x v="165"/>
    <n v="700"/>
    <n v="14050"/>
    <n v="33703.620000000003"/>
    <n v="14056"/>
    <n v="32901.14"/>
    <n v="802.4800000000032"/>
    <n v="4413.57"/>
    <n v="54260"/>
    <n v="401.24"/>
    <s v="P"/>
    <m/>
    <n v="65361084"/>
    <m/>
    <s v="Internal"/>
    <s v="A"/>
    <s v="SL"/>
    <m/>
    <s v="WCNX"/>
    <n v="0"/>
    <n v="0"/>
    <m/>
    <m/>
    <m/>
    <m/>
    <m/>
    <m/>
    <m/>
    <m/>
    <m/>
    <m/>
    <m/>
    <m/>
    <m/>
  </r>
  <r>
    <n v="2183"/>
    <n v="120167"/>
    <s v="P"/>
    <s v="96 Gallon Refuse Carts with Black Lids"/>
    <n v="360"/>
    <m/>
    <m/>
    <m/>
    <n v="0"/>
    <s v="TOTER INCORPORATED"/>
    <m/>
    <m/>
    <d v="2015-01-31T00:00:00"/>
    <d v="2015-01-31T00:00:00"/>
    <x v="166"/>
    <n v="700"/>
    <n v="14050"/>
    <n v="19252"/>
    <n v="14056"/>
    <n v="18793.650000000001"/>
    <n v="458.34999999999854"/>
    <n v="2521.1"/>
    <n v="54260"/>
    <n v="229.19"/>
    <s v="P"/>
    <m/>
    <n v="65361191"/>
    <m/>
    <s v="Internal"/>
    <s v="A"/>
    <s v="SL"/>
    <m/>
    <s v="WCNX"/>
    <n v="0"/>
    <n v="0"/>
    <m/>
    <m/>
    <m/>
    <m/>
    <m/>
    <m/>
    <m/>
    <m/>
    <m/>
    <m/>
    <m/>
    <m/>
    <m/>
  </r>
  <r>
    <n v="2183"/>
    <n v="120166"/>
    <s v="P"/>
    <s v="65 Gallon Refuse Carts with Black Lids"/>
    <n v="360"/>
    <m/>
    <m/>
    <m/>
    <n v="0"/>
    <s v="TOTER INCORPORATED"/>
    <m/>
    <m/>
    <d v="2015-01-31T00:00:00"/>
    <d v="2015-01-31T00:00:00"/>
    <x v="167"/>
    <n v="700"/>
    <n v="14050"/>
    <n v="17686.53"/>
    <n v="14056"/>
    <n v="17265.439999999999"/>
    <n v="421.09000000000015"/>
    <n v="2316.1"/>
    <n v="54260"/>
    <n v="210.56"/>
    <s v="P"/>
    <m/>
    <n v="65361191"/>
    <m/>
    <s v="Internal"/>
    <s v="A"/>
    <s v="SL"/>
    <m/>
    <s v="WCNX"/>
    <n v="0"/>
    <n v="0"/>
    <m/>
    <m/>
    <m/>
    <m/>
    <m/>
    <m/>
    <m/>
    <m/>
    <m/>
    <m/>
    <m/>
    <m/>
    <m/>
  </r>
  <r>
    <n v="2183"/>
    <n v="118761"/>
    <m/>
    <s v="MIller Dimension 652 Carbon Arc Welder"/>
    <m/>
    <m/>
    <m/>
    <m/>
    <n v="0"/>
    <s v="PACIFIC WELDING"/>
    <m/>
    <m/>
    <d v="2014-12-29T00:00:00"/>
    <d v="2014-12-29T00:00:00"/>
    <x v="168"/>
    <n v="500"/>
    <n v="14070"/>
    <n v="7879.66"/>
    <n v="14076"/>
    <n v="7879.66"/>
    <n v="0"/>
    <n v="0"/>
    <n v="51260"/>
    <n v="0"/>
    <s v="P"/>
    <m/>
    <n v="1260140"/>
    <m/>
    <s v="Internal"/>
    <s v="A"/>
    <s v="SL"/>
    <m/>
    <s v="WCNX"/>
    <n v="0"/>
    <n v="0"/>
    <m/>
    <m/>
    <m/>
    <m/>
    <m/>
    <m/>
    <m/>
    <m/>
    <m/>
    <m/>
    <m/>
    <m/>
    <m/>
  </r>
  <r>
    <n v="2183"/>
    <n v="118758"/>
    <n v="118138"/>
    <s v="Capitalized Labor for (72) RO Winch Replacements"/>
    <n v="0"/>
    <m/>
    <m/>
    <m/>
    <n v="0"/>
    <s v="Internal"/>
    <m/>
    <m/>
    <d v="2014-12-31T00:00:00"/>
    <d v="2014-12-31T00:00:00"/>
    <x v="169"/>
    <n v="500"/>
    <n v="14050"/>
    <n v="51081.75"/>
    <n v="14056"/>
    <n v="51081.75"/>
    <n v="0"/>
    <n v="0"/>
    <n v="54260"/>
    <n v="0"/>
    <s v="P"/>
    <m/>
    <d v="2014-12-30T00:00:00"/>
    <m/>
    <s v="Internal"/>
    <s v="A"/>
    <s v="SL"/>
    <m/>
    <s v="WCNX"/>
    <n v="0"/>
    <n v="0"/>
    <m/>
    <m/>
    <m/>
    <m/>
    <m/>
    <m/>
    <m/>
    <m/>
    <m/>
    <m/>
    <m/>
    <m/>
    <m/>
  </r>
  <r>
    <n v="2183"/>
    <n v="118278"/>
    <s v="P"/>
    <s v="Electrical Upgrades for Miller Carbon Arc Welder"/>
    <m/>
    <m/>
    <m/>
    <m/>
    <n v="0"/>
    <s v="SARE ELECTRIC INC"/>
    <m/>
    <m/>
    <d v="2014-12-29T00:00:00"/>
    <d v="2014-12-29T00:00:00"/>
    <x v="170"/>
    <n v="1000"/>
    <n v="14080"/>
    <n v="2760.98"/>
    <n v="14086"/>
    <n v="1909.69"/>
    <n v="851.29"/>
    <n v="253.09"/>
    <n v="57260"/>
    <n v="23.01"/>
    <s v="P"/>
    <m/>
    <s v="8007-1"/>
    <m/>
    <s v="Internal"/>
    <s v="A"/>
    <s v="SL"/>
    <m/>
    <s v="WCNX"/>
    <n v="0"/>
    <n v="0"/>
    <m/>
    <m/>
    <m/>
    <m/>
    <m/>
    <m/>
    <m/>
    <m/>
    <m/>
    <m/>
    <m/>
    <m/>
    <m/>
  </r>
  <r>
    <n v="2183"/>
    <n v="118138"/>
    <s v="P"/>
    <s v="R/O Winch Upgrades"/>
    <n v="0"/>
    <m/>
    <m/>
    <m/>
    <n v="0"/>
    <m/>
    <m/>
    <m/>
    <d v="2014-12-31T00:00:00"/>
    <d v="2014-12-31T00:00:00"/>
    <x v="169"/>
    <n v="500"/>
    <n v="14050"/>
    <n v="23609.1"/>
    <n v="14056"/>
    <n v="23609.1"/>
    <n v="0"/>
    <n v="0"/>
    <n v="54260"/>
    <n v="0"/>
    <s v="P"/>
    <m/>
    <m/>
    <m/>
    <s v="Internal"/>
    <s v="A"/>
    <s v="SL"/>
    <m/>
    <s v="WCNX"/>
    <n v="0"/>
    <n v="0"/>
    <m/>
    <m/>
    <m/>
    <m/>
    <m/>
    <m/>
    <m/>
    <m/>
    <m/>
    <m/>
    <m/>
    <m/>
    <m/>
  </r>
  <r>
    <n v="2183"/>
    <n v="117322"/>
    <s v="P"/>
    <s v="2015 ASL Truck"/>
    <n v="0"/>
    <m/>
    <s v="3BPZL70X7FF273659"/>
    <m/>
    <n v="2015"/>
    <s v=" Peterbilt "/>
    <s v=" Wayne "/>
    <s v="Automated Sideload"/>
    <d v="2014-11-30T00:00:00"/>
    <d v="2014-11-30T00:00:00"/>
    <x v="171"/>
    <n v="1000"/>
    <n v="14040"/>
    <n v="330302.59000000003"/>
    <n v="14046"/>
    <n v="231211.82"/>
    <n v="99090.770000000019"/>
    <n v="30277.74"/>
    <n v="51260"/>
    <n v="2752.52"/>
    <s v="P"/>
    <m/>
    <m/>
    <n v="3640"/>
    <s v="Internal"/>
    <s v="A"/>
    <s v="SL"/>
    <m/>
    <s v="WCNX"/>
    <n v="0"/>
    <n v="0"/>
    <m/>
    <m/>
    <m/>
    <m/>
    <m/>
    <m/>
    <m/>
    <m/>
    <m/>
    <m/>
    <m/>
    <m/>
    <m/>
  </r>
  <r>
    <n v="2183"/>
    <n v="117321"/>
    <s v="P"/>
    <s v="2015 ASL Truck"/>
    <n v="0"/>
    <m/>
    <s v="3BPZL70X9FF265742"/>
    <m/>
    <n v="2015"/>
    <s v=" Peterbilt "/>
    <s v=" Wayne "/>
    <s v="Automated Sideload"/>
    <d v="2014-11-30T00:00:00"/>
    <d v="2014-11-30T00:00:00"/>
    <x v="172"/>
    <n v="1000"/>
    <n v="14040"/>
    <n v="330416.48"/>
    <n v="14046"/>
    <n v="231291.55"/>
    <n v="99124.93"/>
    <n v="30288.18"/>
    <n v="51260"/>
    <n v="2753.47"/>
    <s v="P"/>
    <m/>
    <m/>
    <n v="3639"/>
    <s v="Internal"/>
    <s v="A"/>
    <s v="SL"/>
    <m/>
    <s v="WCNX"/>
    <n v="0"/>
    <n v="0"/>
    <m/>
    <m/>
    <m/>
    <m/>
    <m/>
    <m/>
    <m/>
    <m/>
    <m/>
    <m/>
    <m/>
    <m/>
    <m/>
  </r>
  <r>
    <n v="2183"/>
    <n v="117226"/>
    <s v="P"/>
    <s v="3 Yd FEL Container"/>
    <n v="8"/>
    <m/>
    <m/>
    <m/>
    <n v="0"/>
    <s v="CAPITAL INDUSTRIES INC"/>
    <m/>
    <s v="3 YD FEL/REL/SL Metal"/>
    <d v="2014-11-01T00:00:00"/>
    <d v="2014-11-01T00:00:00"/>
    <x v="173"/>
    <n v="1200"/>
    <n v="14050"/>
    <n v="4869.76"/>
    <n v="14056"/>
    <n v="2874.53"/>
    <n v="1995.23"/>
    <n v="371.99"/>
    <n v="54260"/>
    <n v="33.81"/>
    <s v="P"/>
    <m/>
    <n v="100920"/>
    <m/>
    <s v="Internal"/>
    <s v="A"/>
    <s v="SL"/>
    <m/>
    <s v="WCNX"/>
    <n v="2"/>
    <n v="0"/>
    <m/>
    <m/>
    <m/>
    <m/>
    <m/>
    <m/>
    <m/>
    <m/>
    <m/>
    <m/>
    <m/>
    <m/>
    <m/>
  </r>
  <r>
    <n v="2183"/>
    <n v="117225"/>
    <s v="P"/>
    <s v="6Yd FEL Containers"/>
    <n v="10"/>
    <m/>
    <m/>
    <m/>
    <n v="0"/>
    <s v="CAPITAL INDUSTRIES INC"/>
    <m/>
    <m/>
    <d v="2014-11-01T00:00:00"/>
    <d v="2014-11-01T00:00:00"/>
    <x v="174"/>
    <n v="1200"/>
    <n v="14050"/>
    <n v="8098.15"/>
    <n v="14056"/>
    <n v="4780.1899999999996"/>
    <n v="3317.96"/>
    <n v="618.61"/>
    <n v="54260"/>
    <n v="56.23"/>
    <s v="P"/>
    <m/>
    <n v="100922"/>
    <m/>
    <s v="Internal"/>
    <s v="A"/>
    <s v="SL"/>
    <m/>
    <s v="WCNX"/>
    <n v="0"/>
    <n v="0"/>
    <m/>
    <m/>
    <m/>
    <m/>
    <m/>
    <m/>
    <m/>
    <m/>
    <m/>
    <m/>
    <m/>
    <m/>
    <m/>
  </r>
  <r>
    <n v="2183"/>
    <n v="117224"/>
    <s v="P"/>
    <s v="4Yd FEL Containers"/>
    <n v="5"/>
    <m/>
    <m/>
    <m/>
    <n v="0"/>
    <s v="CAPITAL INDUSTRIES INC"/>
    <m/>
    <s v="4 YD FEL/REL/SL Metal"/>
    <d v="2014-11-01T00:00:00"/>
    <d v="2014-11-01T00:00:00"/>
    <x v="174"/>
    <n v="1200"/>
    <n v="14050"/>
    <n v="3206.65"/>
    <n v="14056"/>
    <n v="1892.81"/>
    <n v="1313.8400000000001"/>
    <n v="244.95"/>
    <n v="54260"/>
    <n v="22.27"/>
    <s v="P"/>
    <m/>
    <n v="100921"/>
    <m/>
    <s v="Internal"/>
    <s v="A"/>
    <s v="SL"/>
    <m/>
    <s v="WCNX"/>
    <n v="0"/>
    <n v="0"/>
    <m/>
    <m/>
    <m/>
    <m/>
    <m/>
    <m/>
    <m/>
    <m/>
    <m/>
    <m/>
    <m/>
    <m/>
    <m/>
  </r>
  <r>
    <n v="2183"/>
    <n v="117223"/>
    <s v="P"/>
    <s v="2Yd FEL Container"/>
    <n v="15"/>
    <m/>
    <m/>
    <m/>
    <n v="0"/>
    <s v="CAPITAL INDUSTRIES INC"/>
    <m/>
    <s v="2 YD FEL/REL/SL Metal"/>
    <d v="2014-11-01T00:00:00"/>
    <d v="2014-11-01T00:00:00"/>
    <x v="174"/>
    <n v="1200"/>
    <n v="14050"/>
    <n v="7907.93"/>
    <n v="14056"/>
    <n v="4667.91"/>
    <n v="3240.0200000000004"/>
    <n v="604.08000000000004"/>
    <n v="54260"/>
    <n v="54.91"/>
    <s v="P"/>
    <m/>
    <n v="100919"/>
    <m/>
    <s v="Internal"/>
    <s v="A"/>
    <s v="SL"/>
    <m/>
    <s v="WCNX"/>
    <n v="0"/>
    <n v="0"/>
    <m/>
    <m/>
    <m/>
    <m/>
    <m/>
    <m/>
    <m/>
    <m/>
    <m/>
    <m/>
    <m/>
    <m/>
    <m/>
  </r>
  <r>
    <n v="2183"/>
    <n v="117220"/>
    <n v="114271"/>
    <s v="Improvement - Auto Tarper"/>
    <m/>
    <m/>
    <m/>
    <m/>
    <n v="0"/>
    <s v="SOLID WASTE SYSTEMS"/>
    <m/>
    <s v="Non Rolling Stock"/>
    <d v="2014-11-01T00:00:00"/>
    <d v="2014-11-01T00:00:00"/>
    <x v="175"/>
    <n v="300"/>
    <n v="14040"/>
    <n v="7331.82"/>
    <n v="14046"/>
    <n v="7331.82"/>
    <n v="0"/>
    <n v="0"/>
    <n v="51260"/>
    <n v="0"/>
    <s v="P"/>
    <m/>
    <s v="0073417in"/>
    <m/>
    <s v="Internal"/>
    <s v="A"/>
    <s v="SL"/>
    <m/>
    <s v="WCNX"/>
    <n v="0"/>
    <n v="0"/>
    <m/>
    <m/>
    <m/>
    <m/>
    <m/>
    <m/>
    <m/>
    <m/>
    <m/>
    <m/>
    <m/>
    <m/>
    <m/>
  </r>
  <r>
    <n v="2183"/>
    <n v="116682"/>
    <s v="P"/>
    <s v="35 Gallon Refuse Carts"/>
    <n v="480"/>
    <m/>
    <m/>
    <m/>
    <n v="0"/>
    <s v="TOTER INCORPORATED"/>
    <m/>
    <m/>
    <d v="2014-10-10T00:00:00"/>
    <d v="2014-10-10T00:00:00"/>
    <x v="176"/>
    <n v="700"/>
    <n v="14050"/>
    <n v="20039.759999999998"/>
    <n v="14056"/>
    <n v="20039.759999999998"/>
    <n v="0"/>
    <n v="2147.13"/>
    <n v="54260"/>
    <n v="0"/>
    <s v="P"/>
    <m/>
    <s v="KB 65353882"/>
    <m/>
    <s v="Internal"/>
    <s v="A"/>
    <s v="SL"/>
    <m/>
    <s v="WCNX"/>
    <n v="0"/>
    <n v="0"/>
    <m/>
    <m/>
    <m/>
    <m/>
    <m/>
    <m/>
    <m/>
    <m/>
    <m/>
    <m/>
    <m/>
    <m/>
    <m/>
  </r>
  <r>
    <n v="2183"/>
    <n v="116681"/>
    <s v="P"/>
    <s v="96 Gallon Yardwaste Carts"/>
    <n v="312"/>
    <m/>
    <m/>
    <m/>
    <n v="0"/>
    <s v="TOTER INCORPORATED"/>
    <m/>
    <m/>
    <d v="2014-10-10T00:00:00"/>
    <d v="2014-10-10T00:00:00"/>
    <x v="176"/>
    <n v="700"/>
    <n v="14050"/>
    <n v="17502.7"/>
    <n v="14056"/>
    <n v="17502.7"/>
    <n v="0"/>
    <n v="1875.26"/>
    <n v="54260"/>
    <n v="0"/>
    <s v="P"/>
    <m/>
    <s v="KB 65353882"/>
    <m/>
    <s v="Internal"/>
    <s v="A"/>
    <s v="SL"/>
    <m/>
    <s v="WCNX"/>
    <n v="0"/>
    <n v="0"/>
    <m/>
    <m/>
    <m/>
    <m/>
    <m/>
    <m/>
    <m/>
    <m/>
    <m/>
    <m/>
    <m/>
    <m/>
    <m/>
  </r>
  <r>
    <n v="2183"/>
    <n v="116680"/>
    <s v="P"/>
    <s v="1 Yd REL Containers"/>
    <n v="15"/>
    <m/>
    <m/>
    <m/>
    <n v="0"/>
    <s v="CAPITAL INDUSTRIES, INC."/>
    <m/>
    <s v="1 YD FEL/REL/SL Metal"/>
    <d v="2014-10-31T00:00:00"/>
    <d v="2014-10-31T00:00:00"/>
    <x v="173"/>
    <n v="1200"/>
    <n v="14050"/>
    <n v="6799.19"/>
    <n v="14056"/>
    <n v="4013.41"/>
    <n v="2785.7799999999997"/>
    <n v="519.38"/>
    <n v="54260"/>
    <n v="47.21"/>
    <s v="P"/>
    <m/>
    <n v="99998"/>
    <m/>
    <s v="Internal"/>
    <s v="A"/>
    <s v="SL"/>
    <m/>
    <s v="WCNX"/>
    <n v="0"/>
    <n v="0"/>
    <m/>
    <m/>
    <m/>
    <m/>
    <m/>
    <m/>
    <m/>
    <m/>
    <m/>
    <m/>
    <m/>
    <m/>
    <m/>
  </r>
  <r>
    <n v="2183"/>
    <n v="116679"/>
    <s v="P"/>
    <s v="2 Yd REL Containers"/>
    <n v="20"/>
    <m/>
    <m/>
    <m/>
    <n v="0"/>
    <s v="CAPITAL INDUSTRIES, INC."/>
    <m/>
    <s v="2 YD FEL/REL/SL Metal"/>
    <d v="2014-10-31T00:00:00"/>
    <d v="2014-10-31T00:00:00"/>
    <x v="173"/>
    <n v="1200"/>
    <n v="14050"/>
    <n v="10761.3"/>
    <n v="14056"/>
    <n v="6352.19"/>
    <n v="4409.1099999999997"/>
    <n v="822.05"/>
    <n v="54260"/>
    <n v="74.73"/>
    <s v="P"/>
    <m/>
    <n v="99987"/>
    <m/>
    <s v="Internal"/>
    <s v="A"/>
    <s v="SL"/>
    <m/>
    <s v="WCNX"/>
    <n v="0"/>
    <n v="0"/>
    <m/>
    <m/>
    <m/>
    <m/>
    <m/>
    <m/>
    <m/>
    <m/>
    <m/>
    <m/>
    <m/>
    <m/>
    <m/>
  </r>
  <r>
    <n v="2183"/>
    <n v="116678"/>
    <s v="P"/>
    <s v="1.5 Yd REL Containers"/>
    <n v="15"/>
    <m/>
    <m/>
    <m/>
    <n v="0"/>
    <s v="CAPITAL INDUSTRIES, INC."/>
    <m/>
    <s v="1.5 YD FEL/REL/SL Metal"/>
    <d v="2014-10-31T00:00:00"/>
    <d v="2014-10-31T00:00:00"/>
    <x v="173"/>
    <n v="1200"/>
    <n v="14050"/>
    <n v="7272.03"/>
    <n v="14056"/>
    <n v="4292.5"/>
    <n v="2979.5299999999997"/>
    <n v="555.5"/>
    <n v="54260"/>
    <n v="50.5"/>
    <s v="P"/>
    <m/>
    <n v="99971"/>
    <m/>
    <s v="Internal"/>
    <s v="A"/>
    <s v="SL"/>
    <m/>
    <s v="WCNX"/>
    <n v="0"/>
    <n v="0"/>
    <m/>
    <m/>
    <m/>
    <m/>
    <m/>
    <m/>
    <m/>
    <m/>
    <m/>
    <m/>
    <m/>
    <m/>
    <m/>
  </r>
  <r>
    <n v="2183"/>
    <n v="116108"/>
    <s v="P"/>
    <s v="Panasonic Toughbook 53/Diagnostic Link"/>
    <m/>
    <m/>
    <m/>
    <m/>
    <n v="0"/>
    <s v="CDW"/>
    <m/>
    <m/>
    <d v="2014-08-01T00:00:00"/>
    <d v="2014-08-01T00:00:00"/>
    <x v="177"/>
    <n v="200"/>
    <n v="14110"/>
    <n v="1817.83"/>
    <n v="14116"/>
    <n v="1817.83"/>
    <n v="0"/>
    <n v="0"/>
    <n v="70260"/>
    <n v="0"/>
    <s v="P"/>
    <m/>
    <s v="MW59296"/>
    <m/>
    <s v="Internal"/>
    <s v="A"/>
    <s v="SL"/>
    <m/>
    <s v="WCNX"/>
    <n v="0"/>
    <n v="0"/>
    <m/>
    <m/>
    <m/>
    <m/>
    <m/>
    <m/>
    <m/>
    <m/>
    <m/>
    <m/>
    <m/>
    <m/>
    <m/>
  </r>
  <r>
    <n v="2183"/>
    <n v="115427"/>
    <s v="P"/>
    <s v="Trucks Diagnostic Reader and Service Manual DVD"/>
    <m/>
    <m/>
    <m/>
    <m/>
    <n v="0"/>
    <s v="Tec Equipment"/>
    <m/>
    <m/>
    <d v="2014-08-07T00:00:00"/>
    <d v="2014-08-07T00:00:00"/>
    <x v="178"/>
    <n v="300"/>
    <n v="14110"/>
    <n v="3198.54"/>
    <n v="14116"/>
    <n v="3198.54"/>
    <n v="0"/>
    <n v="0"/>
    <n v="70260"/>
    <n v="0"/>
    <s v="P"/>
    <m/>
    <s v="136131s"/>
    <m/>
    <s v="Internal"/>
    <s v="A"/>
    <s v="SL"/>
    <m/>
    <s v="WCNX"/>
    <n v="0"/>
    <n v="0"/>
    <m/>
    <m/>
    <m/>
    <m/>
    <m/>
    <m/>
    <m/>
    <m/>
    <m/>
    <m/>
    <m/>
    <m/>
    <m/>
  </r>
  <r>
    <n v="2183"/>
    <n v="115104"/>
    <s v="P"/>
    <s v="64 Gallon Refuse Carts"/>
    <n v="637"/>
    <m/>
    <m/>
    <m/>
    <n v="0"/>
    <s v="TOTER INCORPORATED"/>
    <m/>
    <m/>
    <d v="2014-07-18T00:00:00"/>
    <d v="2014-07-18T00:00:00"/>
    <x v="179"/>
    <n v="700"/>
    <n v="14050"/>
    <n v="33464.61"/>
    <n v="14056"/>
    <n v="33464.61"/>
    <n v="0"/>
    <n v="2788.71"/>
    <n v="54260"/>
    <n v="0"/>
    <s v="P"/>
    <m/>
    <s v="KB 65347624"/>
    <m/>
    <s v="Internal"/>
    <s v="A"/>
    <s v="SL"/>
    <m/>
    <s v="WCNX"/>
    <n v="0"/>
    <n v="0"/>
    <m/>
    <m/>
    <m/>
    <m/>
    <m/>
    <m/>
    <m/>
    <m/>
    <m/>
    <m/>
    <m/>
    <m/>
    <m/>
  </r>
  <r>
    <n v="2183"/>
    <n v="115103"/>
    <s v="P"/>
    <s v="96 Gallon Refuse Carts"/>
    <n v="504"/>
    <m/>
    <m/>
    <m/>
    <n v="0"/>
    <s v="TOTER INCORPORATED"/>
    <m/>
    <m/>
    <d v="2014-07-18T00:00:00"/>
    <d v="2014-07-18T00:00:00"/>
    <x v="179"/>
    <n v="700"/>
    <n v="14050"/>
    <n v="29260.560000000001"/>
    <n v="14056"/>
    <n v="29260.560000000001"/>
    <n v="0"/>
    <n v="2438.38"/>
    <n v="54260"/>
    <n v="0"/>
    <s v="P"/>
    <m/>
    <s v="KB 65347727"/>
    <m/>
    <s v="Internal"/>
    <s v="A"/>
    <s v="SL"/>
    <m/>
    <s v="WCNX"/>
    <n v="0"/>
    <n v="0"/>
    <m/>
    <m/>
    <m/>
    <m/>
    <m/>
    <m/>
    <m/>
    <m/>
    <m/>
    <m/>
    <m/>
    <m/>
    <m/>
  </r>
  <r>
    <n v="2183"/>
    <n v="115102"/>
    <s v="P"/>
    <s v="96 Gallon Recycle Carts"/>
    <n v="624"/>
    <m/>
    <m/>
    <m/>
    <n v="0"/>
    <s v="TOTER INCORPORATED"/>
    <m/>
    <m/>
    <d v="2014-07-18T00:00:00"/>
    <d v="2014-07-18T00:00:00"/>
    <x v="179"/>
    <n v="700"/>
    <n v="14050"/>
    <n v="36227.360000000001"/>
    <n v="14056"/>
    <n v="36227.360000000001"/>
    <n v="0"/>
    <n v="3018.93"/>
    <n v="54260"/>
    <n v="0"/>
    <s v="P"/>
    <m/>
    <s v="KB 65347728"/>
    <m/>
    <s v="Internal"/>
    <s v="A"/>
    <s v="SL"/>
    <m/>
    <s v="WCNX"/>
    <n v="0"/>
    <n v="0"/>
    <m/>
    <m/>
    <m/>
    <m/>
    <m/>
    <m/>
    <m/>
    <m/>
    <m/>
    <m/>
    <m/>
    <m/>
    <m/>
  </r>
  <r>
    <n v="2183"/>
    <n v="114309"/>
    <s v="P"/>
    <s v="(12)  Digital radios and antennas"/>
    <n v="0"/>
    <m/>
    <m/>
    <m/>
    <n v="0"/>
    <s v="WHISLER COMMUNICATIONS"/>
    <m/>
    <m/>
    <d v="2013-07-10T00:00:00"/>
    <d v="2013-07-10T00:00:00"/>
    <x v="180"/>
    <n v="500"/>
    <n v="14070"/>
    <n v="6839.73"/>
    <n v="14076"/>
    <n v="6839.73"/>
    <n v="0"/>
    <n v="0"/>
    <n v="51260"/>
    <n v="0"/>
    <s v="P"/>
    <m/>
    <n v="8330"/>
    <m/>
    <s v="Internal"/>
    <s v="A"/>
    <s v="SL"/>
    <d v="2014-06-30T00:00:00"/>
    <s v="WCNX"/>
    <n v="0"/>
    <n v="1367.95"/>
    <m/>
    <m/>
    <m/>
    <m/>
    <m/>
    <m/>
    <m/>
    <m/>
    <m/>
    <m/>
    <m/>
    <m/>
    <m/>
  </r>
  <r>
    <n v="2183"/>
    <n v="114308"/>
    <n v="114306"/>
    <s v="Rear Load Camera Truck #3"/>
    <n v="0"/>
    <m/>
    <m/>
    <m/>
    <n v="0"/>
    <m/>
    <m/>
    <s v="Non-Rolling Stock"/>
    <d v="2008-07-10T00:00:00"/>
    <d v="2008-07-10T00:00:00"/>
    <x v="181"/>
    <n v="300"/>
    <n v="14040"/>
    <n v="520"/>
    <n v="14046"/>
    <n v="520"/>
    <n v="0"/>
    <n v="0"/>
    <n v="51260"/>
    <n v="0"/>
    <s v="P"/>
    <m/>
    <n v="269032"/>
    <m/>
    <s v="Internal"/>
    <s v="A"/>
    <s v="SL"/>
    <d v="2014-06-30T00:00:00"/>
    <s v="WCNX"/>
    <n v="0"/>
    <n v="520"/>
    <m/>
    <m/>
    <m/>
    <m/>
    <m/>
    <m/>
    <m/>
    <m/>
    <m/>
    <m/>
    <m/>
    <m/>
    <m/>
  </r>
  <r>
    <n v="2183"/>
    <n v="114307"/>
    <n v="114306"/>
    <s v="(2) Radios"/>
    <n v="0"/>
    <m/>
    <m/>
    <m/>
    <n v="0"/>
    <m/>
    <m/>
    <s v="Non-Rolling Stock"/>
    <d v="2003-06-01T00:00:00"/>
    <d v="2003-06-01T00:00:00"/>
    <x v="182"/>
    <n v="500"/>
    <n v="14040"/>
    <n v="1403.57"/>
    <n v="14046"/>
    <n v="1403.57"/>
    <n v="0"/>
    <n v="0"/>
    <n v="51260"/>
    <n v="0"/>
    <s v="P"/>
    <m/>
    <n v="3548"/>
    <n v="25"/>
    <s v="Internal"/>
    <s v="A"/>
    <s v="SL"/>
    <d v="2014-06-30T00:00:00"/>
    <s v="WCNX"/>
    <n v="0"/>
    <n v="1403.57"/>
    <m/>
    <m/>
    <m/>
    <m/>
    <m/>
    <m/>
    <m/>
    <m/>
    <m/>
    <m/>
    <m/>
    <m/>
    <m/>
  </r>
  <r>
    <n v="2183"/>
    <n v="114306"/>
    <s v="P"/>
    <s v="2003 INTL 7400 20 Yd Rearload"/>
    <n v="0"/>
    <m/>
    <s v="1HTWCAAN33J072538"/>
    <m/>
    <n v="2003"/>
    <s v="International"/>
    <s v="Heil"/>
    <s v="REL Truck"/>
    <d v="2003-05-08T00:00:00"/>
    <d v="2003-05-08T00:00:00"/>
    <x v="183"/>
    <n v="1000"/>
    <n v="14040"/>
    <n v="98919.95"/>
    <n v="14046"/>
    <n v="98919.95"/>
    <n v="0"/>
    <n v="0"/>
    <n v="51260"/>
    <n v="0"/>
    <s v="P"/>
    <m/>
    <m/>
    <n v="1038"/>
    <s v="Internal"/>
    <s v="A"/>
    <s v="SL"/>
    <d v="2014-06-30T00:00:00"/>
    <s v="WCNX"/>
    <n v="0"/>
    <n v="98919.95"/>
    <m/>
    <m/>
    <m/>
    <m/>
    <m/>
    <m/>
    <m/>
    <m/>
    <m/>
    <m/>
    <m/>
    <m/>
    <m/>
  </r>
  <r>
    <n v="2183"/>
    <n v="114305"/>
    <s v="P"/>
    <s v="Sony Internet TV (SN = 3S18264700B1CC0904071)"/>
    <n v="0"/>
    <m/>
    <m/>
    <m/>
    <n v="0"/>
    <s v="cdw"/>
    <m/>
    <m/>
    <d v="2012-01-25T00:00:00"/>
    <d v="2012-01-25T00:00:00"/>
    <x v="184"/>
    <n v="500"/>
    <n v="14110"/>
    <n v="561.34"/>
    <n v="14116"/>
    <n v="561.34"/>
    <n v="0"/>
    <n v="0"/>
    <n v="70260"/>
    <n v="0"/>
    <s v="P"/>
    <m/>
    <s v="D506795"/>
    <m/>
    <s v="Internal"/>
    <s v="A"/>
    <s v="SL"/>
    <d v="2014-06-30T00:00:00"/>
    <s v="WCNX"/>
    <n v="0"/>
    <n v="271.32"/>
    <m/>
    <m/>
    <m/>
    <m/>
    <m/>
    <m/>
    <m/>
    <m/>
    <m/>
    <m/>
    <m/>
    <m/>
    <m/>
  </r>
  <r>
    <n v="2183"/>
    <n v="114304"/>
    <s v="P"/>
    <s v="(19) Mounted Radios &amp; (1) Handheld"/>
    <n v="0"/>
    <m/>
    <m/>
    <m/>
    <n v="0"/>
    <m/>
    <m/>
    <m/>
    <d v="2011-12-01T00:00:00"/>
    <d v="2011-12-01T00:00:00"/>
    <x v="185"/>
    <n v="500"/>
    <n v="14070"/>
    <n v="9520.6"/>
    <n v="14076"/>
    <n v="9520.6"/>
    <n v="0"/>
    <n v="0"/>
    <n v="51260"/>
    <n v="0"/>
    <s v="P"/>
    <m/>
    <s v="10-4013929"/>
    <m/>
    <s v="Internal"/>
    <s v="A"/>
    <s v="SL"/>
    <d v="2014-06-30T00:00:00"/>
    <s v="WCNX"/>
    <n v="0"/>
    <n v="4918.9799999999996"/>
    <m/>
    <m/>
    <m/>
    <m/>
    <m/>
    <m/>
    <m/>
    <m/>
    <m/>
    <m/>
    <m/>
    <m/>
    <m/>
  </r>
  <r>
    <n v="2183"/>
    <n v="114303"/>
    <s v="P"/>
    <s v="1997 Type H Rear REL"/>
    <n v="0"/>
    <m/>
    <s v="4V52AEFD6VR476396"/>
    <m/>
    <n v="1997"/>
    <s v="Volvo"/>
    <s v="McNeilus"/>
    <s v="REL Truck"/>
    <d v="2008-11-03T00:00:00"/>
    <d v="2008-11-03T00:00:00"/>
    <x v="19"/>
    <n v="300"/>
    <n v="14040"/>
    <n v="5500"/>
    <n v="14046"/>
    <n v="5500"/>
    <n v="0"/>
    <n v="0"/>
    <n v="51260"/>
    <n v="0"/>
    <s v="A"/>
    <s v="LeMay Enterprises"/>
    <m/>
    <n v="1014"/>
    <s v="Internal"/>
    <s v="A"/>
    <s v="SL"/>
    <d v="2014-06-30T00:00:00"/>
    <s v="WCNX"/>
    <n v="0"/>
    <n v="5500"/>
    <m/>
    <m/>
    <m/>
    <m/>
    <m/>
    <m/>
    <m/>
    <m/>
    <m/>
    <m/>
    <m/>
    <m/>
    <m/>
  </r>
  <r>
    <n v="2183"/>
    <n v="114302"/>
    <s v="P"/>
    <s v="95 Gallon Carts - Forest Green"/>
    <n v="134"/>
    <m/>
    <m/>
    <m/>
    <n v="0"/>
    <s v="REHRIG PACIFIC COMPANY"/>
    <m/>
    <m/>
    <d v="2011-07-26T00:00:00"/>
    <d v="2011-07-26T00:00:00"/>
    <x v="186"/>
    <n v="700"/>
    <n v="14050"/>
    <n v="7370.3"/>
    <n v="14056"/>
    <n v="7370.3"/>
    <n v="0"/>
    <n v="0"/>
    <n v="54260"/>
    <n v="0"/>
    <s v="P"/>
    <m/>
    <s v="LA164849"/>
    <m/>
    <s v="Internal"/>
    <s v="A"/>
    <s v="SL"/>
    <d v="2014-06-30T00:00:00"/>
    <s v="WCNX"/>
    <n v="0"/>
    <n v="3070.96"/>
    <m/>
    <m/>
    <m/>
    <m/>
    <m/>
    <m/>
    <m/>
    <m/>
    <m/>
    <m/>
    <m/>
    <m/>
    <m/>
  </r>
  <r>
    <n v="2183"/>
    <n v="114301"/>
    <s v="P"/>
    <s v="95 Gallon Carts - Dark Blue"/>
    <n v="55"/>
    <m/>
    <m/>
    <m/>
    <n v="0"/>
    <s v="REHRIG PACIFIC COMPANY"/>
    <m/>
    <m/>
    <d v="2011-07-26T00:00:00"/>
    <d v="2011-07-26T00:00:00"/>
    <x v="186"/>
    <n v="700"/>
    <n v="14050"/>
    <n v="3921.9"/>
    <n v="14056"/>
    <n v="3921.9"/>
    <n v="0"/>
    <n v="0"/>
    <n v="54260"/>
    <n v="0"/>
    <s v="P"/>
    <m/>
    <s v="LA164670"/>
    <m/>
    <s v="Internal"/>
    <s v="A"/>
    <s v="SL"/>
    <d v="2014-06-30T00:00:00"/>
    <s v="WCNX"/>
    <n v="0"/>
    <n v="1634.13"/>
    <m/>
    <m/>
    <m/>
    <m/>
    <m/>
    <m/>
    <m/>
    <m/>
    <m/>
    <m/>
    <m/>
    <m/>
    <m/>
  </r>
  <r>
    <n v="2183"/>
    <n v="114300"/>
    <s v="P"/>
    <s v="65 Gallon Carts - Forest Green"/>
    <n v="178"/>
    <m/>
    <m/>
    <m/>
    <n v="0"/>
    <s v="REHRIG PACIFIC COMPANY"/>
    <m/>
    <m/>
    <d v="2011-07-26T00:00:00"/>
    <d v="2011-07-26T00:00:00"/>
    <x v="186"/>
    <n v="700"/>
    <n v="14050"/>
    <n v="8660.43"/>
    <n v="14056"/>
    <n v="8660.43"/>
    <n v="0"/>
    <n v="0"/>
    <n v="54260"/>
    <n v="0"/>
    <s v="P"/>
    <m/>
    <s v="LA164668"/>
    <m/>
    <s v="Internal"/>
    <s v="A"/>
    <s v="SL"/>
    <d v="2014-06-30T00:00:00"/>
    <s v="WCNX"/>
    <n v="0"/>
    <n v="3608.53"/>
    <m/>
    <m/>
    <m/>
    <m/>
    <m/>
    <m/>
    <m/>
    <m/>
    <m/>
    <m/>
    <m/>
    <m/>
    <m/>
  </r>
  <r>
    <n v="2183"/>
    <n v="114299"/>
    <s v="P"/>
    <s v="HP Pro 3130 PC (SN = SMXL1151MC5)"/>
    <n v="0"/>
    <m/>
    <m/>
    <m/>
    <n v="0"/>
    <s v="CDW"/>
    <m/>
    <m/>
    <d v="2011-06-30T00:00:00"/>
    <d v="2011-06-30T00:00:00"/>
    <x v="187"/>
    <n v="300"/>
    <n v="14110"/>
    <n v="535.20000000000005"/>
    <n v="14116"/>
    <n v="535.20000000000005"/>
    <n v="0"/>
    <n v="0"/>
    <n v="70260"/>
    <n v="0"/>
    <s v="P"/>
    <m/>
    <s v="XTJ8709"/>
    <m/>
    <s v="Internal"/>
    <s v="A"/>
    <s v="SL"/>
    <d v="2014-06-30T00:00:00"/>
    <s v="WCNX"/>
    <n v="0"/>
    <n v="535.20000000000005"/>
    <m/>
    <m/>
    <m/>
    <m/>
    <m/>
    <m/>
    <m/>
    <m/>
    <m/>
    <m/>
    <m/>
    <m/>
    <m/>
  </r>
  <r>
    <n v="2183"/>
    <n v="114298"/>
    <s v="P"/>
    <s v="HP Pro 3130 PC (SN = SMXL1151MBL)"/>
    <n v="0"/>
    <m/>
    <m/>
    <m/>
    <n v="0"/>
    <s v="CDW"/>
    <m/>
    <m/>
    <d v="2011-06-30T00:00:00"/>
    <d v="2011-06-30T00:00:00"/>
    <x v="188"/>
    <n v="300"/>
    <n v="14110"/>
    <n v="535.20000000000005"/>
    <n v="14116"/>
    <n v="535.20000000000005"/>
    <n v="0"/>
    <n v="0"/>
    <n v="70260"/>
    <n v="0"/>
    <s v="P"/>
    <m/>
    <s v="XTJ8708"/>
    <m/>
    <s v="Internal"/>
    <s v="A"/>
    <s v="SL"/>
    <d v="2014-06-30T00:00:00"/>
    <s v="WCNX"/>
    <n v="0"/>
    <n v="535.20000000000005"/>
    <m/>
    <m/>
    <m/>
    <m/>
    <m/>
    <m/>
    <m/>
    <m/>
    <m/>
    <m/>
    <m/>
    <m/>
    <m/>
  </r>
  <r>
    <n v="2183"/>
    <n v="114297"/>
    <s v="P"/>
    <s v="95 Gallon Carts - Blue"/>
    <n v="212"/>
    <m/>
    <m/>
    <m/>
    <n v="0"/>
    <s v="REHRIG PACIFIC COMPANY"/>
    <m/>
    <m/>
    <d v="2011-07-01T00:00:00"/>
    <d v="2011-07-01T00:00:00"/>
    <x v="186"/>
    <n v="700"/>
    <n v="14050"/>
    <n v="11660.46"/>
    <n v="14056"/>
    <n v="11660.46"/>
    <n v="0"/>
    <n v="0"/>
    <n v="54260"/>
    <n v="0"/>
    <s v="P"/>
    <m/>
    <s v="LA164232"/>
    <m/>
    <s v="Internal"/>
    <s v="A"/>
    <s v="SL"/>
    <d v="2014-06-30T00:00:00"/>
    <s v="WCNX"/>
    <n v="0"/>
    <n v="4997.34"/>
    <m/>
    <m/>
    <m/>
    <m/>
    <m/>
    <m/>
    <m/>
    <m/>
    <m/>
    <m/>
    <m/>
    <m/>
    <m/>
  </r>
  <r>
    <n v="2183"/>
    <n v="114295"/>
    <s v="P"/>
    <s v="10 Yard R/O Containers"/>
    <n v="3"/>
    <m/>
    <m/>
    <m/>
    <n v="0"/>
    <m/>
    <m/>
    <s v="10 YD RO Box"/>
    <d v="2008-11-03T00:00:00"/>
    <d v="2008-11-03T00:00:00"/>
    <x v="19"/>
    <n v="700"/>
    <n v="14050"/>
    <n v="13500"/>
    <n v="14056"/>
    <n v="13500"/>
    <n v="0"/>
    <n v="0"/>
    <n v="54260"/>
    <n v="0"/>
    <s v="A"/>
    <s v="LeMay Enterprises"/>
    <m/>
    <m/>
    <s v="Internal"/>
    <s v="A"/>
    <s v="SL"/>
    <d v="2014-06-30T00:00:00"/>
    <s v="WCNX"/>
    <n v="0"/>
    <n v="10928.57"/>
    <m/>
    <m/>
    <m/>
    <m/>
    <m/>
    <m/>
    <m/>
    <m/>
    <m/>
    <m/>
    <m/>
    <m/>
    <m/>
  </r>
  <r>
    <n v="2183"/>
    <n v="114292"/>
    <s v="P"/>
    <s v="40 Yard R/O Containers"/>
    <n v="6"/>
    <m/>
    <m/>
    <m/>
    <n v="0"/>
    <m/>
    <m/>
    <s v="40 YD RO Box"/>
    <d v="2008-11-03T00:00:00"/>
    <d v="2008-11-03T00:00:00"/>
    <x v="19"/>
    <n v="700"/>
    <n v="14050"/>
    <n v="117000"/>
    <n v="14056"/>
    <n v="117000"/>
    <n v="0"/>
    <n v="0"/>
    <n v="54260"/>
    <n v="0"/>
    <s v="A"/>
    <s v="LeMay Enterprises"/>
    <m/>
    <m/>
    <s v="Internal"/>
    <s v="A"/>
    <s v="SL"/>
    <d v="2014-06-30T00:00:00"/>
    <s v="WCNX"/>
    <n v="0"/>
    <n v="94714.31"/>
    <m/>
    <m/>
    <m/>
    <m/>
    <m/>
    <m/>
    <m/>
    <m/>
    <m/>
    <m/>
    <m/>
    <m/>
    <m/>
  </r>
  <r>
    <n v="2183"/>
    <n v="114291"/>
    <s v="P"/>
    <s v="6 Yard Commercial Containers"/>
    <n v="39"/>
    <m/>
    <m/>
    <m/>
    <n v="0"/>
    <m/>
    <m/>
    <s v="6 YD FEL/REL/SL Metal"/>
    <d v="2008-11-03T00:00:00"/>
    <d v="2008-11-03T00:00:00"/>
    <x v="19"/>
    <n v="700"/>
    <n v="14050"/>
    <n v="1959.28"/>
    <n v="14056"/>
    <n v="1959.28"/>
    <n v="0"/>
    <n v="0"/>
    <n v="54260"/>
    <n v="0"/>
    <s v="A"/>
    <s v="LeMay Enterprises"/>
    <m/>
    <m/>
    <s v="Internal"/>
    <s v="A"/>
    <s v="SL"/>
    <d v="2020-09-30T00:00:00"/>
    <s v="WCNX"/>
    <n v="8"/>
    <n v="1959.28"/>
    <m/>
    <m/>
    <m/>
    <m/>
    <m/>
    <m/>
    <m/>
    <m/>
    <m/>
    <m/>
    <m/>
    <m/>
    <m/>
  </r>
  <r>
    <n v="2183"/>
    <n v="114290"/>
    <s v="P"/>
    <s v="2006 FORD F-150"/>
    <n v="0"/>
    <m/>
    <s v="1FTPW14566FA06268"/>
    <m/>
    <n v="2006"/>
    <s v="Ford"/>
    <s v="N/A"/>
    <s v="Pick Up Truck"/>
    <d v="2011-05-03T00:00:00"/>
    <d v="2011-05-03T00:00:00"/>
    <x v="189"/>
    <n v="300"/>
    <n v="14040"/>
    <n v="22311.09"/>
    <n v="14046"/>
    <n v="22311.09"/>
    <n v="0"/>
    <n v="0"/>
    <n v="51260"/>
    <n v="0"/>
    <s v="P"/>
    <m/>
    <n v="1503827"/>
    <n v="6047"/>
    <s v="Internal"/>
    <s v="A"/>
    <s v="SL"/>
    <d v="2014-06-30T00:00:00"/>
    <s v="WCNX"/>
    <n v="0"/>
    <n v="22311.09"/>
    <m/>
    <m/>
    <m/>
    <m/>
    <m/>
    <m/>
    <m/>
    <m/>
    <m/>
    <m/>
    <m/>
    <m/>
    <m/>
  </r>
  <r>
    <n v="2183"/>
    <n v="114288"/>
    <s v="P"/>
    <s v="Distribute Drive Cams Invoices (Onsite Technicians)"/>
    <n v="0"/>
    <m/>
    <m/>
    <m/>
    <n v="0"/>
    <s v="Drive Cam"/>
    <m/>
    <m/>
    <d v="2009-07-31T00:00:00"/>
    <d v="2009-07-31T00:00:00"/>
    <x v="190"/>
    <n v="500"/>
    <n v="14070"/>
    <n v="8065.49"/>
    <n v="14076"/>
    <n v="8065.49"/>
    <n v="0"/>
    <n v="0"/>
    <n v="51260"/>
    <n v="0"/>
    <s v="P"/>
    <m/>
    <s v="4073806-IN"/>
    <m/>
    <s v="Internal"/>
    <s v="A"/>
    <s v="SL"/>
    <d v="2014-06-30T00:00:00"/>
    <s v="WCNX"/>
    <n v="0"/>
    <n v="7931.07"/>
    <m/>
    <m/>
    <m/>
    <m/>
    <m/>
    <m/>
    <m/>
    <m/>
    <m/>
    <m/>
    <m/>
    <m/>
    <m/>
  </r>
  <r>
    <n v="2183"/>
    <n v="114287"/>
    <s v="P"/>
    <s v="For Install Drive Cam on Frontline (132 - DriveCams)"/>
    <n v="0"/>
    <m/>
    <m/>
    <m/>
    <n v="0"/>
    <s v="Drive Cam"/>
    <m/>
    <m/>
    <d v="2009-06-30T00:00:00"/>
    <d v="2009-06-30T00:00:00"/>
    <x v="190"/>
    <n v="500"/>
    <n v="14070"/>
    <n v="25464.65"/>
    <n v="14076"/>
    <n v="25464.65"/>
    <n v="0"/>
    <n v="0"/>
    <n v="51260"/>
    <n v="0"/>
    <s v="P"/>
    <m/>
    <s v="4072338-IN"/>
    <m/>
    <s v="Internal"/>
    <s v="A"/>
    <s v="SL"/>
    <d v="2014-06-30T00:00:00"/>
    <s v="WCNX"/>
    <n v="0"/>
    <n v="25464.65"/>
    <m/>
    <m/>
    <m/>
    <m/>
    <m/>
    <m/>
    <m/>
    <m/>
    <m/>
    <m/>
    <m/>
    <m/>
    <m/>
  </r>
  <r>
    <n v="2183"/>
    <n v="114286"/>
    <n v="114285"/>
    <s v="Install AA Welding Auto Tarper"/>
    <m/>
    <m/>
    <m/>
    <m/>
    <n v="0"/>
    <s v="SOLID WASTE SYSTEMS INC"/>
    <m/>
    <s v="Non Rolling Stock"/>
    <d v="2013-11-12T00:00:00"/>
    <d v="2013-11-12T00:00:00"/>
    <x v="191"/>
    <n v="300"/>
    <n v="14040"/>
    <n v="8837.86"/>
    <n v="14046"/>
    <n v="8837.86"/>
    <n v="0"/>
    <n v="0"/>
    <n v="51260"/>
    <n v="0"/>
    <s v="P"/>
    <m/>
    <n v="127595"/>
    <m/>
    <s v="Internal"/>
    <s v="A"/>
    <s v="SL"/>
    <d v="2014-06-30T00:00:00"/>
    <s v="WCNX"/>
    <n v="0"/>
    <n v="1963.97"/>
    <m/>
    <m/>
    <m/>
    <m/>
    <m/>
    <m/>
    <m/>
    <m/>
    <m/>
    <m/>
    <m/>
    <m/>
    <m/>
  </r>
  <r>
    <n v="2183"/>
    <n v="114285"/>
    <s v="P"/>
    <s v="2008 Type H Drop R/O"/>
    <n v="0"/>
    <m/>
    <s v="4V5M99EH08N487371"/>
    <m/>
    <n v="2008"/>
    <s v="Volvo"/>
    <s v="Helm"/>
    <s v="R/O Truck"/>
    <d v="2008-11-03T00:00:00"/>
    <d v="2008-11-03T00:00:00"/>
    <x v="19"/>
    <n v="900"/>
    <n v="14040"/>
    <n v="106500"/>
    <n v="14046"/>
    <n v="106500"/>
    <n v="0"/>
    <n v="0"/>
    <n v="51260"/>
    <n v="0"/>
    <s v="A"/>
    <s v="LeMay Enterprises"/>
    <m/>
    <n v="4062"/>
    <s v="Internal"/>
    <s v="A"/>
    <s v="SL"/>
    <d v="2014-06-30T00:00:00"/>
    <s v="WCNX"/>
    <n v="0"/>
    <n v="67055.53"/>
    <m/>
    <m/>
    <m/>
    <m/>
    <m/>
    <m/>
    <m/>
    <m/>
    <m/>
    <m/>
    <m/>
    <m/>
    <m/>
  </r>
  <r>
    <n v="2183"/>
    <n v="114284"/>
    <n v="114283"/>
    <s v="AA Welding Tarping System &amp; Installation"/>
    <m/>
    <m/>
    <m/>
    <m/>
    <n v="0"/>
    <s v="SOLID WASTE SYSTEMS INC"/>
    <m/>
    <s v="Non Rolling Stock"/>
    <d v="2013-10-23T00:00:00"/>
    <d v="2013-10-23T00:00:00"/>
    <x v="192"/>
    <n v="300"/>
    <n v="14040"/>
    <n v="8837.86"/>
    <n v="14046"/>
    <n v="8837.86"/>
    <n v="0"/>
    <n v="0"/>
    <n v="51260"/>
    <n v="0"/>
    <s v="P"/>
    <m/>
    <n v="127594"/>
    <m/>
    <s v="Internal"/>
    <s v="A"/>
    <s v="SL"/>
    <d v="2014-06-30T00:00:00"/>
    <s v="WCNX"/>
    <n v="0"/>
    <n v="1963.97"/>
    <m/>
    <m/>
    <m/>
    <m/>
    <m/>
    <m/>
    <m/>
    <m/>
    <m/>
    <m/>
    <m/>
    <m/>
    <m/>
  </r>
  <r>
    <n v="2183"/>
    <n v="114283"/>
    <s v="P"/>
    <s v="2006 Type H Drop R/O"/>
    <n v="0"/>
    <m/>
    <s v="4V5M99GH56N425474"/>
    <m/>
    <n v="2006"/>
    <s v="Volvo"/>
    <s v="Helm"/>
    <s v="R/O Truck"/>
    <d v="2008-11-03T00:00:00"/>
    <d v="2008-11-03T00:00:00"/>
    <x v="19"/>
    <n v="700"/>
    <n v="14040"/>
    <n v="81500"/>
    <n v="14046"/>
    <n v="81500"/>
    <n v="0"/>
    <n v="0"/>
    <n v="51260"/>
    <n v="0"/>
    <s v="A"/>
    <s v="LeMay Enterprises"/>
    <m/>
    <n v="4049"/>
    <s v="Internal"/>
    <s v="A"/>
    <s v="SL"/>
    <d v="2014-06-30T00:00:00"/>
    <s v="WCNX"/>
    <n v="0"/>
    <n v="65976.210000000006"/>
    <m/>
    <m/>
    <m/>
    <m/>
    <m/>
    <m/>
    <m/>
    <m/>
    <m/>
    <m/>
    <m/>
    <m/>
    <m/>
  </r>
  <r>
    <n v="2183"/>
    <n v="114280"/>
    <s v="P"/>
    <s v="2002 Type H Rear REL"/>
    <n v="0"/>
    <m/>
    <s v="1HTSDAAN02H523149"/>
    <m/>
    <n v="2002"/>
    <s v="International"/>
    <s v="McNeilus"/>
    <s v="REL Truck"/>
    <d v="2008-11-03T00:00:00"/>
    <d v="2008-11-03T00:00:00"/>
    <x v="19"/>
    <n v="300"/>
    <n v="14040"/>
    <n v="53500"/>
    <n v="14046"/>
    <n v="53500"/>
    <n v="0"/>
    <n v="0"/>
    <n v="51260"/>
    <n v="0"/>
    <s v="A"/>
    <s v="LeMay Enterprises"/>
    <m/>
    <n v="1035"/>
    <s v="Internal"/>
    <s v="A"/>
    <s v="SL"/>
    <d v="2014-06-30T00:00:00"/>
    <s v="WCNX"/>
    <n v="0"/>
    <n v="53500"/>
    <m/>
    <m/>
    <m/>
    <m/>
    <m/>
    <m/>
    <m/>
    <m/>
    <m/>
    <m/>
    <m/>
    <m/>
    <m/>
  </r>
  <r>
    <n v="2183"/>
    <n v="114279"/>
    <n v="114278"/>
    <s v="FLUP - Truck 1029"/>
    <n v="0"/>
    <m/>
    <n v="264787"/>
    <m/>
    <n v="2000"/>
    <m/>
    <m/>
    <s v="Non-Rolling Stock"/>
    <d v="2009-06-01T00:00:00"/>
    <d v="2009-06-01T00:00:00"/>
    <x v="193"/>
    <n v="300"/>
    <n v="14040"/>
    <n v="2915.87"/>
    <n v="14046"/>
    <n v="2915.87"/>
    <n v="0"/>
    <n v="0"/>
    <n v="51260"/>
    <n v="0"/>
    <s v="P"/>
    <m/>
    <n v="958230"/>
    <n v="1029"/>
    <s v="Internal"/>
    <s v="A"/>
    <s v="SL"/>
    <d v="2014-06-30T00:00:00"/>
    <s v="WCNX"/>
    <n v="0"/>
    <n v="2915.87"/>
    <m/>
    <m/>
    <m/>
    <m/>
    <m/>
    <m/>
    <m/>
    <m/>
    <m/>
    <m/>
    <m/>
    <m/>
    <m/>
  </r>
  <r>
    <n v="2183"/>
    <n v="114278"/>
    <s v="P"/>
    <s v="2000 Type H Rear REL"/>
    <n v="0"/>
    <m/>
    <s v="1HTSDAAN6YH264787"/>
    <m/>
    <n v="2000"/>
    <s v="International"/>
    <s v="McNeilus"/>
    <s v="REL Truck"/>
    <d v="2008-11-03T00:00:00"/>
    <d v="2008-11-03T00:00:00"/>
    <x v="19"/>
    <n v="300"/>
    <n v="14040"/>
    <n v="43500"/>
    <n v="14046"/>
    <n v="43500"/>
    <n v="0"/>
    <n v="0"/>
    <n v="51260"/>
    <n v="0"/>
    <s v="A"/>
    <s v="LeMay Enterprises"/>
    <m/>
    <n v="1029"/>
    <s v="Internal"/>
    <s v="A"/>
    <s v="SL"/>
    <d v="2014-06-30T00:00:00"/>
    <s v="WCNX"/>
    <n v="0"/>
    <n v="43500"/>
    <m/>
    <m/>
    <m/>
    <m/>
    <m/>
    <m/>
    <m/>
    <m/>
    <m/>
    <m/>
    <m/>
    <m/>
    <m/>
  </r>
  <r>
    <n v="2183"/>
    <n v="114276"/>
    <s v="P"/>
    <s v="FLUP - 995Compactor"/>
    <n v="0"/>
    <m/>
    <m/>
    <m/>
    <n v="0"/>
    <m/>
    <m/>
    <s v="Non-Rolling Stock"/>
    <d v="2009-05-03T00:00:00"/>
    <d v="2009-05-03T00:00:00"/>
    <x v="194"/>
    <n v="300"/>
    <n v="14030"/>
    <n v="34320.639999999999"/>
    <n v="14036"/>
    <n v="34320.639999999999"/>
    <n v="0"/>
    <n v="0"/>
    <n v="51260"/>
    <n v="0"/>
    <s v="P"/>
    <m/>
    <s v="R-924415"/>
    <m/>
    <s v="Internal"/>
    <s v="A"/>
    <s v="SL"/>
    <d v="2014-06-30T00:00:00"/>
    <s v="WCNX"/>
    <n v="0"/>
    <n v="34320.639999999999"/>
    <m/>
    <m/>
    <m/>
    <m/>
    <m/>
    <m/>
    <m/>
    <m/>
    <m/>
    <m/>
    <m/>
    <m/>
    <m/>
  </r>
  <r>
    <n v="2183"/>
    <n v="114273"/>
    <s v="P"/>
    <s v="6 YD Container"/>
    <n v="97"/>
    <m/>
    <m/>
    <m/>
    <n v="0"/>
    <m/>
    <m/>
    <m/>
    <d v="2008-11-03T00:00:00"/>
    <d v="2008-11-03T00:00:00"/>
    <x v="19"/>
    <n v="700"/>
    <n v="14050"/>
    <n v="9700"/>
    <n v="14056"/>
    <n v="9700"/>
    <n v="0"/>
    <n v="0"/>
    <n v="54260"/>
    <n v="0"/>
    <s v="A"/>
    <s v="LeMay Enterprises"/>
    <m/>
    <m/>
    <s v="Internal"/>
    <s v="A"/>
    <s v="SL"/>
    <d v="2021-05-31T00:00:00"/>
    <s v="WCNX"/>
    <n v="10"/>
    <n v="9700"/>
    <m/>
    <m/>
    <m/>
    <m/>
    <m/>
    <m/>
    <m/>
    <m/>
    <m/>
    <m/>
    <m/>
    <m/>
    <m/>
  </r>
  <r>
    <n v="2183"/>
    <n v="114272"/>
    <s v="P"/>
    <s v="Comm Customer List"/>
    <n v="0"/>
    <m/>
    <m/>
    <m/>
    <n v="0"/>
    <m/>
    <m/>
    <m/>
    <d v="2008-11-03T00:00:00"/>
    <d v="2008-11-03T00:00:00"/>
    <x v="19"/>
    <n v="1000"/>
    <n v="15220"/>
    <n v="1010555.08"/>
    <n v="15226"/>
    <n v="1010555.08"/>
    <n v="0"/>
    <n v="0"/>
    <n v="70264"/>
    <n v="0"/>
    <s v="A"/>
    <s v="LeMay Enterprises"/>
    <m/>
    <m/>
    <s v="Internal"/>
    <s v="A"/>
    <s v="SL"/>
    <d v="2014-06-30T00:00:00"/>
    <s v="WCNX"/>
    <n v="0"/>
    <n v="572647.9"/>
    <m/>
    <m/>
    <m/>
    <m/>
    <m/>
    <m/>
    <m/>
    <m/>
    <m/>
    <m/>
    <m/>
    <m/>
    <m/>
  </r>
  <r>
    <n v="2183"/>
    <n v="114271"/>
    <s v="P"/>
    <s v="2008 Type H Drop R/O"/>
    <n v="0"/>
    <m/>
    <s v="4V5M99GH18N487358"/>
    <m/>
    <n v="2008"/>
    <s v="Volvo"/>
    <s v="Helm"/>
    <s v="R/O Truck"/>
    <d v="2008-11-03T00:00:00"/>
    <d v="2008-11-03T00:00:00"/>
    <x v="19"/>
    <n v="900"/>
    <n v="14040"/>
    <n v="106500"/>
    <n v="14046"/>
    <n v="106500"/>
    <n v="0"/>
    <n v="0"/>
    <n v="51260"/>
    <n v="0"/>
    <s v="A"/>
    <s v="LeMay Enterprises"/>
    <m/>
    <n v="4059"/>
    <s v="Internal"/>
    <s v="A"/>
    <s v="SL"/>
    <d v="2014-06-30T00:00:00"/>
    <s v="WCNX"/>
    <n v="0"/>
    <n v="67055.520000000004"/>
    <m/>
    <m/>
    <m/>
    <m/>
    <m/>
    <m/>
    <m/>
    <m/>
    <m/>
    <m/>
    <m/>
    <m/>
    <m/>
  </r>
  <r>
    <n v="2183"/>
    <n v="114269"/>
    <s v="P"/>
    <s v="2004 Type M Hook HL"/>
    <n v="0"/>
    <m/>
    <s v="1HTMMAAL84H664898"/>
    <m/>
    <n v="2004"/>
    <s v="International"/>
    <s v="Other"/>
    <s v="Hook Lift Truck"/>
    <d v="2008-11-03T00:00:00"/>
    <d v="2008-11-03T00:00:00"/>
    <x v="19"/>
    <n v="500"/>
    <n v="14040"/>
    <n v="46500"/>
    <n v="14046"/>
    <n v="46500"/>
    <n v="0"/>
    <n v="0"/>
    <n v="51260"/>
    <n v="0"/>
    <s v="A"/>
    <s v="LeMay Enterprises"/>
    <m/>
    <n v="4518"/>
    <s v="Internal"/>
    <s v="A"/>
    <s v="SL"/>
    <d v="2014-06-30T00:00:00"/>
    <s v="WCNX"/>
    <n v="0"/>
    <n v="46500"/>
    <m/>
    <m/>
    <m/>
    <m/>
    <m/>
    <m/>
    <m/>
    <m/>
    <m/>
    <m/>
    <m/>
    <m/>
    <m/>
  </r>
  <r>
    <n v="2183"/>
    <n v="114268"/>
    <s v="P"/>
    <s v="2002 Type H Rear REL"/>
    <n v="0"/>
    <m/>
    <s v="1HTSDAAN72H523150"/>
    <m/>
    <n v="2002"/>
    <s v="International"/>
    <s v="McNeilus"/>
    <s v="REL Truck"/>
    <d v="2008-11-03T00:00:00"/>
    <d v="2008-11-03T00:00:00"/>
    <x v="19"/>
    <n v="300"/>
    <n v="14040"/>
    <n v="53500"/>
    <n v="14046"/>
    <n v="53500"/>
    <n v="0"/>
    <n v="0"/>
    <n v="51260"/>
    <n v="0"/>
    <s v="A"/>
    <s v="LeMay Enterprises"/>
    <m/>
    <n v="1036"/>
    <s v="Internal"/>
    <s v="A"/>
    <s v="SL"/>
    <d v="2014-06-30T00:00:00"/>
    <s v="WCNX"/>
    <n v="0"/>
    <n v="53500"/>
    <m/>
    <m/>
    <m/>
    <m/>
    <m/>
    <m/>
    <m/>
    <m/>
    <m/>
    <m/>
    <m/>
    <m/>
    <m/>
  </r>
  <r>
    <n v="2183"/>
    <n v="114266"/>
    <s v="P"/>
    <s v="1996 Type H Rear REL"/>
    <n v="0"/>
    <m/>
    <s v="4V52AEHD7TR474909"/>
    <m/>
    <n v="1996"/>
    <s v="Volvo"/>
    <s v="Heil"/>
    <s v="REL Truck"/>
    <d v="2008-11-03T00:00:00"/>
    <d v="2008-11-03T00:00:00"/>
    <x v="19"/>
    <n v="300"/>
    <n v="14040"/>
    <n v="2500"/>
    <n v="14046"/>
    <n v="2500"/>
    <n v="0"/>
    <n v="0"/>
    <n v="51260"/>
    <n v="0"/>
    <s v="A"/>
    <s v="LeMay Enterprises"/>
    <m/>
    <n v="1003"/>
    <s v="Internal"/>
    <s v="A"/>
    <s v="SL"/>
    <d v="2014-06-30T00:00:00"/>
    <s v="WCNX"/>
    <n v="0"/>
    <n v="2500"/>
    <m/>
    <m/>
    <m/>
    <m/>
    <m/>
    <m/>
    <m/>
    <m/>
    <m/>
    <m/>
    <m/>
    <m/>
    <m/>
  </r>
  <r>
    <n v="2183"/>
    <n v="113498"/>
    <s v="P"/>
    <s v="95 Gal Yardwaste Plastic Carts &amp; Lids"/>
    <n v="486"/>
    <m/>
    <m/>
    <m/>
    <n v="0"/>
    <s v="REHRIG PACIFIC COMPANY"/>
    <m/>
    <m/>
    <d v="2014-06-02T00:00:00"/>
    <d v="2014-06-02T00:00:00"/>
    <x v="179"/>
    <n v="700"/>
    <n v="14050"/>
    <n v="28222.41"/>
    <n v="14056"/>
    <n v="28222.41"/>
    <n v="0"/>
    <n v="1679.98"/>
    <n v="54260"/>
    <n v="0"/>
    <s v="P"/>
    <m/>
    <s v="LA186999"/>
    <m/>
    <s v="Internal"/>
    <s v="A"/>
    <s v="SL"/>
    <m/>
    <s v="WCNX"/>
    <n v="0"/>
    <n v="0"/>
    <m/>
    <m/>
    <m/>
    <m/>
    <m/>
    <m/>
    <m/>
    <m/>
    <m/>
    <m/>
    <m/>
    <m/>
    <m/>
  </r>
  <r>
    <n v="2183"/>
    <n v="113497"/>
    <s v="P"/>
    <s v="95 Gal Yardwaste Plastic Carts &amp; Lids"/>
    <n v="486"/>
    <m/>
    <m/>
    <m/>
    <n v="0"/>
    <s v="REHRIG PACIFIC COMPANY"/>
    <m/>
    <m/>
    <d v="2014-06-02T00:00:00"/>
    <d v="2014-06-02T00:00:00"/>
    <x v="179"/>
    <n v="700"/>
    <n v="14050"/>
    <n v="28222.41"/>
    <n v="14056"/>
    <n v="28222.41"/>
    <n v="0"/>
    <n v="1679.98"/>
    <n v="54260"/>
    <n v="0"/>
    <s v="P"/>
    <m/>
    <s v="LA187182"/>
    <m/>
    <s v="Internal"/>
    <s v="A"/>
    <s v="SL"/>
    <m/>
    <s v="WCNX"/>
    <n v="0"/>
    <n v="0"/>
    <m/>
    <m/>
    <m/>
    <m/>
    <m/>
    <m/>
    <m/>
    <m/>
    <m/>
    <m/>
    <m/>
    <m/>
    <m/>
  </r>
  <r>
    <n v="2183"/>
    <n v="113272"/>
    <s v="P"/>
    <s v="Wyse Winterms D10D"/>
    <n v="2"/>
    <m/>
    <m/>
    <m/>
    <n v="0"/>
    <s v="CDW"/>
    <m/>
    <m/>
    <d v="2014-04-20T00:00:00"/>
    <d v="2014-04-20T00:00:00"/>
    <x v="195"/>
    <n v="300"/>
    <n v="14110"/>
    <n v="656.58"/>
    <n v="14116"/>
    <n v="656.58"/>
    <n v="0"/>
    <n v="0"/>
    <n v="70260"/>
    <n v="0"/>
    <s v="P"/>
    <m/>
    <s v="Multiple beginning with K"/>
    <m/>
    <s v="Internal"/>
    <s v="A"/>
    <s v="SL"/>
    <m/>
    <s v="WCNX"/>
    <n v="0"/>
    <n v="0"/>
    <m/>
    <m/>
    <m/>
    <m/>
    <m/>
    <m/>
    <m/>
    <m/>
    <m/>
    <m/>
    <m/>
    <m/>
    <m/>
  </r>
  <r>
    <n v="2183"/>
    <n v="112465"/>
    <s v="P"/>
    <s v="20 Gal Carts"/>
    <n v="210"/>
    <m/>
    <m/>
    <m/>
    <n v="0"/>
    <s v="REHRIG PACIFIC COMPANY"/>
    <m/>
    <m/>
    <d v="2014-03-21T00:00:00"/>
    <d v="2014-03-21T00:00:00"/>
    <x v="196"/>
    <n v="700"/>
    <n v="14050"/>
    <n v="9383.1"/>
    <n v="14056"/>
    <n v="9383.1"/>
    <n v="0"/>
    <n v="335.13"/>
    <n v="54260"/>
    <n v="0"/>
    <s v="P"/>
    <m/>
    <s v="LA140356PA000R"/>
    <m/>
    <s v="Internal"/>
    <s v="A"/>
    <s v="SL"/>
    <m/>
    <s v="WCNX"/>
    <n v="0"/>
    <n v="0"/>
    <m/>
    <m/>
    <m/>
    <m/>
    <m/>
    <m/>
    <m/>
    <m/>
    <m/>
    <m/>
    <m/>
    <m/>
    <m/>
  </r>
  <r>
    <n v="2183"/>
    <n v="112464"/>
    <s v="P"/>
    <s v="35 Gal Carts"/>
    <n v="810"/>
    <m/>
    <m/>
    <m/>
    <n v="0"/>
    <s v="REHRIG PACIFIC COMPANY"/>
    <m/>
    <m/>
    <d v="2014-03-21T00:00:00"/>
    <d v="2014-03-21T00:00:00"/>
    <x v="196"/>
    <n v="700"/>
    <n v="14050"/>
    <n v="30408.07"/>
    <n v="14056"/>
    <n v="30408.07"/>
    <n v="0"/>
    <n v="1086"/>
    <n v="54260"/>
    <n v="0"/>
    <s v="P"/>
    <m/>
    <s v="LA140356PA000R"/>
    <m/>
    <s v="Internal"/>
    <s v="A"/>
    <s v="SL"/>
    <m/>
    <s v="WCNX"/>
    <n v="0"/>
    <n v="0"/>
    <m/>
    <m/>
    <m/>
    <m/>
    <m/>
    <m/>
    <m/>
    <m/>
    <m/>
    <m/>
    <m/>
    <m/>
    <m/>
  </r>
  <r>
    <n v="2183"/>
    <n v="112463"/>
    <s v="P"/>
    <s v="65 Gal Carts"/>
    <n v="324"/>
    <m/>
    <m/>
    <m/>
    <n v="0"/>
    <s v="REHRIG PACIFIC COMPANY"/>
    <m/>
    <m/>
    <d v="2014-03-21T00:00:00"/>
    <d v="2014-03-21T00:00:00"/>
    <x v="196"/>
    <n v="700"/>
    <n v="14050"/>
    <n v="16748.46"/>
    <n v="14056"/>
    <n v="16748.46"/>
    <n v="0"/>
    <n v="598.14"/>
    <n v="54260"/>
    <n v="0"/>
    <s v="P"/>
    <m/>
    <s v="LA140356PA000R"/>
    <m/>
    <s v="Internal"/>
    <s v="A"/>
    <s v="SL"/>
    <m/>
    <s v="WCNX"/>
    <n v="0"/>
    <n v="0"/>
    <m/>
    <m/>
    <m/>
    <m/>
    <m/>
    <m/>
    <m/>
    <m/>
    <m/>
    <m/>
    <m/>
    <m/>
    <m/>
  </r>
  <r>
    <n v="2183"/>
    <n v="112462"/>
    <s v="P"/>
    <s v="95 Gal Carts"/>
    <n v="243"/>
    <m/>
    <m/>
    <m/>
    <n v="0"/>
    <s v="REHRIG PACIFIC COMPANY"/>
    <m/>
    <m/>
    <d v="2014-03-21T00:00:00"/>
    <d v="2014-03-21T00:00:00"/>
    <x v="196"/>
    <n v="700"/>
    <n v="14050"/>
    <n v="14855.45"/>
    <n v="14056"/>
    <n v="14855.45"/>
    <n v="0"/>
    <n v="530.53"/>
    <n v="54260"/>
    <n v="0"/>
    <s v="P"/>
    <m/>
    <s v="LA140356PA000R"/>
    <m/>
    <s v="Internal"/>
    <s v="A"/>
    <s v="SL"/>
    <m/>
    <s v="WCNX"/>
    <n v="0"/>
    <n v="0"/>
    <m/>
    <m/>
    <m/>
    <m/>
    <m/>
    <m/>
    <m/>
    <m/>
    <m/>
    <m/>
    <m/>
    <m/>
    <m/>
  </r>
  <r>
    <n v="2183"/>
    <n v="112461"/>
    <s v="P"/>
    <s v="95 Gal Carts"/>
    <n v="486"/>
    <m/>
    <m/>
    <m/>
    <n v="0"/>
    <s v="REHRIG PACIFIC COMPANY"/>
    <m/>
    <m/>
    <d v="2014-03-21T00:00:00"/>
    <d v="2014-03-21T00:00:00"/>
    <x v="196"/>
    <n v="700"/>
    <n v="14050"/>
    <n v="27064.05"/>
    <n v="14056"/>
    <n v="27064.05"/>
    <n v="0"/>
    <n v="966.59"/>
    <n v="54260"/>
    <n v="0"/>
    <s v="P"/>
    <m/>
    <s v="LA140356PA000R"/>
    <m/>
    <s v="Internal"/>
    <s v="A"/>
    <s v="SL"/>
    <m/>
    <s v="WCNX"/>
    <n v="0"/>
    <n v="0"/>
    <m/>
    <m/>
    <m/>
    <m/>
    <m/>
    <m/>
    <m/>
    <m/>
    <m/>
    <m/>
    <m/>
    <m/>
    <m/>
  </r>
  <r>
    <n v="2183"/>
    <n v="111304"/>
    <n v="111303"/>
    <s v="Side Loader Door Decals"/>
    <m/>
    <m/>
    <m/>
    <m/>
    <n v="0"/>
    <s v="Sign Connections"/>
    <m/>
    <s v="Non Rolling Stock"/>
    <d v="2014-01-01T00:00:00"/>
    <d v="2014-01-01T00:00:00"/>
    <x v="197"/>
    <n v="1000"/>
    <n v="14040"/>
    <n v="904.93"/>
    <n v="14046"/>
    <n v="716.38"/>
    <n v="188.54999999999995"/>
    <n v="82.95"/>
    <n v="51260"/>
    <n v="7.54"/>
    <s v="P"/>
    <m/>
    <n v="1212"/>
    <m/>
    <s v="Internal"/>
    <s v="A"/>
    <s v="SL"/>
    <d v="2014-02-28T00:00:00"/>
    <s v="WCNX"/>
    <n v="0"/>
    <n v="15.08"/>
    <m/>
    <m/>
    <m/>
    <m/>
    <m/>
    <m/>
    <m/>
    <m/>
    <m/>
    <m/>
    <m/>
    <m/>
    <m/>
  </r>
  <r>
    <n v="2183"/>
    <n v="111303"/>
    <s v="P"/>
    <s v="2014 ASL Truck"/>
    <m/>
    <m/>
    <s v="3BPZL70X5EF234891"/>
    <m/>
    <n v="2014"/>
    <s v=" Peterbilt "/>
    <s v=" Wayne "/>
    <s v="Automated Sideload"/>
    <d v="2013-12-31T00:00:00"/>
    <d v="2013-12-31T00:00:00"/>
    <x v="197"/>
    <n v="1000"/>
    <n v="14040"/>
    <n v="323070.82"/>
    <n v="14046"/>
    <n v="255764.38"/>
    <n v="67306.44"/>
    <n v="29614.82"/>
    <n v="51260"/>
    <n v="2692.25"/>
    <s v="P"/>
    <m/>
    <m/>
    <n v="3542"/>
    <s v="Internal"/>
    <s v="A"/>
    <s v="SL"/>
    <d v="2014-02-28T00:00:00"/>
    <s v="WCNX"/>
    <n v="0"/>
    <n v="5384.51"/>
    <m/>
    <m/>
    <m/>
    <m/>
    <m/>
    <m/>
    <m/>
    <m/>
    <m/>
    <m/>
    <m/>
    <m/>
    <m/>
  </r>
  <r>
    <n v="2183"/>
    <n v="110576"/>
    <s v="P"/>
    <s v="2014 Isuzu Truck"/>
    <m/>
    <m/>
    <s v="JALE5W166E7301706"/>
    <m/>
    <n v="2014"/>
    <s v="Isuzu"/>
    <s v="Heiser/ SWS"/>
    <s v="Service Truck"/>
    <d v="2014-01-01T00:00:00"/>
    <d v="2014-01-01T00:00:00"/>
    <x v="198"/>
    <n v="1000"/>
    <n v="14040"/>
    <n v="98824.34"/>
    <n v="14046"/>
    <n v="78235.899999999994"/>
    <n v="20588.440000000002"/>
    <n v="9058.89"/>
    <n v="51260"/>
    <n v="823.53"/>
    <s v="P"/>
    <m/>
    <m/>
    <n v="9228"/>
    <s v="Internal"/>
    <s v="A"/>
    <s v="SL"/>
    <m/>
    <s v="WCNX"/>
    <n v="0"/>
    <n v="0"/>
    <m/>
    <m/>
    <m/>
    <m/>
    <m/>
    <m/>
    <m/>
    <m/>
    <m/>
    <m/>
    <m/>
    <m/>
    <m/>
  </r>
  <r>
    <n v="2183"/>
    <n v="109992"/>
    <n v="61120"/>
    <s v="Engine Replacement Unit 3603"/>
    <m/>
    <m/>
    <m/>
    <m/>
    <n v="0"/>
    <s v="WESTERN PETERBILT, INC."/>
    <m/>
    <s v="Non Rolling Stock"/>
    <d v="2013-12-31T00:00:00"/>
    <d v="2013-12-31T00:00:00"/>
    <x v="199"/>
    <n v="300"/>
    <n v="14040"/>
    <n v="24943.74"/>
    <n v="14046"/>
    <n v="24943.74"/>
    <n v="0"/>
    <n v="0"/>
    <n v="51260"/>
    <n v="0"/>
    <s v="P"/>
    <m/>
    <s v="TA20460"/>
    <m/>
    <s v="Internal"/>
    <s v="A"/>
    <s v="SL"/>
    <m/>
    <s v="WCNX"/>
    <n v="0"/>
    <n v="0"/>
    <m/>
    <m/>
    <m/>
    <m/>
    <m/>
    <m/>
    <m/>
    <m/>
    <m/>
    <m/>
    <m/>
    <m/>
    <m/>
  </r>
  <r>
    <n v="2183"/>
    <n v="109582"/>
    <s v="P"/>
    <s v="Radio Frequency"/>
    <m/>
    <m/>
    <m/>
    <m/>
    <n v="0"/>
    <m/>
    <m/>
    <m/>
    <d v="2013-12-18T00:00:00"/>
    <d v="2013-12-18T00:00:00"/>
    <x v="200"/>
    <n v="300"/>
    <n v="14110"/>
    <n v="134875"/>
    <n v="14116"/>
    <n v="134875"/>
    <n v="0"/>
    <n v="0"/>
    <n v="70260"/>
    <n v="0"/>
    <s v="P"/>
    <m/>
    <m/>
    <m/>
    <s v="Internal"/>
    <s v="A"/>
    <s v="SL"/>
    <m/>
    <s v="WCNX"/>
    <n v="0"/>
    <n v="0"/>
    <m/>
    <m/>
    <m/>
    <m/>
    <m/>
    <m/>
    <m/>
    <m/>
    <m/>
    <m/>
    <m/>
    <m/>
    <m/>
  </r>
  <r>
    <n v="2183"/>
    <n v="109519"/>
    <s v="P"/>
    <s v="2014 ASL Truck"/>
    <m/>
    <m/>
    <s v="3BPZL70XXEF223336"/>
    <m/>
    <n v="2014"/>
    <s v="Peterbilt"/>
    <s v="Wayne"/>
    <s v="Automated Sideload"/>
    <d v="2013-12-31T00:00:00"/>
    <d v="2013-12-31T00:00:00"/>
    <x v="201"/>
    <n v="1000"/>
    <n v="14040"/>
    <n v="332641.82"/>
    <n v="14046"/>
    <n v="263341.43"/>
    <n v="69300.390000000014"/>
    <n v="30492.17"/>
    <n v="51260"/>
    <n v="2772.02"/>
    <s v="P"/>
    <m/>
    <m/>
    <n v="3541"/>
    <s v="Internal"/>
    <s v="A"/>
    <s v="SL"/>
    <m/>
    <s v="WCNX"/>
    <n v="0"/>
    <n v="0"/>
    <m/>
    <m/>
    <m/>
    <m/>
    <m/>
    <m/>
    <m/>
    <m/>
    <m/>
    <m/>
    <m/>
    <m/>
    <m/>
  </r>
  <r>
    <n v="2183"/>
    <n v="109518"/>
    <s v="P"/>
    <s v="2013 ASL Truck"/>
    <m/>
    <m/>
    <s v="3BPZL70X9DF176282"/>
    <m/>
    <n v="2013"/>
    <s v="Peterbilt"/>
    <s v="Wayne"/>
    <s v="Automated Sideload"/>
    <d v="2013-12-31T00:00:00"/>
    <d v="2013-12-31T00:00:00"/>
    <x v="202"/>
    <n v="900"/>
    <n v="14040"/>
    <n v="334095.67"/>
    <n v="14046"/>
    <n v="293880.44"/>
    <n v="40215.229999999981"/>
    <n v="34028.26"/>
    <n v="51260"/>
    <n v="3093.48"/>
    <s v="P"/>
    <m/>
    <m/>
    <n v="3540"/>
    <s v="Internal"/>
    <s v="A"/>
    <s v="SL"/>
    <m/>
    <s v="WCNX"/>
    <n v="0"/>
    <n v="0"/>
    <m/>
    <m/>
    <m/>
    <m/>
    <m/>
    <m/>
    <m/>
    <m/>
    <m/>
    <m/>
    <m/>
    <m/>
    <m/>
  </r>
  <r>
    <n v="2183"/>
    <n v="109517"/>
    <s v="P"/>
    <s v="2013 ASL Truck"/>
    <m/>
    <m/>
    <s v="3BPZL70X6DF184419"/>
    <m/>
    <n v="2013"/>
    <s v="Peterbilt"/>
    <s v="Wayne"/>
    <s v="Automated Sideload"/>
    <d v="2013-12-31T00:00:00"/>
    <d v="2013-12-31T00:00:00"/>
    <x v="203"/>
    <n v="900"/>
    <n v="14040"/>
    <n v="331758.37"/>
    <n v="14046"/>
    <n v="291824.48"/>
    <n v="39933.890000000014"/>
    <n v="33790.199999999997"/>
    <n v="51260"/>
    <n v="3071.83"/>
    <s v="P"/>
    <m/>
    <m/>
    <n v="3539"/>
    <s v="Internal"/>
    <s v="A"/>
    <s v="SL"/>
    <m/>
    <s v="WCNX"/>
    <n v="0"/>
    <n v="0"/>
    <m/>
    <m/>
    <m/>
    <m/>
    <m/>
    <m/>
    <m/>
    <m/>
    <m/>
    <m/>
    <m/>
    <m/>
    <m/>
  </r>
  <r>
    <n v="2183"/>
    <n v="109344"/>
    <s v="P"/>
    <s v="35 Gallon Refuse Carts"/>
    <n v="1080"/>
    <m/>
    <m/>
    <m/>
    <n v="0"/>
    <s v="REHRIG PACIFIC COMPANY"/>
    <m/>
    <m/>
    <d v="2013-11-05T00:00:00"/>
    <d v="2013-11-05T00:00:00"/>
    <x v="204"/>
    <n v="700"/>
    <n v="14050"/>
    <n v="38869.17"/>
    <n v="14056"/>
    <n v="38869.17"/>
    <n v="0"/>
    <n v="0"/>
    <n v="54260"/>
    <n v="0"/>
    <s v="P"/>
    <m/>
    <s v="la182681"/>
    <m/>
    <s v="Internal"/>
    <s v="A"/>
    <s v="SL"/>
    <m/>
    <s v="WCNX"/>
    <n v="0"/>
    <n v="0"/>
    <m/>
    <m/>
    <m/>
    <m/>
    <m/>
    <m/>
    <m/>
    <m/>
    <m/>
    <m/>
    <m/>
    <m/>
    <m/>
  </r>
  <r>
    <n v="2183"/>
    <n v="109343"/>
    <s v="P"/>
    <s v="95 Gallon Recycle Cart"/>
    <n v="1"/>
    <m/>
    <m/>
    <m/>
    <n v="0"/>
    <s v="REHRIG PACIFIC COMPANY"/>
    <m/>
    <m/>
    <d v="2013-11-11T00:00:00"/>
    <d v="2013-11-11T00:00:00"/>
    <x v="205"/>
    <n v="700"/>
    <n v="14050"/>
    <n v="47.49"/>
    <n v="14056"/>
    <n v="47.49"/>
    <n v="0"/>
    <n v="0"/>
    <n v="54260"/>
    <n v="0"/>
    <s v="P"/>
    <m/>
    <s v="la182814"/>
    <m/>
    <s v="Internal"/>
    <s v="A"/>
    <s v="SL"/>
    <m/>
    <s v="WCNX"/>
    <n v="0"/>
    <n v="0"/>
    <m/>
    <m/>
    <m/>
    <m/>
    <m/>
    <m/>
    <m/>
    <m/>
    <m/>
    <m/>
    <m/>
    <m/>
    <m/>
  </r>
  <r>
    <n v="2183"/>
    <n v="109342"/>
    <s v="P"/>
    <s v="95 Gallon Recycle Carts"/>
    <n v="121"/>
    <m/>
    <m/>
    <m/>
    <n v="0"/>
    <s v="REHRIG PACIFIC COMPANY"/>
    <m/>
    <m/>
    <d v="2013-11-04T00:00:00"/>
    <d v="2013-11-04T00:00:00"/>
    <x v="205"/>
    <n v="700"/>
    <n v="14050"/>
    <n v="7248.64"/>
    <n v="14056"/>
    <n v="7248.64"/>
    <n v="0"/>
    <n v="0"/>
    <n v="54260"/>
    <n v="0"/>
    <s v="P"/>
    <m/>
    <s v="la182649"/>
    <m/>
    <s v="Internal"/>
    <s v="A"/>
    <s v="SL"/>
    <m/>
    <s v="WCNX"/>
    <n v="0"/>
    <n v="0"/>
    <m/>
    <m/>
    <m/>
    <m/>
    <m/>
    <m/>
    <m/>
    <m/>
    <m/>
    <m/>
    <m/>
    <m/>
    <m/>
  </r>
  <r>
    <n v="2183"/>
    <n v="109341"/>
    <s v="P"/>
    <s v="95 Gallon Refuse Cart"/>
    <n v="122"/>
    <m/>
    <m/>
    <m/>
    <n v="0"/>
    <s v="REHRIG PACIFIC COMPANY"/>
    <m/>
    <m/>
    <d v="2013-11-04T00:00:00"/>
    <d v="2013-11-04T00:00:00"/>
    <x v="206"/>
    <n v="700"/>
    <n v="14050"/>
    <n v="7308.09"/>
    <n v="14056"/>
    <n v="7308.09"/>
    <n v="0"/>
    <n v="0"/>
    <n v="54260"/>
    <n v="0"/>
    <s v="P"/>
    <m/>
    <s v="la182650"/>
    <m/>
    <s v="Internal"/>
    <s v="A"/>
    <s v="SL"/>
    <m/>
    <s v="WCNX"/>
    <n v="0"/>
    <n v="0"/>
    <m/>
    <m/>
    <m/>
    <m/>
    <m/>
    <m/>
    <m/>
    <m/>
    <m/>
    <m/>
    <m/>
    <m/>
    <m/>
  </r>
  <r>
    <n v="2183"/>
    <n v="109186"/>
    <s v="P"/>
    <s v="65 Gallon Refuse Carts"/>
    <n v="324"/>
    <m/>
    <m/>
    <m/>
    <n v="0"/>
    <s v="REHRIG PACIFIC COMPANY"/>
    <m/>
    <m/>
    <d v="2013-11-11T00:00:00"/>
    <d v="2013-11-11T00:00:00"/>
    <x v="205"/>
    <n v="700"/>
    <n v="14050"/>
    <n v="13520.49"/>
    <n v="14056"/>
    <n v="13520.49"/>
    <n v="0"/>
    <n v="0"/>
    <n v="54260"/>
    <n v="0"/>
    <s v="P"/>
    <m/>
    <s v="la182813"/>
    <m/>
    <s v="Internal"/>
    <s v="A"/>
    <s v="SL"/>
    <m/>
    <s v="WCNX"/>
    <n v="0"/>
    <n v="0"/>
    <m/>
    <m/>
    <m/>
    <m/>
    <m/>
    <m/>
    <m/>
    <m/>
    <m/>
    <m/>
    <m/>
    <m/>
    <m/>
  </r>
  <r>
    <n v="2183"/>
    <n v="109182"/>
    <n v="61096"/>
    <s v="AA Welding Tarping System &amp; Installation"/>
    <m/>
    <m/>
    <m/>
    <m/>
    <n v="0"/>
    <s v="SOLID WASTE SYSTEMS INC"/>
    <m/>
    <s v="Non Rolling Stock"/>
    <d v="2013-10-23T00:00:00"/>
    <d v="2013-10-23T00:00:00"/>
    <x v="207"/>
    <n v="300"/>
    <n v="14040"/>
    <n v="8837.86"/>
    <n v="14046"/>
    <n v="8837.86"/>
    <n v="0"/>
    <n v="0"/>
    <n v="51260"/>
    <n v="0"/>
    <s v="P"/>
    <m/>
    <n v="127590"/>
    <m/>
    <s v="Internal"/>
    <s v="A"/>
    <s v="SL"/>
    <m/>
    <s v="WCNX"/>
    <n v="0"/>
    <n v="0"/>
    <m/>
    <m/>
    <m/>
    <m/>
    <m/>
    <m/>
    <m/>
    <m/>
    <m/>
    <m/>
    <m/>
    <m/>
    <m/>
  </r>
  <r>
    <n v="2183"/>
    <n v="109181"/>
    <n v="61125"/>
    <s v="AA Welding Tarping System &amp; Installation"/>
    <m/>
    <m/>
    <m/>
    <m/>
    <n v="0"/>
    <s v="SOLID WASTE SYSTEMS INC"/>
    <m/>
    <s v="Non Rolling Stock"/>
    <d v="2013-10-23T00:00:00"/>
    <d v="2013-10-23T00:00:00"/>
    <x v="208"/>
    <n v="300"/>
    <n v="14040"/>
    <n v="8837.86"/>
    <n v="14046"/>
    <n v="8837.86"/>
    <n v="0"/>
    <n v="0"/>
    <n v="51260"/>
    <n v="0"/>
    <s v="P"/>
    <m/>
    <n v="127591"/>
    <m/>
    <s v="Internal"/>
    <s v="A"/>
    <s v="SL"/>
    <m/>
    <s v="WCNX"/>
    <n v="0"/>
    <n v="0"/>
    <m/>
    <m/>
    <m/>
    <m/>
    <m/>
    <m/>
    <m/>
    <m/>
    <m/>
    <m/>
    <m/>
    <m/>
    <m/>
  </r>
  <r>
    <n v="2183"/>
    <n v="109180"/>
    <n v="61097"/>
    <s v="AA Welding Tarping System &amp; Installation"/>
    <m/>
    <m/>
    <m/>
    <m/>
    <n v="0"/>
    <s v="SOLID WASTE SYSTEMS INC"/>
    <m/>
    <s v="Non Rolling Stock"/>
    <d v="2013-10-23T00:00:00"/>
    <d v="2013-10-23T00:00:00"/>
    <x v="209"/>
    <n v="300"/>
    <n v="14040"/>
    <n v="8837.86"/>
    <n v="14046"/>
    <n v="8837.86"/>
    <n v="0"/>
    <n v="0"/>
    <n v="51260"/>
    <n v="0"/>
    <s v="P"/>
    <m/>
    <n v="127593"/>
    <m/>
    <s v="Internal"/>
    <s v="A"/>
    <s v="SL"/>
    <m/>
    <s v="WCNX"/>
    <n v="0"/>
    <n v="0"/>
    <m/>
    <m/>
    <m/>
    <m/>
    <m/>
    <m/>
    <m/>
    <m/>
    <m/>
    <m/>
    <m/>
    <m/>
    <m/>
  </r>
  <r>
    <n v="2183"/>
    <n v="108675"/>
    <n v="61112"/>
    <s v="Install AA Welding Auto Tarper"/>
    <m/>
    <m/>
    <m/>
    <m/>
    <n v="0"/>
    <s v="SOLID WASTE SYSTEMS INC"/>
    <m/>
    <s v="Non Rolling Stock"/>
    <d v="2013-11-12T00:00:00"/>
    <d v="2013-11-12T00:00:00"/>
    <x v="210"/>
    <n v="300"/>
    <n v="14040"/>
    <n v="8837.86"/>
    <n v="14046"/>
    <n v="8837.86"/>
    <n v="0"/>
    <n v="0"/>
    <n v="51260"/>
    <n v="0"/>
    <s v="P"/>
    <m/>
    <n v="127587"/>
    <m/>
    <s v="Internal"/>
    <s v="A"/>
    <s v="SL"/>
    <m/>
    <s v="WCNX"/>
    <n v="0"/>
    <n v="0"/>
    <m/>
    <m/>
    <m/>
    <m/>
    <m/>
    <m/>
    <m/>
    <m/>
    <m/>
    <m/>
    <m/>
    <m/>
    <m/>
  </r>
  <r>
    <n v="2183"/>
    <n v="108250"/>
    <s v="P"/>
    <s v="HP Compaq 6300 pro (SN = MXL3291GFX)"/>
    <m/>
    <m/>
    <m/>
    <m/>
    <n v="0"/>
    <s v="CDW"/>
    <m/>
    <m/>
    <d v="2013-10-15T00:00:00"/>
    <d v="2013-10-15T00:00:00"/>
    <x v="211"/>
    <n v="300"/>
    <n v="14110"/>
    <n v="743.47"/>
    <n v="14116"/>
    <n v="743.47"/>
    <n v="0"/>
    <n v="0"/>
    <n v="70260"/>
    <n v="0"/>
    <s v="P"/>
    <m/>
    <s v="GC62927"/>
    <m/>
    <s v="Internal"/>
    <s v="A"/>
    <s v="SL"/>
    <m/>
    <s v="WCNX"/>
    <n v="0"/>
    <n v="0"/>
    <m/>
    <m/>
    <m/>
    <m/>
    <m/>
    <m/>
    <m/>
    <m/>
    <m/>
    <m/>
    <m/>
    <m/>
    <m/>
  </r>
  <r>
    <n v="2183"/>
    <n v="108086"/>
    <n v="61121"/>
    <s v="Remove Engine and re-install Remanufactured Engine"/>
    <m/>
    <m/>
    <m/>
    <m/>
    <n v="0"/>
    <s v="N C MACHINERY"/>
    <m/>
    <s v="Non Rolling Stock"/>
    <d v="2013-10-18T00:00:00"/>
    <d v="2013-10-18T00:00:00"/>
    <x v="212"/>
    <n v="300"/>
    <n v="14040"/>
    <n v="23561.96"/>
    <n v="14046"/>
    <n v="23561.96"/>
    <n v="0"/>
    <n v="0"/>
    <n v="51260"/>
    <n v="0"/>
    <s v="P"/>
    <m/>
    <s v="FI20993"/>
    <m/>
    <s v="Internal"/>
    <s v="A"/>
    <s v="SL"/>
    <m/>
    <s v="WCNX"/>
    <n v="0"/>
    <n v="0"/>
    <m/>
    <m/>
    <m/>
    <m/>
    <m/>
    <m/>
    <m/>
    <m/>
    <m/>
    <m/>
    <m/>
    <m/>
    <m/>
  </r>
  <r>
    <n v="2183"/>
    <n v="107455"/>
    <s v="P"/>
    <s v="65 Gal Resi Carts w/lids"/>
    <n v="162"/>
    <m/>
    <m/>
    <m/>
    <n v="0"/>
    <s v="REHRIG PACIFIC COMPANY"/>
    <m/>
    <m/>
    <d v="2013-07-27T00:00:00"/>
    <d v="2013-07-27T00:00:00"/>
    <x v="213"/>
    <n v="700"/>
    <n v="14050"/>
    <n v="7724.66"/>
    <n v="14056"/>
    <n v="7724.66"/>
    <n v="0"/>
    <n v="0"/>
    <n v="54260"/>
    <n v="0"/>
    <s v="P"/>
    <m/>
    <s v="LA180043"/>
    <m/>
    <s v="Internal"/>
    <s v="A"/>
    <s v="SL"/>
    <m/>
    <s v="WCNX"/>
    <n v="0"/>
    <n v="0"/>
    <m/>
    <m/>
    <m/>
    <m/>
    <m/>
    <m/>
    <m/>
    <m/>
    <m/>
    <m/>
    <m/>
    <m/>
    <m/>
  </r>
  <r>
    <n v="2183"/>
    <n v="107454"/>
    <s v="P"/>
    <s v="95 Gal Resi Carts"/>
    <n v="237"/>
    <m/>
    <m/>
    <m/>
    <n v="0"/>
    <s v="REHRIG PACIFIC COMPANY"/>
    <m/>
    <m/>
    <d v="2013-07-27T00:00:00"/>
    <d v="2013-07-27T00:00:00"/>
    <x v="213"/>
    <n v="700"/>
    <n v="14050"/>
    <n v="13002.62"/>
    <n v="14056"/>
    <n v="13002.62"/>
    <n v="0"/>
    <n v="0"/>
    <n v="54260"/>
    <n v="0"/>
    <s v="P"/>
    <m/>
    <s v="LA180041"/>
    <m/>
    <s v="Internal"/>
    <s v="A"/>
    <s v="SL"/>
    <m/>
    <s v="WCNX"/>
    <n v="0"/>
    <n v="0"/>
    <m/>
    <m/>
    <m/>
    <m/>
    <m/>
    <m/>
    <m/>
    <m/>
    <m/>
    <m/>
    <m/>
    <m/>
    <m/>
  </r>
  <r>
    <n v="2183"/>
    <n v="107453"/>
    <s v="P"/>
    <s v="95 Gal Resi Carts"/>
    <n v="5"/>
    <m/>
    <m/>
    <m/>
    <n v="0"/>
    <s v="REHRIG PACIFIC COMPANY"/>
    <m/>
    <m/>
    <d v="2013-07-27T00:00:00"/>
    <d v="2013-07-27T00:00:00"/>
    <x v="214"/>
    <n v="700"/>
    <n v="14050"/>
    <n v="243.98"/>
    <n v="14056"/>
    <n v="243.98"/>
    <n v="0"/>
    <n v="0"/>
    <n v="54260"/>
    <n v="0"/>
    <s v="P"/>
    <m/>
    <s v="LA180045"/>
    <m/>
    <s v="Internal"/>
    <s v="A"/>
    <s v="SL"/>
    <m/>
    <s v="WCNX"/>
    <n v="0"/>
    <n v="0"/>
    <m/>
    <m/>
    <m/>
    <m/>
    <m/>
    <m/>
    <m/>
    <m/>
    <m/>
    <m/>
    <m/>
    <m/>
    <m/>
  </r>
  <r>
    <n v="2183"/>
    <n v="107452"/>
    <s v="P"/>
    <s v="95 GAL Recycle Carts"/>
    <n v="486"/>
    <m/>
    <m/>
    <m/>
    <n v="0"/>
    <s v="REHRIG PACIFIC COMPANY"/>
    <m/>
    <m/>
    <d v="2013-07-27T00:00:00"/>
    <d v="2013-07-27T00:00:00"/>
    <x v="215"/>
    <n v="700"/>
    <n v="14050"/>
    <n v="24969.75"/>
    <n v="14056"/>
    <n v="24969.75"/>
    <n v="0"/>
    <n v="0"/>
    <n v="54260"/>
    <n v="0"/>
    <s v="P"/>
    <m/>
    <s v="LA180044"/>
    <m/>
    <s v="Internal"/>
    <s v="A"/>
    <s v="SL"/>
    <m/>
    <s v="WCNX"/>
    <n v="0"/>
    <n v="0"/>
    <m/>
    <m/>
    <m/>
    <m/>
    <m/>
    <m/>
    <m/>
    <m/>
    <m/>
    <m/>
    <m/>
    <m/>
    <m/>
  </r>
  <r>
    <n v="2183"/>
    <n v="107430"/>
    <s v="P"/>
    <s v="6yd FEL Containers"/>
    <n v="10"/>
    <m/>
    <m/>
    <m/>
    <n v="0"/>
    <s v="CAPITAL INDUSTRIES INC"/>
    <m/>
    <s v="6 YD FEL/REL/SL Metal"/>
    <d v="2013-09-19T00:00:00"/>
    <d v="2013-09-19T00:00:00"/>
    <x v="216"/>
    <n v="1200"/>
    <n v="14050"/>
    <n v="3940.38"/>
    <n v="14056"/>
    <n v="2681.69"/>
    <n v="1258.69"/>
    <n v="301.01"/>
    <n v="54260"/>
    <n v="27.37"/>
    <s v="P"/>
    <m/>
    <n v="86603"/>
    <m/>
    <s v="Internal"/>
    <s v="A"/>
    <s v="SL"/>
    <m/>
    <s v="WCNX"/>
    <n v="0"/>
    <n v="0"/>
    <m/>
    <m/>
    <m/>
    <m/>
    <m/>
    <m/>
    <m/>
    <m/>
    <m/>
    <m/>
    <m/>
    <m/>
    <m/>
  </r>
  <r>
    <n v="2183"/>
    <n v="107429"/>
    <s v="P"/>
    <s v="6yd FEL Containers"/>
    <n v="4"/>
    <m/>
    <m/>
    <m/>
    <n v="0"/>
    <s v="CAPITAL INDUSTRIES INC"/>
    <m/>
    <s v="6 YD FEL/REL/SL Metal"/>
    <d v="2013-09-19T00:00:00"/>
    <d v="2013-09-19T00:00:00"/>
    <x v="216"/>
    <n v="1200"/>
    <n v="14050"/>
    <n v="3152.3"/>
    <n v="14056"/>
    <n v="2145.3000000000002"/>
    <n v="1007"/>
    <n v="240.8"/>
    <n v="54260"/>
    <n v="21.89"/>
    <s v="P"/>
    <m/>
    <n v="86585"/>
    <m/>
    <s v="Internal"/>
    <s v="A"/>
    <s v="SL"/>
    <m/>
    <s v="WCNX"/>
    <n v="0"/>
    <n v="0"/>
    <m/>
    <m/>
    <m/>
    <m/>
    <m/>
    <m/>
    <m/>
    <m/>
    <m/>
    <m/>
    <m/>
    <m/>
    <m/>
  </r>
  <r>
    <n v="2183"/>
    <n v="107428"/>
    <s v="P"/>
    <s v="6yd FEL Containers"/>
    <n v="11"/>
    <m/>
    <m/>
    <m/>
    <n v="0"/>
    <s v="CAPITAL INDUSTRIES INC"/>
    <m/>
    <s v="6 YD FEL/REL/SL Metal"/>
    <d v="2013-09-19T00:00:00"/>
    <d v="2013-09-19T00:00:00"/>
    <x v="216"/>
    <n v="1200"/>
    <n v="14050"/>
    <n v="8668.83"/>
    <n v="14056"/>
    <n v="5899.6"/>
    <n v="2769.2299999999996"/>
    <n v="662.2"/>
    <n v="54260"/>
    <n v="60.2"/>
    <s v="P"/>
    <m/>
    <n v="86602"/>
    <m/>
    <s v="Internal"/>
    <s v="A"/>
    <s v="SL"/>
    <m/>
    <s v="WCNX"/>
    <n v="0"/>
    <n v="0"/>
    <m/>
    <m/>
    <m/>
    <m/>
    <m/>
    <m/>
    <m/>
    <m/>
    <m/>
    <m/>
    <m/>
    <m/>
    <m/>
  </r>
  <r>
    <n v="2183"/>
    <n v="107130"/>
    <s v="P"/>
    <s v="4YD FEL Containers"/>
    <n v="8"/>
    <m/>
    <m/>
    <m/>
    <n v="0"/>
    <s v="CAPITAL INDUSTRIES INC"/>
    <m/>
    <s v="4 YD FEL/REL/SL Metal"/>
    <d v="2013-08-31T00:00:00"/>
    <d v="2013-08-31T00:00:00"/>
    <x v="217"/>
    <n v="1200"/>
    <n v="14050"/>
    <n v="5000.2"/>
    <n v="14056"/>
    <n v="3437.62"/>
    <n v="1562.58"/>
    <n v="381.96"/>
    <n v="54260"/>
    <n v="34.729999999999997"/>
    <s v="P"/>
    <m/>
    <n v="86167"/>
    <m/>
    <s v="Internal"/>
    <s v="A"/>
    <s v="SL"/>
    <m/>
    <s v="WCNX"/>
    <n v="0"/>
    <n v="0"/>
    <m/>
    <m/>
    <m/>
    <m/>
    <m/>
    <m/>
    <m/>
    <m/>
    <m/>
    <m/>
    <m/>
    <m/>
    <m/>
  </r>
  <r>
    <n v="2183"/>
    <n v="107129"/>
    <s v="P"/>
    <s v="4YD FEL Containers"/>
    <n v="12"/>
    <m/>
    <m/>
    <m/>
    <n v="0"/>
    <s v="CAPITAL INDUSTRIES INC"/>
    <m/>
    <s v="4 YD FEL/REL/SL Metal"/>
    <d v="2013-08-31T00:00:00"/>
    <d v="2013-08-31T00:00:00"/>
    <x v="216"/>
    <n v="1200"/>
    <n v="14050"/>
    <n v="7500.3"/>
    <n v="14056"/>
    <n v="5156.49"/>
    <n v="2343.8100000000004"/>
    <n v="572.94000000000005"/>
    <n v="54260"/>
    <n v="52.08"/>
    <s v="P"/>
    <m/>
    <n v="86149"/>
    <m/>
    <s v="Internal"/>
    <s v="A"/>
    <s v="SL"/>
    <m/>
    <s v="WCNX"/>
    <n v="0"/>
    <n v="0"/>
    <m/>
    <m/>
    <m/>
    <m/>
    <m/>
    <m/>
    <m/>
    <m/>
    <m/>
    <m/>
    <m/>
    <m/>
    <m/>
  </r>
  <r>
    <n v="2183"/>
    <n v="107056"/>
    <s v="P"/>
    <s v="1yd FEL Containers"/>
    <n v="20"/>
    <m/>
    <m/>
    <m/>
    <n v="0"/>
    <s v="CAPITAL INDUSTRIES INC"/>
    <m/>
    <s v="1 YD FEL/REL/SL Metal"/>
    <d v="2013-08-12T00:00:00"/>
    <d v="2013-08-12T00:00:00"/>
    <x v="217"/>
    <n v="1200"/>
    <n v="14050"/>
    <n v="8913.4"/>
    <n v="14056"/>
    <n v="6189.83"/>
    <n v="2723.5699999999997"/>
    <n v="680.88"/>
    <n v="54260"/>
    <n v="61.9"/>
    <s v="P"/>
    <m/>
    <n v="85513"/>
    <m/>
    <s v="Internal"/>
    <s v="A"/>
    <s v="SL"/>
    <m/>
    <s v="WCNX"/>
    <n v="0"/>
    <n v="0"/>
    <m/>
    <m/>
    <m/>
    <m/>
    <m/>
    <m/>
    <m/>
    <m/>
    <m/>
    <m/>
    <m/>
    <m/>
    <m/>
  </r>
  <r>
    <n v="2183"/>
    <n v="107055"/>
    <s v="P"/>
    <s v="20 Gallon Residential Carts"/>
    <n v="217"/>
    <m/>
    <m/>
    <m/>
    <n v="0"/>
    <s v="REHRIG PACIFIC COMPANY"/>
    <m/>
    <m/>
    <d v="2013-05-15T00:00:00"/>
    <d v="2013-05-15T00:00:00"/>
    <x v="214"/>
    <n v="700"/>
    <n v="14050"/>
    <n v="8693.01"/>
    <n v="14056"/>
    <n v="8693.01"/>
    <n v="0"/>
    <n v="0"/>
    <n v="54260"/>
    <n v="0"/>
    <s v="P"/>
    <m/>
    <s v="LA180606"/>
    <m/>
    <s v="Internal"/>
    <s v="A"/>
    <s v="SL"/>
    <m/>
    <s v="WCNX"/>
    <n v="0"/>
    <n v="0"/>
    <m/>
    <m/>
    <m/>
    <m/>
    <m/>
    <m/>
    <m/>
    <m/>
    <m/>
    <m/>
    <m/>
    <m/>
    <m/>
  </r>
  <r>
    <n v="2183"/>
    <n v="106521"/>
    <s v="P"/>
    <s v="95 Gallon Carts"/>
    <n v="243"/>
    <m/>
    <m/>
    <m/>
    <n v="0"/>
    <s v="REHRIG PACIFIC COMPANY"/>
    <m/>
    <m/>
    <d v="2013-07-24T00:00:00"/>
    <d v="2013-07-24T00:00:00"/>
    <x v="213"/>
    <n v="700"/>
    <n v="14050"/>
    <n v="11857.29"/>
    <n v="14056"/>
    <n v="11857.29"/>
    <n v="0"/>
    <n v="0"/>
    <n v="54260"/>
    <n v="0"/>
    <s v="P"/>
    <m/>
    <s v="LA180450"/>
    <m/>
    <s v="Internal"/>
    <s v="A"/>
    <s v="SL"/>
    <m/>
    <s v="WCNX"/>
    <n v="0"/>
    <n v="0"/>
    <m/>
    <m/>
    <m/>
    <m/>
    <m/>
    <m/>
    <m/>
    <m/>
    <m/>
    <m/>
    <m/>
    <m/>
    <m/>
  </r>
  <r>
    <n v="2183"/>
    <n v="106520"/>
    <s v="P"/>
    <s v="2 YD CONTAINER"/>
    <n v="20"/>
    <m/>
    <m/>
    <m/>
    <n v="0"/>
    <s v="CAPITAL INDUSTRIES, INC."/>
    <m/>
    <s v="2 YD FEL/REL/SL Metal"/>
    <d v="2013-08-12T00:00:00"/>
    <d v="2013-08-12T00:00:00"/>
    <x v="217"/>
    <n v="1200"/>
    <n v="14050"/>
    <n v="10000.4"/>
    <n v="14056"/>
    <n v="6944.75"/>
    <n v="3055.6499999999996"/>
    <n v="763.92"/>
    <n v="54260"/>
    <n v="69.44"/>
    <s v="P"/>
    <m/>
    <n v="85205"/>
    <m/>
    <s v="Internal"/>
    <s v="A"/>
    <s v="SL"/>
    <m/>
    <s v="WCNX"/>
    <n v="0"/>
    <n v="0"/>
    <m/>
    <m/>
    <m/>
    <m/>
    <m/>
    <m/>
    <m/>
    <m/>
    <m/>
    <m/>
    <m/>
    <m/>
    <m/>
  </r>
  <r>
    <n v="2183"/>
    <n v="106448"/>
    <s v="P"/>
    <s v="35 Gal Resi Carts"/>
    <n v="540"/>
    <m/>
    <s v="Input Form"/>
    <m/>
    <n v="0"/>
    <m/>
    <m/>
    <m/>
    <d v="2013-07-24T00:00:00"/>
    <d v="2013-07-24T00:00:00"/>
    <x v="213"/>
    <n v="700"/>
    <n v="14050"/>
    <n v="21137.37"/>
    <n v="14056"/>
    <n v="21137.37"/>
    <n v="0"/>
    <n v="0"/>
    <n v="54260"/>
    <n v="0"/>
    <s v="P"/>
    <m/>
    <s v="LA179958"/>
    <m/>
    <s v="Internal"/>
    <s v="A"/>
    <s v="SL"/>
    <m/>
    <s v="WCNX"/>
    <n v="0"/>
    <n v="0"/>
    <m/>
    <m/>
    <m/>
    <m/>
    <m/>
    <m/>
    <m/>
    <m/>
    <m/>
    <m/>
    <m/>
    <m/>
    <m/>
  </r>
  <r>
    <n v="2183"/>
    <n v="106016"/>
    <s v="P"/>
    <s v="Model 5680 Floor Scrubber"/>
    <n v="0"/>
    <m/>
    <m/>
    <m/>
    <n v="0"/>
    <m/>
    <m/>
    <m/>
    <d v="2013-07-15T00:00:00"/>
    <d v="2013-07-15T00:00:00"/>
    <x v="218"/>
    <n v="500"/>
    <n v="14070"/>
    <n v="14451.45"/>
    <n v="14076"/>
    <n v="14451.45"/>
    <n v="0"/>
    <n v="0"/>
    <n v="51260"/>
    <n v="0"/>
    <s v="P"/>
    <m/>
    <n v="911741205"/>
    <m/>
    <s v="Internal"/>
    <s v="A"/>
    <s v="SL"/>
    <m/>
    <s v="WCNX"/>
    <n v="0"/>
    <n v="0"/>
    <m/>
    <m/>
    <m/>
    <m/>
    <m/>
    <m/>
    <m/>
    <m/>
    <m/>
    <m/>
    <m/>
    <m/>
    <m/>
  </r>
  <r>
    <n v="2183"/>
    <n v="104202"/>
    <n v="61163"/>
    <s v="Capital Repairs to 4021-Transmission"/>
    <n v="0"/>
    <m/>
    <m/>
    <m/>
    <n v="0"/>
    <s v="OLYMPIC TRUCK SERVICE"/>
    <m/>
    <s v="Non-Rolling Stock"/>
    <d v="2013-04-29T00:00:00"/>
    <d v="2013-04-29T00:00:00"/>
    <x v="219"/>
    <n v="300"/>
    <n v="14040"/>
    <n v="5869"/>
    <n v="14046"/>
    <n v="5869"/>
    <n v="0"/>
    <n v="0"/>
    <n v="51260"/>
    <n v="0"/>
    <s v="P"/>
    <m/>
    <n v="60258"/>
    <m/>
    <s v="Internal"/>
    <s v="A"/>
    <s v="SL"/>
    <m/>
    <s v="WCNX"/>
    <n v="0"/>
    <n v="0"/>
    <m/>
    <m/>
    <m/>
    <m/>
    <m/>
    <m/>
    <m/>
    <m/>
    <m/>
    <m/>
    <m/>
    <m/>
    <m/>
  </r>
  <r>
    <n v="2183"/>
    <n v="104091"/>
    <s v="P"/>
    <s v="95 Gallon  Resi Carts"/>
    <n v="360"/>
    <m/>
    <m/>
    <m/>
    <n v="0"/>
    <s v="REHRIG PACIFIC COMPANY"/>
    <m/>
    <m/>
    <d v="2013-03-31T00:00:00"/>
    <d v="2013-03-31T00:00:00"/>
    <x v="220"/>
    <n v="700"/>
    <n v="14050"/>
    <n v="14320.19"/>
    <n v="14056"/>
    <n v="14320.19"/>
    <n v="0"/>
    <n v="0"/>
    <n v="54260"/>
    <n v="0"/>
    <s v="P"/>
    <m/>
    <s v="LA178213"/>
    <m/>
    <s v="Internal"/>
    <s v="A"/>
    <s v="SL"/>
    <m/>
    <s v="WCNX"/>
    <n v="0"/>
    <n v="0"/>
    <m/>
    <m/>
    <m/>
    <m/>
    <m/>
    <m/>
    <m/>
    <m/>
    <m/>
    <m/>
    <m/>
    <m/>
    <m/>
  </r>
  <r>
    <n v="2183"/>
    <n v="104090"/>
    <s v="P"/>
    <s v="95 Gallon Resi Carts"/>
    <n v="360"/>
    <m/>
    <m/>
    <m/>
    <n v="0"/>
    <s v="REHRIG PACIFIC COMPANY"/>
    <m/>
    <m/>
    <d v="2013-05-12T00:00:00"/>
    <d v="2013-05-12T00:00:00"/>
    <x v="221"/>
    <n v="700"/>
    <n v="14050"/>
    <n v="4482.74"/>
    <n v="14056"/>
    <n v="4482.74"/>
    <n v="0"/>
    <n v="0"/>
    <n v="54260"/>
    <n v="0"/>
    <s v="P"/>
    <m/>
    <s v="LA178213"/>
    <m/>
    <s v="Internal"/>
    <s v="A"/>
    <s v="SL"/>
    <m/>
    <s v="WCNX"/>
    <n v="0"/>
    <n v="0"/>
    <m/>
    <m/>
    <m/>
    <m/>
    <m/>
    <m/>
    <m/>
    <m/>
    <m/>
    <m/>
    <m/>
    <m/>
    <m/>
  </r>
  <r>
    <n v="2183"/>
    <n v="104089"/>
    <s v="P"/>
    <s v="95 Gallon Resi Carts"/>
    <n v="126"/>
    <m/>
    <m/>
    <m/>
    <n v="0"/>
    <s v="REHRIG PACIFIC COMPANY"/>
    <m/>
    <m/>
    <d v="2013-05-15T00:00:00"/>
    <d v="2013-05-15T00:00:00"/>
    <x v="214"/>
    <n v="700"/>
    <n v="14050"/>
    <n v="6580.15"/>
    <n v="14056"/>
    <n v="6580.15"/>
    <n v="0"/>
    <n v="0"/>
    <n v="54260"/>
    <n v="0"/>
    <s v="P"/>
    <m/>
    <s v="LA178214"/>
    <m/>
    <s v="Internal"/>
    <s v="A"/>
    <s v="SL"/>
    <m/>
    <s v="WCNX"/>
    <n v="0"/>
    <n v="0"/>
    <m/>
    <m/>
    <m/>
    <m/>
    <m/>
    <m/>
    <m/>
    <m/>
    <m/>
    <m/>
    <m/>
    <m/>
    <m/>
  </r>
  <r>
    <n v="2183"/>
    <n v="104088"/>
    <s v="P"/>
    <s v="35 Gallon Resi Carts"/>
    <n v="444"/>
    <m/>
    <m/>
    <m/>
    <n v="0"/>
    <s v="REHRIG PACIFIC COMPANY"/>
    <m/>
    <m/>
    <d v="2013-05-12T00:00:00"/>
    <d v="2013-05-12T00:00:00"/>
    <x v="221"/>
    <n v="700"/>
    <n v="14050"/>
    <n v="16700.669999999998"/>
    <n v="14056"/>
    <n v="16700.669999999998"/>
    <n v="0"/>
    <n v="0"/>
    <n v="54260"/>
    <n v="0"/>
    <s v="P"/>
    <m/>
    <s v="LA178052"/>
    <m/>
    <s v="Internal"/>
    <s v="A"/>
    <s v="SL"/>
    <m/>
    <s v="WCNX"/>
    <n v="0"/>
    <n v="0"/>
    <m/>
    <m/>
    <m/>
    <m/>
    <m/>
    <m/>
    <m/>
    <m/>
    <m/>
    <m/>
    <m/>
    <m/>
    <m/>
  </r>
  <r>
    <n v="2183"/>
    <n v="104087"/>
    <s v="P"/>
    <s v="65 Gallon Resi Carts"/>
    <n v="324"/>
    <m/>
    <m/>
    <m/>
    <n v="0"/>
    <s v="REHRIG PACIFIC COMPANY"/>
    <m/>
    <m/>
    <d v="2013-03-31T00:00:00"/>
    <d v="2013-03-31T00:00:00"/>
    <x v="220"/>
    <n v="700"/>
    <n v="14050"/>
    <n v="14387.53"/>
    <n v="14056"/>
    <n v="14387.53"/>
    <n v="0"/>
    <n v="0"/>
    <n v="54260"/>
    <n v="0"/>
    <s v="P"/>
    <m/>
    <s v="LA178051"/>
    <m/>
    <s v="Internal"/>
    <s v="A"/>
    <s v="SL"/>
    <m/>
    <s v="WCNX"/>
    <n v="0"/>
    <n v="0"/>
    <m/>
    <m/>
    <m/>
    <m/>
    <m/>
    <m/>
    <m/>
    <m/>
    <m/>
    <m/>
    <m/>
    <m/>
    <m/>
  </r>
  <r>
    <n v="2183"/>
    <n v="103479"/>
    <n v="61093"/>
    <s v="Capital Repair Engine-1042"/>
    <n v="0"/>
    <m/>
    <m/>
    <m/>
    <n v="0"/>
    <s v="CASCADIA"/>
    <m/>
    <m/>
    <d v="2013-03-20T00:00:00"/>
    <d v="2013-03-20T00:00:00"/>
    <x v="222"/>
    <n v="300"/>
    <n v="14040"/>
    <n v="13741.65"/>
    <n v="14046"/>
    <n v="13741.65"/>
    <n v="0"/>
    <n v="0"/>
    <n v="51260"/>
    <n v="0"/>
    <s v="P"/>
    <m/>
    <n v="98318"/>
    <m/>
    <s v="Internal"/>
    <s v="A"/>
    <s v="SL"/>
    <m/>
    <s v="WCNX"/>
    <n v="0"/>
    <n v="0"/>
    <m/>
    <m/>
    <m/>
    <m/>
    <m/>
    <m/>
    <m/>
    <m/>
    <m/>
    <m/>
    <m/>
    <m/>
    <m/>
  </r>
  <r>
    <n v="2183"/>
    <n v="102857"/>
    <n v="102855"/>
    <s v="Freight for (513) 35 Gallon Comm Recycle- Forest Green"/>
    <n v="513"/>
    <m/>
    <m/>
    <m/>
    <n v="0"/>
    <s v="REHRIG PACIFIC COMPANY"/>
    <m/>
    <m/>
    <d v="2013-03-31T00:00:00"/>
    <d v="2013-03-31T00:00:00"/>
    <x v="220"/>
    <n v="500"/>
    <n v="14050"/>
    <n v="292.27999999999997"/>
    <n v="14056"/>
    <n v="292.27999999999997"/>
    <n v="0"/>
    <n v="0"/>
    <n v="54260"/>
    <n v="0"/>
    <s v="P"/>
    <m/>
    <s v="LA176696"/>
    <m/>
    <s v="Internal"/>
    <s v="A"/>
    <s v="SL"/>
    <m/>
    <s v="WCNX"/>
    <n v="0"/>
    <n v="0"/>
    <m/>
    <m/>
    <m/>
    <m/>
    <m/>
    <m/>
    <m/>
    <m/>
    <m/>
    <m/>
    <m/>
    <m/>
    <m/>
  </r>
  <r>
    <n v="2183"/>
    <n v="102856"/>
    <n v="102855"/>
    <s v="Freight for (513) 35 Gallon Comm Recycle- Forest Green"/>
    <n v="513"/>
    <m/>
    <m/>
    <m/>
    <n v="0"/>
    <s v="REHRIG PACIFIC COMPANY"/>
    <m/>
    <m/>
    <d v="2013-03-31T00:00:00"/>
    <d v="2013-03-31T00:00:00"/>
    <x v="223"/>
    <n v="500"/>
    <n v="14050"/>
    <n v="1148"/>
    <n v="14056"/>
    <n v="1148"/>
    <n v="0"/>
    <n v="0"/>
    <n v="54260"/>
    <n v="0"/>
    <s v="P"/>
    <m/>
    <s v="LA176696"/>
    <m/>
    <s v="Internal"/>
    <s v="A"/>
    <s v="SL"/>
    <m/>
    <s v="WCNX"/>
    <n v="0"/>
    <n v="0"/>
    <m/>
    <m/>
    <m/>
    <m/>
    <m/>
    <m/>
    <m/>
    <m/>
    <m/>
    <m/>
    <m/>
    <m/>
    <m/>
  </r>
  <r>
    <n v="2183"/>
    <n v="102855"/>
    <s v="P"/>
    <s v="35 Gallon Comm Recycle-Forest Green"/>
    <n v="513"/>
    <m/>
    <m/>
    <m/>
    <n v="0"/>
    <s v="REHRIG PACIFIC COMPANY"/>
    <m/>
    <m/>
    <d v="2013-03-31T00:00:00"/>
    <d v="2013-03-31T00:00:00"/>
    <x v="223"/>
    <n v="500"/>
    <n v="14050"/>
    <n v="16650.86"/>
    <n v="14056"/>
    <n v="16650.86"/>
    <n v="0"/>
    <n v="0"/>
    <n v="54260"/>
    <n v="0"/>
    <s v="P"/>
    <m/>
    <s v="LA176700R"/>
    <m/>
    <s v="Internal"/>
    <s v="A"/>
    <s v="SL"/>
    <m/>
    <s v="WCNX"/>
    <n v="0"/>
    <n v="0"/>
    <m/>
    <m/>
    <m/>
    <m/>
    <m/>
    <m/>
    <m/>
    <m/>
    <m/>
    <m/>
    <m/>
    <m/>
    <m/>
  </r>
  <r>
    <n v="2183"/>
    <n v="102295"/>
    <n v="97216"/>
    <s v="Wash Rack System Replacement Remaining Work not completed in 2012"/>
    <n v="0"/>
    <m/>
    <m/>
    <m/>
    <n v="0"/>
    <s v="NORTHWEST ENVIRONMENTAL &amp;"/>
    <m/>
    <m/>
    <d v="2013-01-01T00:00:00"/>
    <d v="2013-01-01T00:00:00"/>
    <x v="224"/>
    <n v="909"/>
    <n v="14080"/>
    <n v="48345.38"/>
    <n v="14086"/>
    <n v="44213.29"/>
    <n v="4132.0899999999965"/>
    <n v="4545.29"/>
    <n v="57260"/>
    <n v="413.21"/>
    <s v="P"/>
    <m/>
    <n v="8004"/>
    <m/>
    <s v="Internal"/>
    <s v="A"/>
    <s v="SL"/>
    <m/>
    <s v="WCNX"/>
    <n v="0"/>
    <n v="0"/>
    <m/>
    <m/>
    <m/>
    <m/>
    <m/>
    <m/>
    <m/>
    <m/>
    <m/>
    <m/>
    <m/>
    <m/>
    <m/>
  </r>
  <r>
    <n v="2183"/>
    <n v="99673"/>
    <s v="P"/>
    <s v="Conference Room Furniture for Pacific Office (Lacey, WA)"/>
    <n v="0"/>
    <m/>
    <m/>
    <m/>
    <n v="0"/>
    <m/>
    <m/>
    <m/>
    <d v="2012-12-31T00:00:00"/>
    <d v="2012-12-31T00:00:00"/>
    <x v="225"/>
    <n v="1000"/>
    <n v="14100"/>
    <n v="9416.14"/>
    <n v="14106"/>
    <n v="8396.02"/>
    <n v="1020.119999999999"/>
    <n v="863.14"/>
    <n v="70260"/>
    <n v="78.459999999999994"/>
    <s v="P"/>
    <m/>
    <s v="12-21678"/>
    <m/>
    <s v="Internal"/>
    <s v="A"/>
    <s v="SL"/>
    <m/>
    <s v="WCNX"/>
    <n v="0"/>
    <n v="0"/>
    <m/>
    <m/>
    <m/>
    <m/>
    <m/>
    <m/>
    <m/>
    <m/>
    <m/>
    <m/>
    <m/>
    <m/>
    <m/>
  </r>
  <r>
    <n v="2183"/>
    <n v="99666"/>
    <s v="P"/>
    <s v="2013 Peterbilt 320"/>
    <n v="0"/>
    <m/>
    <s v="3BPZL70X4DF193460"/>
    <m/>
    <n v="2013"/>
    <s v="Peterbilt 320"/>
    <s v="Wittke"/>
    <s v="FEL Truck"/>
    <d v="2012-12-31T00:00:00"/>
    <d v="2012-12-31T00:00:00"/>
    <x v="226"/>
    <n v="1000"/>
    <n v="14040"/>
    <n v="301280.5"/>
    <n v="14046"/>
    <n v="268641.78000000003"/>
    <n v="32638.719999999972"/>
    <n v="27617.38"/>
    <n v="51260"/>
    <n v="2510.67"/>
    <s v="P"/>
    <m/>
    <n v="4101985"/>
    <n v="2011"/>
    <s v="Internal"/>
    <s v="A"/>
    <s v="SL"/>
    <m/>
    <s v="WCNX"/>
    <n v="0"/>
    <n v="0"/>
    <m/>
    <m/>
    <m/>
    <m/>
    <m/>
    <m/>
    <m/>
    <m/>
    <m/>
    <m/>
    <m/>
    <m/>
    <m/>
  </r>
  <r>
    <n v="2183"/>
    <n v="98282"/>
    <s v="P"/>
    <s v="3 RM Licenses for LeMay Pacific"/>
    <n v="0"/>
    <m/>
    <m/>
    <m/>
    <n v="0"/>
    <s v="WESTERN MICROSYSTEMS"/>
    <m/>
    <m/>
    <d v="2012-10-29T00:00:00"/>
    <d v="2012-10-29T00:00:00"/>
    <x v="227"/>
    <n v="300"/>
    <n v="14110"/>
    <n v="2625"/>
    <n v="14116"/>
    <n v="2625"/>
    <n v="0"/>
    <n v="0"/>
    <n v="70260"/>
    <n v="0"/>
    <s v="P"/>
    <m/>
    <s v="14077-2183"/>
    <m/>
    <s v="Internal"/>
    <s v="A"/>
    <s v="SL"/>
    <m/>
    <s v="WCNX"/>
    <n v="0"/>
    <n v="0"/>
    <m/>
    <m/>
    <m/>
    <m/>
    <m/>
    <m/>
    <m/>
    <m/>
    <m/>
    <m/>
    <m/>
    <m/>
    <m/>
  </r>
  <r>
    <n v="2183"/>
    <n v="97739"/>
    <s v="P"/>
    <s v="80 Liter Carts w/ Lids - Forest Green"/>
    <n v="217"/>
    <m/>
    <m/>
    <m/>
    <n v="0"/>
    <s v="REHRIG PACIFIC COMPANY"/>
    <m/>
    <m/>
    <d v="2012-10-19T00:00:00"/>
    <d v="2012-10-19T00:00:00"/>
    <x v="228"/>
    <n v="700"/>
    <n v="14050"/>
    <n v="7167.46"/>
    <n v="14056"/>
    <n v="7167.46"/>
    <n v="0"/>
    <n v="0"/>
    <n v="54260"/>
    <n v="0"/>
    <s v="P"/>
    <m/>
    <s v="LA173493"/>
    <m/>
    <s v="Internal"/>
    <s v="A"/>
    <s v="SL"/>
    <m/>
    <s v="WCNX"/>
    <n v="0"/>
    <n v="0"/>
    <m/>
    <m/>
    <m/>
    <m/>
    <m/>
    <m/>
    <m/>
    <m/>
    <m/>
    <m/>
    <m/>
    <m/>
    <m/>
  </r>
  <r>
    <n v="2183"/>
    <n v="97551"/>
    <s v="P"/>
    <s v="HP Probook 6460b (SN = CNU241B5LH)"/>
    <n v="0"/>
    <m/>
    <m/>
    <m/>
    <n v="0"/>
    <s v="CDW"/>
    <m/>
    <m/>
    <d v="2012-10-25T00:00:00"/>
    <d v="2012-10-25T00:00:00"/>
    <x v="229"/>
    <n v="300"/>
    <n v="14110"/>
    <n v="767.09"/>
    <n v="14116"/>
    <n v="767.09"/>
    <n v="0"/>
    <n v="0"/>
    <n v="70260"/>
    <n v="0"/>
    <s v="P"/>
    <m/>
    <s v="S247269"/>
    <m/>
    <s v="Internal"/>
    <s v="A"/>
    <s v="SL"/>
    <m/>
    <s v="WCNX"/>
    <n v="0"/>
    <n v="0"/>
    <m/>
    <m/>
    <m/>
    <m/>
    <m/>
    <m/>
    <m/>
    <m/>
    <m/>
    <m/>
    <m/>
    <m/>
    <m/>
  </r>
  <r>
    <n v="2183"/>
    <n v="97550"/>
    <s v="P"/>
    <s v="HP Docking Station (SN = CNU229ZQ98)"/>
    <n v="0"/>
    <m/>
    <m/>
    <m/>
    <n v="0"/>
    <s v="CDW"/>
    <m/>
    <m/>
    <d v="2012-10-25T00:00:00"/>
    <d v="2012-10-25T00:00:00"/>
    <x v="229"/>
    <n v="300"/>
    <n v="14110"/>
    <n v="180.05"/>
    <n v="14116"/>
    <n v="180.05"/>
    <n v="0"/>
    <n v="0"/>
    <n v="70260"/>
    <n v="0"/>
    <s v="P"/>
    <m/>
    <s v="S050030"/>
    <m/>
    <s v="Internal"/>
    <s v="A"/>
    <s v="SL"/>
    <m/>
    <s v="WCNX"/>
    <n v="0"/>
    <n v="0"/>
    <m/>
    <m/>
    <m/>
    <m/>
    <m/>
    <m/>
    <m/>
    <m/>
    <m/>
    <m/>
    <m/>
    <m/>
    <m/>
  </r>
  <r>
    <n v="2183"/>
    <n v="97274"/>
    <s v="P"/>
    <s v="95 Gallon Resi Recycle - Forest Green"/>
    <n v="121"/>
    <m/>
    <m/>
    <m/>
    <n v="0"/>
    <s v="REHRIG PACIFIC COMPANY"/>
    <m/>
    <m/>
    <d v="2012-06-11T00:00:00"/>
    <d v="2012-06-11T00:00:00"/>
    <x v="230"/>
    <n v="700"/>
    <n v="14050"/>
    <n v="6276.47"/>
    <n v="14056"/>
    <n v="6276.47"/>
    <n v="0"/>
    <n v="0"/>
    <n v="54260"/>
    <n v="0"/>
    <s v="P"/>
    <m/>
    <s v="LA170705"/>
    <m/>
    <s v="Internal"/>
    <s v="A"/>
    <s v="SL"/>
    <m/>
    <s v="WCNX"/>
    <n v="0"/>
    <n v="0"/>
    <m/>
    <m/>
    <m/>
    <m/>
    <m/>
    <m/>
    <m/>
    <m/>
    <m/>
    <m/>
    <m/>
    <m/>
    <m/>
  </r>
  <r>
    <n v="2183"/>
    <n v="97273"/>
    <s v="P"/>
    <s v="95 Gallon Resi Recycle - Forest Green"/>
    <n v="365"/>
    <m/>
    <m/>
    <m/>
    <n v="0"/>
    <s v="REHRIG PACIFIC COMPANY"/>
    <m/>
    <m/>
    <d v="2012-06-11T00:00:00"/>
    <d v="2012-06-11T00:00:00"/>
    <x v="231"/>
    <n v="700"/>
    <n v="14050"/>
    <n v="18933.14"/>
    <n v="14056"/>
    <n v="18933.14"/>
    <n v="0"/>
    <n v="0"/>
    <n v="54260"/>
    <n v="0"/>
    <s v="P"/>
    <m/>
    <s v="LA170705"/>
    <m/>
    <s v="Internal"/>
    <s v="A"/>
    <s v="SL"/>
    <m/>
    <s v="WCNX"/>
    <n v="0"/>
    <n v="0"/>
    <m/>
    <m/>
    <m/>
    <m/>
    <m/>
    <m/>
    <m/>
    <m/>
    <m/>
    <m/>
    <m/>
    <m/>
    <m/>
  </r>
  <r>
    <n v="2183"/>
    <n v="97258"/>
    <n v="95877"/>
    <s v="Additional work done for Waste Expo Truck"/>
    <n v="0"/>
    <m/>
    <s v="3BPZL70X6CF168039"/>
    <m/>
    <n v="2012"/>
    <s v="Peterbilt 320"/>
    <s v="Wayne"/>
    <s v="Automated Sideload"/>
    <d v="2012-08-01T00:00:00"/>
    <d v="2012-08-01T00:00:00"/>
    <x v="232"/>
    <n v="900"/>
    <n v="14040"/>
    <n v="23410.92"/>
    <n v="14046"/>
    <n v="23410.92"/>
    <n v="0"/>
    <n v="1517.4"/>
    <n v="51260"/>
    <n v="0"/>
    <s v="P"/>
    <m/>
    <s v="P168039A"/>
    <m/>
    <s v="Internal"/>
    <s v="A"/>
    <s v="SL"/>
    <m/>
    <s v="WCNX"/>
    <n v="0"/>
    <n v="0"/>
    <m/>
    <m/>
    <m/>
    <m/>
    <m/>
    <m/>
    <m/>
    <m/>
    <m/>
    <m/>
    <m/>
    <m/>
    <m/>
  </r>
  <r>
    <n v="2183"/>
    <n v="97216"/>
    <s v="P"/>
    <s v="Wash Rack System Replacement"/>
    <n v="0"/>
    <m/>
    <m/>
    <m/>
    <n v="0"/>
    <m/>
    <m/>
    <m/>
    <d v="2012-10-01T00:00:00"/>
    <d v="2012-10-01T00:00:00"/>
    <x v="233"/>
    <n v="1000"/>
    <n v="14080"/>
    <n v="9478.64"/>
    <n v="14086"/>
    <n v="8688.7199999999993"/>
    <n v="789.92000000000007"/>
    <n v="868.87"/>
    <n v="57260"/>
    <n v="78.989999999999995"/>
    <s v="P"/>
    <m/>
    <n v="7986"/>
    <m/>
    <s v="Internal"/>
    <s v="A"/>
    <s v="SL"/>
    <m/>
    <s v="WCNX"/>
    <n v="0"/>
    <n v="0"/>
    <m/>
    <m/>
    <m/>
    <m/>
    <m/>
    <m/>
    <m/>
    <m/>
    <m/>
    <m/>
    <m/>
    <m/>
    <m/>
  </r>
  <r>
    <n v="2183"/>
    <n v="96949"/>
    <s v="P"/>
    <s v="95 Gallon Refuse - Forest Green"/>
    <n v="243"/>
    <m/>
    <m/>
    <m/>
    <n v="0"/>
    <s v="REHRIG PACIFIC COMPANY"/>
    <m/>
    <m/>
    <d v="2012-09-25T00:00:00"/>
    <d v="2012-09-25T00:00:00"/>
    <x v="234"/>
    <n v="700"/>
    <n v="14050"/>
    <n v="12468.21"/>
    <n v="14056"/>
    <n v="12468.21"/>
    <n v="0"/>
    <n v="0"/>
    <n v="54260"/>
    <n v="0"/>
    <s v="P"/>
    <m/>
    <s v="LA172933"/>
    <m/>
    <s v="Internal"/>
    <s v="A"/>
    <s v="SL"/>
    <m/>
    <s v="WCNX"/>
    <n v="0"/>
    <n v="0"/>
    <m/>
    <m/>
    <m/>
    <m/>
    <m/>
    <m/>
    <m/>
    <m/>
    <m/>
    <m/>
    <m/>
    <m/>
    <m/>
  </r>
  <r>
    <n v="2183"/>
    <n v="96948"/>
    <s v="P"/>
    <s v="65 Gallon Refuse - Forest Green"/>
    <n v="324"/>
    <m/>
    <m/>
    <m/>
    <n v="0"/>
    <s v="REHRIG PACIFIC COMPANY"/>
    <m/>
    <m/>
    <d v="2012-09-25T00:00:00"/>
    <d v="2012-09-25T00:00:00"/>
    <x v="235"/>
    <n v="700"/>
    <n v="14050"/>
    <n v="14291.66"/>
    <n v="14056"/>
    <n v="14291.66"/>
    <n v="0"/>
    <n v="0"/>
    <n v="54260"/>
    <n v="0"/>
    <s v="P"/>
    <m/>
    <s v="LA172932"/>
    <m/>
    <s v="Internal"/>
    <s v="A"/>
    <s v="SL"/>
    <m/>
    <s v="WCNX"/>
    <n v="0"/>
    <n v="0"/>
    <m/>
    <m/>
    <m/>
    <m/>
    <m/>
    <m/>
    <m/>
    <m/>
    <m/>
    <m/>
    <m/>
    <m/>
    <m/>
  </r>
  <r>
    <n v="2183"/>
    <n v="96947"/>
    <s v="P"/>
    <s v="95 Gallon Refuse - Forest Green"/>
    <n v="486"/>
    <m/>
    <m/>
    <m/>
    <n v="0"/>
    <s v="REHRIG PACIFIC COMPANY"/>
    <m/>
    <m/>
    <d v="2012-09-25T00:00:00"/>
    <d v="2012-09-25T00:00:00"/>
    <x v="236"/>
    <n v="700"/>
    <n v="14050"/>
    <n v="24408.13"/>
    <n v="14056"/>
    <n v="24408.13"/>
    <n v="0"/>
    <n v="0"/>
    <n v="54260"/>
    <n v="0"/>
    <s v="P"/>
    <m/>
    <s v="LA172935R"/>
    <m/>
    <s v="Internal"/>
    <s v="A"/>
    <s v="SL"/>
    <m/>
    <s v="WCNX"/>
    <n v="0"/>
    <n v="0"/>
    <m/>
    <m/>
    <m/>
    <m/>
    <m/>
    <m/>
    <m/>
    <m/>
    <m/>
    <m/>
    <m/>
    <m/>
    <m/>
  </r>
  <r>
    <n v="2183"/>
    <n v="96611"/>
    <s v="P"/>
    <s v="95 Gallon Refuse - Forest Green"/>
    <n v="486"/>
    <m/>
    <m/>
    <m/>
    <n v="0"/>
    <s v="REHRIG PACIFIC COMPANY"/>
    <m/>
    <m/>
    <d v="2012-09-25T00:00:00"/>
    <d v="2012-09-25T00:00:00"/>
    <x v="236"/>
    <n v="700"/>
    <n v="14050"/>
    <n v="24408.13"/>
    <n v="14056"/>
    <n v="24408.13"/>
    <n v="0"/>
    <n v="0"/>
    <n v="54260"/>
    <n v="0"/>
    <s v="P"/>
    <m/>
    <s v="LA172934R"/>
    <m/>
    <s v="Internal"/>
    <s v="A"/>
    <s v="SL"/>
    <m/>
    <s v="WCNX"/>
    <n v="0"/>
    <n v="0"/>
    <m/>
    <m/>
    <m/>
    <m/>
    <m/>
    <m/>
    <m/>
    <m/>
    <m/>
    <m/>
    <m/>
    <m/>
    <m/>
  </r>
  <r>
    <n v="2183"/>
    <n v="96401"/>
    <s v="P"/>
    <s v="35 Gallon Refuse - Forest Green"/>
    <n v="810"/>
    <m/>
    <m/>
    <m/>
    <n v="0"/>
    <s v="REHRIG PACIFIC COMPANY"/>
    <m/>
    <m/>
    <d v="2012-09-10T00:00:00"/>
    <d v="2012-09-10T00:00:00"/>
    <x v="237"/>
    <n v="700"/>
    <n v="14050"/>
    <n v="27988.19"/>
    <n v="14056"/>
    <n v="27988.19"/>
    <n v="0"/>
    <n v="0"/>
    <n v="54260"/>
    <n v="0"/>
    <s v="P"/>
    <m/>
    <s v="LA172626"/>
    <m/>
    <s v="Internal"/>
    <s v="A"/>
    <s v="SL"/>
    <m/>
    <s v="WCNX"/>
    <n v="0"/>
    <n v="0"/>
    <m/>
    <m/>
    <m/>
    <m/>
    <m/>
    <m/>
    <m/>
    <m/>
    <m/>
    <m/>
    <m/>
    <m/>
    <m/>
  </r>
  <r>
    <n v="2183"/>
    <n v="96400"/>
    <s v="P"/>
    <s v="95 Gallon Refuse - Forest Green"/>
    <n v="243"/>
    <m/>
    <m/>
    <m/>
    <n v="0"/>
    <s v="REHRIG PACIFIC COMPANY"/>
    <m/>
    <m/>
    <d v="2012-06-27T00:00:00"/>
    <d v="2012-06-27T00:00:00"/>
    <x v="238"/>
    <n v="700"/>
    <n v="14050"/>
    <n v="12604.82"/>
    <n v="14056"/>
    <n v="12604.82"/>
    <n v="0"/>
    <n v="0"/>
    <n v="54260"/>
    <n v="0"/>
    <s v="P"/>
    <m/>
    <s v="LA171028"/>
    <m/>
    <s v="Internal"/>
    <s v="A"/>
    <s v="SL"/>
    <m/>
    <s v="WCNX"/>
    <n v="0"/>
    <n v="0"/>
    <m/>
    <m/>
    <m/>
    <m/>
    <m/>
    <m/>
    <m/>
    <m/>
    <m/>
    <m/>
    <m/>
    <m/>
    <m/>
  </r>
  <r>
    <n v="2183"/>
    <n v="96399"/>
    <s v="P"/>
    <s v="65 Gallon Refuse - Forest Green"/>
    <n v="324"/>
    <m/>
    <m/>
    <m/>
    <n v="0"/>
    <s v="REHRIG PACIFIC COMPANY"/>
    <m/>
    <m/>
    <d v="2012-06-27T00:00:00"/>
    <d v="2012-06-27T00:00:00"/>
    <x v="239"/>
    <n v="700"/>
    <n v="14050"/>
    <n v="14460.83"/>
    <n v="14056"/>
    <n v="14460.83"/>
    <n v="0"/>
    <n v="0"/>
    <n v="54260"/>
    <n v="0"/>
    <s v="P"/>
    <m/>
    <s v="LA171027"/>
    <m/>
    <s v="Internal"/>
    <s v="A"/>
    <s v="SL"/>
    <m/>
    <s v="WCNX"/>
    <n v="0"/>
    <n v="0"/>
    <m/>
    <m/>
    <m/>
    <m/>
    <m/>
    <m/>
    <m/>
    <m/>
    <m/>
    <m/>
    <m/>
    <m/>
    <m/>
  </r>
  <r>
    <n v="2183"/>
    <n v="96398"/>
    <s v="P"/>
    <s v="35 Gallon Refuse - Forest Green"/>
    <n v="810"/>
    <m/>
    <m/>
    <m/>
    <n v="0"/>
    <s v="REHRIG PACIFIC COMPANY"/>
    <m/>
    <m/>
    <d v="2012-07-24T00:00:00"/>
    <d v="2012-07-24T00:00:00"/>
    <x v="240"/>
    <n v="700"/>
    <n v="14050"/>
    <n v="28315.919999999998"/>
    <n v="14056"/>
    <n v="28315.919999999998"/>
    <n v="0"/>
    <n v="0"/>
    <n v="54260"/>
    <n v="0"/>
    <s v="P"/>
    <m/>
    <s v="KE73948"/>
    <m/>
    <s v="Internal"/>
    <s v="A"/>
    <s v="SL"/>
    <m/>
    <s v="WCNX"/>
    <n v="0"/>
    <n v="0"/>
    <m/>
    <m/>
    <m/>
    <m/>
    <m/>
    <m/>
    <m/>
    <m/>
    <m/>
    <m/>
    <m/>
    <m/>
    <m/>
  </r>
  <r>
    <n v="2183"/>
    <n v="96397"/>
    <s v="P"/>
    <s v="20 Gallon Refuse - Forest Green"/>
    <n v="217"/>
    <m/>
    <m/>
    <m/>
    <n v="0"/>
    <s v="REHRIG PACIFIC COMPANY"/>
    <m/>
    <m/>
    <d v="2012-07-24T00:00:00"/>
    <d v="2012-07-24T00:00:00"/>
    <x v="241"/>
    <n v="700"/>
    <n v="14050"/>
    <n v="7373.57"/>
    <n v="14056"/>
    <n v="7373.57"/>
    <n v="0"/>
    <n v="0"/>
    <n v="54260"/>
    <n v="0"/>
    <s v="P"/>
    <m/>
    <s v="KE73949"/>
    <m/>
    <s v="Internal"/>
    <s v="A"/>
    <s v="SL"/>
    <m/>
    <s v="WCNX"/>
    <n v="0"/>
    <n v="0"/>
    <m/>
    <m/>
    <m/>
    <m/>
    <m/>
    <m/>
    <m/>
    <m/>
    <m/>
    <m/>
    <m/>
    <m/>
    <m/>
  </r>
  <r>
    <n v="2183"/>
    <n v="96158"/>
    <n v="95877"/>
    <s v="Rcore Hardware Computer"/>
    <n v="0"/>
    <m/>
    <m/>
    <m/>
    <n v="0"/>
    <s v="2180ROUTEWAR"/>
    <m/>
    <s v="Non-Rolling Stock"/>
    <d v="2012-08-01T00:00:00"/>
    <d v="2012-08-01T00:00:00"/>
    <x v="232"/>
    <n v="300"/>
    <n v="14040"/>
    <n v="8555.08"/>
    <n v="14046"/>
    <n v="8555.08"/>
    <n v="0"/>
    <n v="0"/>
    <n v="51260"/>
    <n v="0"/>
    <s v="P"/>
    <m/>
    <n v="94363"/>
    <m/>
    <s v="Internal"/>
    <s v="A"/>
    <s v="SL"/>
    <m/>
    <s v="WCNX"/>
    <n v="0"/>
    <n v="0"/>
    <m/>
    <m/>
    <m/>
    <m/>
    <m/>
    <m/>
    <m/>
    <m/>
    <m/>
    <m/>
    <m/>
    <m/>
    <m/>
  </r>
  <r>
    <n v="2183"/>
    <n v="95877"/>
    <s v="P"/>
    <s v="New 2012 Peterbil 320 w/ Wayne Body"/>
    <n v="0"/>
    <m/>
    <s v="3BPZL70X6CF168039"/>
    <m/>
    <n v="2012"/>
    <s v="Peterbilt 320"/>
    <s v="Wayne"/>
    <s v="Automated Sideload"/>
    <d v="2012-08-01T00:00:00"/>
    <d v="2012-08-01T00:00:00"/>
    <x v="232"/>
    <n v="900"/>
    <n v="14040"/>
    <n v="297122.34999999998"/>
    <n v="14046"/>
    <n v="297122.34999999998"/>
    <n v="0"/>
    <n v="19257.88"/>
    <n v="51260"/>
    <n v="0"/>
    <s v="P"/>
    <m/>
    <n v="4101952"/>
    <n v="3632"/>
    <s v="Internal"/>
    <s v="A"/>
    <s v="SL"/>
    <m/>
    <s v="WCNX"/>
    <n v="0"/>
    <n v="0"/>
    <m/>
    <m/>
    <m/>
    <m/>
    <m/>
    <m/>
    <m/>
    <m/>
    <m/>
    <m/>
    <m/>
    <m/>
    <m/>
  </r>
  <r>
    <n v="2183"/>
    <n v="95840"/>
    <n v="61080"/>
    <s v="Replace R/O Body for Unit# 4030"/>
    <n v="0"/>
    <m/>
    <m/>
    <m/>
    <n v="0"/>
    <s v="SOLID WASTE SYSTEMS INC"/>
    <m/>
    <m/>
    <d v="2012-07-31T00:00:00"/>
    <d v="2012-07-31T00:00:00"/>
    <x v="242"/>
    <n v="300"/>
    <n v="14040"/>
    <n v="45310.51"/>
    <n v="14046"/>
    <n v="45310.51"/>
    <n v="0"/>
    <n v="0"/>
    <n v="51260"/>
    <n v="0"/>
    <s v="P"/>
    <m/>
    <s v="0057701-IN"/>
    <m/>
    <s v="Internal"/>
    <s v="A"/>
    <s v="SL"/>
    <m/>
    <s v="WCNX"/>
    <n v="0"/>
    <n v="0"/>
    <m/>
    <m/>
    <m/>
    <m/>
    <m/>
    <m/>
    <m/>
    <m/>
    <m/>
    <m/>
    <m/>
    <m/>
    <m/>
  </r>
  <r>
    <n v="2183"/>
    <n v="94943"/>
    <s v="P"/>
    <s v="95 Gallon Carts - Dark Aqua Blue"/>
    <n v="486"/>
    <m/>
    <s v="#069743 t0 070228"/>
    <m/>
    <n v="0"/>
    <s v="REHRIG PACIFIC COMPANY"/>
    <m/>
    <m/>
    <d v="2012-07-06T00:00:00"/>
    <d v="2012-07-06T00:00:00"/>
    <x v="243"/>
    <n v="700"/>
    <n v="14050"/>
    <n v="25209.59"/>
    <n v="14056"/>
    <n v="25209.59"/>
    <n v="0"/>
    <n v="0"/>
    <n v="54260"/>
    <n v="0"/>
    <s v="P"/>
    <m/>
    <s v="LA171284"/>
    <m/>
    <s v="Internal"/>
    <s v="A"/>
    <s v="SL"/>
    <m/>
    <s v="WCNX"/>
    <n v="0"/>
    <n v="0"/>
    <m/>
    <m/>
    <m/>
    <m/>
    <m/>
    <m/>
    <m/>
    <m/>
    <m/>
    <m/>
    <m/>
    <m/>
    <m/>
  </r>
  <r>
    <n v="2183"/>
    <n v="93959"/>
    <s v="P"/>
    <s v="HP Probook 6460b (SN = CNU21636V6) and Docking Station (SN = CNU151ZGCL)"/>
    <n v="0"/>
    <m/>
    <m/>
    <m/>
    <n v="0"/>
    <s v="CDW"/>
    <m/>
    <m/>
    <d v="2012-05-07T00:00:00"/>
    <d v="2012-05-07T00:00:00"/>
    <x v="244"/>
    <n v="300"/>
    <n v="14110"/>
    <n v="949.73"/>
    <n v="14116"/>
    <n v="949.73"/>
    <n v="0"/>
    <n v="0"/>
    <n v="70260"/>
    <n v="0"/>
    <s v="P"/>
    <m/>
    <s v="K197623"/>
    <m/>
    <s v="Internal"/>
    <s v="A"/>
    <s v="SL"/>
    <m/>
    <s v="WCNX"/>
    <n v="0"/>
    <n v="0"/>
    <m/>
    <m/>
    <m/>
    <m/>
    <m/>
    <m/>
    <m/>
    <m/>
    <m/>
    <m/>
    <m/>
    <m/>
    <m/>
  </r>
  <r>
    <n v="2183"/>
    <n v="92581"/>
    <s v="P"/>
    <s v="HP Probook 6460B (SN = CNU2070JQR)  and Docking Station (CNU201Z3S5)"/>
    <n v="0"/>
    <m/>
    <m/>
    <m/>
    <n v="0"/>
    <s v="CDW"/>
    <m/>
    <m/>
    <d v="2012-03-20T00:00:00"/>
    <d v="2012-03-20T00:00:00"/>
    <x v="245"/>
    <n v="300"/>
    <n v="14110"/>
    <n v="947.94"/>
    <n v="14116"/>
    <n v="947.94"/>
    <n v="0"/>
    <n v="0"/>
    <n v="70260"/>
    <n v="0"/>
    <s v="P"/>
    <m/>
    <s v="H099441"/>
    <m/>
    <s v="Internal"/>
    <s v="A"/>
    <s v="SL"/>
    <m/>
    <s v="WCNX"/>
    <n v="0"/>
    <n v="0"/>
    <m/>
    <m/>
    <m/>
    <m/>
    <m/>
    <m/>
    <m/>
    <m/>
    <m/>
    <m/>
    <m/>
    <m/>
    <m/>
  </r>
  <r>
    <n v="2183"/>
    <n v="92496"/>
    <n v="67015"/>
    <s v="Labor to install New Engine in Unit# 4511"/>
    <n v="0"/>
    <m/>
    <m/>
    <m/>
    <n v="0"/>
    <s v="OLYMPIC TRUCK"/>
    <m/>
    <s v="Non-Rolling Stock"/>
    <d v="2012-02-13T00:00:00"/>
    <d v="2012-02-13T00:00:00"/>
    <x v="246"/>
    <n v="300"/>
    <n v="14040"/>
    <n v="4164.8"/>
    <n v="14046"/>
    <n v="4164.8"/>
    <n v="0"/>
    <n v="0"/>
    <n v="51260"/>
    <n v="0"/>
    <s v="P"/>
    <m/>
    <n v="56316"/>
    <m/>
    <s v="Internal"/>
    <s v="A"/>
    <s v="SL"/>
    <m/>
    <s v="WCNX"/>
    <n v="0"/>
    <n v="0"/>
    <m/>
    <m/>
    <m/>
    <m/>
    <m/>
    <m/>
    <m/>
    <m/>
    <m/>
    <m/>
    <m/>
    <m/>
    <m/>
  </r>
  <r>
    <n v="2183"/>
    <n v="92495"/>
    <n v="67015"/>
    <s v="Core Credit for Truck# 4511"/>
    <n v="0"/>
    <m/>
    <m/>
    <m/>
    <n v="0"/>
    <s v="HUSKY TRUCK"/>
    <m/>
    <s v="Non-Rolling Stock"/>
    <d v="2012-02-13T00:00:00"/>
    <d v="2012-02-13T00:00:00"/>
    <x v="246"/>
    <n v="300"/>
    <n v="14040"/>
    <n v="-4700.16"/>
    <n v="14046"/>
    <n v="-4700.16"/>
    <n v="0"/>
    <n v="0"/>
    <n v="51260"/>
    <n v="0"/>
    <s v="P"/>
    <m/>
    <s v="CM668357"/>
    <m/>
    <s v="Internal"/>
    <s v="A"/>
    <s v="SL"/>
    <m/>
    <s v="WCNX"/>
    <n v="0"/>
    <n v="0"/>
    <m/>
    <m/>
    <m/>
    <m/>
    <m/>
    <m/>
    <m/>
    <m/>
    <m/>
    <m/>
    <m/>
    <m/>
    <m/>
  </r>
  <r>
    <n v="2183"/>
    <n v="91687"/>
    <s v="P"/>
    <s v="95 Gallon Comm Recycle - Forest Green"/>
    <n v="486"/>
    <m/>
    <m/>
    <m/>
    <n v="0"/>
    <s v="REHRIG PACIFIC COMPANY"/>
    <m/>
    <m/>
    <d v="2012-03-31T00:00:00"/>
    <d v="2012-03-31T00:00:00"/>
    <x v="247"/>
    <n v="700"/>
    <n v="14050"/>
    <n v="24829.25"/>
    <n v="14056"/>
    <n v="24829.25"/>
    <n v="0"/>
    <n v="0"/>
    <n v="54260"/>
    <n v="0"/>
    <s v="P"/>
    <m/>
    <s v="LA169107"/>
    <m/>
    <s v="Internal"/>
    <s v="A"/>
    <s v="SL"/>
    <m/>
    <s v="WCNX"/>
    <n v="0"/>
    <n v="0"/>
    <m/>
    <m/>
    <m/>
    <m/>
    <m/>
    <m/>
    <m/>
    <m/>
    <m/>
    <m/>
    <m/>
    <m/>
    <m/>
  </r>
  <r>
    <n v="2183"/>
    <n v="91068"/>
    <n v="67015"/>
    <s v="Rebuild Engine on Truck 4511"/>
    <n v="0"/>
    <m/>
    <m/>
    <m/>
    <n v="0"/>
    <s v="HUSKY INTERNATIONAL TRUCK"/>
    <m/>
    <s v="Non-Rolling Stock"/>
    <d v="2012-02-13T00:00:00"/>
    <d v="2012-02-13T00:00:00"/>
    <x v="246"/>
    <n v="300"/>
    <n v="14040"/>
    <n v="12472.57"/>
    <n v="14046"/>
    <n v="12472.57"/>
    <n v="0"/>
    <n v="0"/>
    <n v="51260"/>
    <n v="0"/>
    <s v="P"/>
    <m/>
    <n v="668357"/>
    <m/>
    <s v="Internal"/>
    <s v="A"/>
    <s v="SL"/>
    <m/>
    <s v="WCNX"/>
    <n v="0"/>
    <n v="0"/>
    <m/>
    <m/>
    <m/>
    <m/>
    <m/>
    <m/>
    <m/>
    <m/>
    <m/>
    <m/>
    <m/>
    <m/>
    <m/>
  </r>
  <r>
    <n v="2183"/>
    <n v="90470"/>
    <s v="P"/>
    <s v="Sony Internet TV (SN = 3S18264700B1CD1112368)"/>
    <n v="0"/>
    <m/>
    <m/>
    <m/>
    <n v="0"/>
    <s v="cdw"/>
    <m/>
    <m/>
    <d v="2012-01-25T00:00:00"/>
    <d v="2012-01-25T00:00:00"/>
    <x v="184"/>
    <n v="500"/>
    <n v="14110"/>
    <n v="561.34"/>
    <n v="14116"/>
    <n v="561.34"/>
    <n v="0"/>
    <n v="0"/>
    <n v="70260"/>
    <n v="0"/>
    <s v="P"/>
    <m/>
    <s v="D506713"/>
    <m/>
    <s v="Internal"/>
    <s v="A"/>
    <s v="SL"/>
    <m/>
    <s v="WCNX"/>
    <n v="0"/>
    <n v="0"/>
    <m/>
    <m/>
    <m/>
    <m/>
    <m/>
    <m/>
    <m/>
    <m/>
    <m/>
    <m/>
    <m/>
    <m/>
    <m/>
  </r>
  <r>
    <n v="2183"/>
    <n v="89484"/>
    <s v="P"/>
    <s v="New 2011 Packer FEL Truck"/>
    <n v="0"/>
    <m/>
    <s v="3BPZL00X5BF115175"/>
    <m/>
    <n v="2011"/>
    <s v="Peterbilt 320"/>
    <s v="McNeilus"/>
    <s v="FEL Truck"/>
    <d v="2011-12-01T00:00:00"/>
    <d v="2011-12-01T00:00:00"/>
    <x v="248"/>
    <n v="900"/>
    <n v="14040"/>
    <n v="245480.55"/>
    <n v="14046"/>
    <n v="245480.55"/>
    <n v="0"/>
    <n v="0"/>
    <n v="51260"/>
    <n v="0"/>
    <s v="P"/>
    <m/>
    <n v="1711948"/>
    <n v="2036"/>
    <s v="Internal"/>
    <s v="A"/>
    <s v="SL"/>
    <d v="2011-12-31T00:00:00"/>
    <s v="WCNX"/>
    <n v="0"/>
    <n v="2272.9699999999998"/>
    <m/>
    <m/>
    <m/>
    <m/>
    <m/>
    <m/>
    <m/>
    <m/>
    <m/>
    <m/>
    <m/>
    <m/>
    <m/>
  </r>
  <r>
    <n v="2183"/>
    <n v="88725"/>
    <s v="P"/>
    <s v="Repeater"/>
    <n v="0"/>
    <m/>
    <m/>
    <m/>
    <n v="0"/>
    <m/>
    <m/>
    <m/>
    <d v="2011-12-01T00:00:00"/>
    <d v="2011-12-01T00:00:00"/>
    <x v="185"/>
    <n v="500"/>
    <n v="14070"/>
    <n v="61493.04"/>
    <n v="14076"/>
    <n v="61493.04"/>
    <n v="0"/>
    <n v="0"/>
    <n v="51260"/>
    <n v="0"/>
    <s v="P"/>
    <m/>
    <s v="10-4013929"/>
    <m/>
    <s v="Internal"/>
    <s v="A"/>
    <s v="SL"/>
    <m/>
    <s v="WCNX"/>
    <n v="0"/>
    <n v="0"/>
    <m/>
    <m/>
    <m/>
    <m/>
    <m/>
    <m/>
    <m/>
    <m/>
    <m/>
    <m/>
    <m/>
    <m/>
    <m/>
  </r>
  <r>
    <n v="2183"/>
    <n v="88721"/>
    <s v="P"/>
    <s v="(79) Mounted Radios &amp; (12) Handheld"/>
    <n v="0"/>
    <m/>
    <m/>
    <m/>
    <n v="0"/>
    <m/>
    <m/>
    <m/>
    <d v="2011-12-01T00:00:00"/>
    <d v="2011-12-01T00:00:00"/>
    <x v="185"/>
    <n v="500"/>
    <n v="14070"/>
    <n v="44376.34"/>
    <n v="14076"/>
    <n v="44376.34"/>
    <n v="0"/>
    <n v="0"/>
    <n v="51260"/>
    <n v="0"/>
    <s v="P"/>
    <m/>
    <s v="10-4013929"/>
    <m/>
    <s v="Internal"/>
    <s v="A"/>
    <s v="SL"/>
    <m/>
    <s v="WCNX"/>
    <n v="0"/>
    <n v="0"/>
    <m/>
    <m/>
    <m/>
    <m/>
    <m/>
    <m/>
    <m/>
    <m/>
    <m/>
    <m/>
    <m/>
    <m/>
    <m/>
  </r>
  <r>
    <n v="2183"/>
    <n v="88651"/>
    <s v="P"/>
    <s v="3 RouteManager User Licenses"/>
    <n v="0"/>
    <m/>
    <m/>
    <m/>
    <n v="0"/>
    <s v="WESTERN MICROSYSTEMS"/>
    <m/>
    <m/>
    <d v="2011-12-01T00:00:00"/>
    <d v="2011-12-01T00:00:00"/>
    <x v="249"/>
    <n v="300"/>
    <n v="14110"/>
    <n v="2625"/>
    <n v="14116"/>
    <n v="2625"/>
    <n v="0"/>
    <n v="0"/>
    <n v="70260"/>
    <n v="0"/>
    <s v="P"/>
    <m/>
    <n v="12894"/>
    <m/>
    <s v="Internal"/>
    <s v="A"/>
    <s v="SL"/>
    <m/>
    <s v="WCNX"/>
    <n v="0"/>
    <n v="0"/>
    <m/>
    <m/>
    <m/>
    <m/>
    <m/>
    <m/>
    <m/>
    <m/>
    <m/>
    <m/>
    <m/>
    <m/>
    <m/>
  </r>
  <r>
    <n v="2183"/>
    <n v="88606"/>
    <s v="P"/>
    <s v="65 Gallon Carts &amp; Lids - Forest Green"/>
    <n v="548"/>
    <m/>
    <m/>
    <m/>
    <n v="0"/>
    <s v="REHRIG PACIFIC COMPANY"/>
    <m/>
    <m/>
    <d v="2011-12-20T00:00:00"/>
    <d v="2011-12-20T00:00:00"/>
    <x v="250"/>
    <n v="700"/>
    <n v="14050"/>
    <n v="24666.94"/>
    <n v="14056"/>
    <n v="24666.94"/>
    <n v="0"/>
    <n v="0"/>
    <n v="54260"/>
    <n v="0"/>
    <s v="P"/>
    <m/>
    <s v="LA167670"/>
    <m/>
    <s v="Internal"/>
    <s v="A"/>
    <s v="SL"/>
    <m/>
    <s v="WCNX"/>
    <n v="0"/>
    <n v="0"/>
    <m/>
    <m/>
    <m/>
    <m/>
    <m/>
    <m/>
    <m/>
    <m/>
    <m/>
    <m/>
    <m/>
    <m/>
    <m/>
  </r>
  <r>
    <n v="2183"/>
    <n v="88135"/>
    <s v="P"/>
    <s v="35 Gallon Carts - Forest Green"/>
    <n v="1080"/>
    <m/>
    <m/>
    <m/>
    <n v="0"/>
    <s v="REHRIG PACIFIC COMPANY"/>
    <m/>
    <m/>
    <d v="2011-10-31T00:00:00"/>
    <d v="2011-10-31T00:00:00"/>
    <x v="251"/>
    <n v="700"/>
    <n v="14050"/>
    <n v="38752.42"/>
    <n v="14056"/>
    <n v="38752.42"/>
    <n v="0"/>
    <n v="0"/>
    <n v="54260"/>
    <n v="0"/>
    <s v="P"/>
    <m/>
    <s v="KE72407"/>
    <m/>
    <s v="Internal"/>
    <s v="A"/>
    <s v="SL"/>
    <m/>
    <s v="WCNX"/>
    <n v="0"/>
    <n v="0"/>
    <m/>
    <m/>
    <m/>
    <m/>
    <m/>
    <m/>
    <m/>
    <m/>
    <m/>
    <m/>
    <m/>
    <m/>
    <m/>
  </r>
  <r>
    <n v="2183"/>
    <n v="88134"/>
    <s v="P"/>
    <s v="95 Gallon Carts - Forest Green"/>
    <n v="486"/>
    <m/>
    <s v="# 988023 T0 988508"/>
    <m/>
    <n v="0"/>
    <s v="REHRIG PACIFIC COMPANY"/>
    <m/>
    <m/>
    <d v="2011-10-29T00:00:00"/>
    <d v="2011-10-29T00:00:00"/>
    <x v="251"/>
    <n v="700"/>
    <n v="14050"/>
    <n v="26699.38"/>
    <n v="14056"/>
    <n v="26699.38"/>
    <n v="0"/>
    <n v="0"/>
    <n v="54260"/>
    <n v="0"/>
    <s v="P"/>
    <m/>
    <s v="LA166642"/>
    <m/>
    <s v="Internal"/>
    <s v="A"/>
    <s v="SL"/>
    <m/>
    <s v="WCNX"/>
    <n v="0"/>
    <n v="0"/>
    <m/>
    <m/>
    <m/>
    <m/>
    <m/>
    <m/>
    <m/>
    <m/>
    <m/>
    <m/>
    <m/>
    <m/>
    <m/>
  </r>
  <r>
    <n v="2183"/>
    <n v="87756"/>
    <s v="P"/>
    <s v="New 2012 Peterbilt w/ Wayne Body"/>
    <n v="0"/>
    <m/>
    <s v="3BPZL70X0CF154833"/>
    <m/>
    <n v="2012"/>
    <s v="Peterbilt 320"/>
    <s v="Wayne"/>
    <s v="Automated Sideload"/>
    <d v="2011-11-01T00:00:00"/>
    <d v="2011-11-01T00:00:00"/>
    <x v="252"/>
    <n v="1000"/>
    <n v="14040"/>
    <n v="289049.83"/>
    <n v="14046"/>
    <n v="289049.83"/>
    <n v="0"/>
    <n v="24087.51"/>
    <n v="51260"/>
    <n v="0"/>
    <s v="P"/>
    <m/>
    <n v="4101815"/>
    <n v="3629"/>
    <s v="Internal"/>
    <s v="A"/>
    <s v="SL"/>
    <m/>
    <s v="WCNX"/>
    <n v="0"/>
    <n v="0"/>
    <m/>
    <m/>
    <m/>
    <m/>
    <m/>
    <m/>
    <m/>
    <m/>
    <m/>
    <m/>
    <m/>
    <m/>
    <m/>
  </r>
  <r>
    <n v="2183"/>
    <n v="86471"/>
    <s v="P"/>
    <s v="95 Gallon Carts - Forest Green"/>
    <n v="486"/>
    <m/>
    <m/>
    <m/>
    <n v="0"/>
    <s v="REHRIG PACIFIC COMPANY"/>
    <m/>
    <m/>
    <d v="2011-09-24T00:00:00"/>
    <d v="2011-09-24T00:00:00"/>
    <x v="253"/>
    <n v="700"/>
    <n v="14050"/>
    <n v="26699.38"/>
    <n v="14056"/>
    <n v="26699.38"/>
    <n v="0"/>
    <n v="0"/>
    <n v="54260"/>
    <n v="0"/>
    <s v="P"/>
    <m/>
    <s v="LA165936"/>
    <m/>
    <s v="Internal"/>
    <s v="A"/>
    <s v="SL"/>
    <m/>
    <s v="WCNX"/>
    <n v="0"/>
    <n v="0"/>
    <m/>
    <m/>
    <m/>
    <m/>
    <m/>
    <m/>
    <m/>
    <m/>
    <m/>
    <m/>
    <m/>
    <m/>
    <m/>
  </r>
  <r>
    <n v="2183"/>
    <n v="85936"/>
    <s v="P"/>
    <s v="40 Yard R/O Containers"/>
    <n v="68"/>
    <m/>
    <m/>
    <m/>
    <n v="0"/>
    <m/>
    <m/>
    <s v="40 YD RO Box"/>
    <d v="2008-11-03T00:00:00"/>
    <d v="2008-11-03T00:00:00"/>
    <x v="19"/>
    <n v="700"/>
    <n v="14050"/>
    <n v="146200"/>
    <n v="14056"/>
    <n v="146200"/>
    <n v="0"/>
    <n v="0"/>
    <n v="54260"/>
    <n v="0"/>
    <s v="A"/>
    <s v="LeMay Enterprises"/>
    <m/>
    <m/>
    <s v="Internal"/>
    <s v="A"/>
    <s v="SL"/>
    <d v="2009-04-30T00:00:00"/>
    <s v="WCNX"/>
    <n v="0"/>
    <n v="10442.86"/>
    <m/>
    <m/>
    <m/>
    <m/>
    <m/>
    <m/>
    <m/>
    <m/>
    <m/>
    <m/>
    <m/>
    <m/>
    <m/>
  </r>
  <r>
    <n v="2183"/>
    <n v="85655"/>
    <s v="P"/>
    <s v="RouteManager Licenses 2 Users for LeMay Pacific"/>
    <n v="0"/>
    <m/>
    <m/>
    <m/>
    <n v="0"/>
    <s v="DESERT MICRO"/>
    <m/>
    <m/>
    <d v="2011-08-01T00:00:00"/>
    <d v="2011-08-01T00:00:00"/>
    <x v="254"/>
    <n v="300"/>
    <n v="14110"/>
    <n v="1750"/>
    <n v="14116"/>
    <n v="1750"/>
    <n v="0"/>
    <n v="0"/>
    <n v="70260"/>
    <n v="0"/>
    <s v="P"/>
    <m/>
    <n v="12472"/>
    <m/>
    <s v="Internal"/>
    <s v="A"/>
    <s v="SL"/>
    <m/>
    <s v="WCNX"/>
    <n v="0"/>
    <n v="0"/>
    <m/>
    <m/>
    <m/>
    <m/>
    <m/>
    <m/>
    <m/>
    <m/>
    <m/>
    <m/>
    <m/>
    <m/>
    <m/>
  </r>
  <r>
    <n v="2183"/>
    <n v="85605"/>
    <s v="P"/>
    <s v="95 Gallon Carts - Forest Green"/>
    <n v="100"/>
    <m/>
    <m/>
    <m/>
    <n v="0"/>
    <s v="REHRIG PACIFIC COMPANY"/>
    <m/>
    <m/>
    <d v="2011-07-26T00:00:00"/>
    <d v="2011-07-26T00:00:00"/>
    <x v="255"/>
    <n v="700"/>
    <n v="14050"/>
    <n v="5500.23"/>
    <n v="14056"/>
    <n v="5500.23"/>
    <n v="0"/>
    <n v="0"/>
    <n v="54260"/>
    <n v="0"/>
    <s v="P"/>
    <m/>
    <s v="LA164231"/>
    <m/>
    <s v="Internal"/>
    <s v="A"/>
    <s v="SL"/>
    <m/>
    <s v="WCNX"/>
    <n v="0"/>
    <n v="0"/>
    <m/>
    <m/>
    <m/>
    <m/>
    <m/>
    <m/>
    <m/>
    <m/>
    <m/>
    <m/>
    <m/>
    <m/>
    <m/>
  </r>
  <r>
    <n v="2183"/>
    <n v="85604"/>
    <s v="P"/>
    <s v="65 Gallon Carts - Forest Green"/>
    <n v="146"/>
    <m/>
    <m/>
    <m/>
    <n v="0"/>
    <s v="REHRIG PACIFIC COMPANY"/>
    <m/>
    <m/>
    <d v="2011-07-26T00:00:00"/>
    <d v="2011-07-26T00:00:00"/>
    <x v="255"/>
    <n v="700"/>
    <n v="14050"/>
    <n v="7103.49"/>
    <n v="14056"/>
    <n v="7103.49"/>
    <n v="0"/>
    <n v="0"/>
    <n v="54260"/>
    <n v="0"/>
    <s v="P"/>
    <m/>
    <s v="LA164667"/>
    <m/>
    <s v="Internal"/>
    <s v="A"/>
    <s v="SL"/>
    <m/>
    <s v="WCNX"/>
    <n v="0"/>
    <n v="0"/>
    <m/>
    <m/>
    <m/>
    <m/>
    <m/>
    <m/>
    <m/>
    <m/>
    <m/>
    <m/>
    <m/>
    <m/>
    <m/>
  </r>
  <r>
    <n v="2183"/>
    <n v="85603"/>
    <s v="P"/>
    <s v="95 Gallon Carts - Dark Blue"/>
    <n v="45"/>
    <m/>
    <m/>
    <m/>
    <n v="0"/>
    <s v="REHRIG PACIFIC COMPANY"/>
    <m/>
    <m/>
    <d v="2011-07-01T00:00:00"/>
    <d v="2011-07-01T00:00:00"/>
    <x v="255"/>
    <n v="700"/>
    <n v="14050"/>
    <n v="3208.82"/>
    <n v="14056"/>
    <n v="3208.82"/>
    <n v="0"/>
    <n v="0"/>
    <n v="54260"/>
    <n v="0"/>
    <s v="P"/>
    <m/>
    <s v="LA164669"/>
    <m/>
    <s v="Internal"/>
    <s v="A"/>
    <s v="SL"/>
    <m/>
    <s v="WCNX"/>
    <n v="0"/>
    <n v="0"/>
    <m/>
    <m/>
    <m/>
    <m/>
    <m/>
    <m/>
    <m/>
    <m/>
    <m/>
    <m/>
    <m/>
    <m/>
    <m/>
  </r>
  <r>
    <n v="2183"/>
    <n v="85602"/>
    <s v="P"/>
    <s v="95 Gallon Carts - Dark Blue"/>
    <n v="174"/>
    <m/>
    <m/>
    <m/>
    <n v="0"/>
    <s v="REHRIG PACIFIC COMPANY"/>
    <m/>
    <m/>
    <d v="2011-07-01T00:00:00"/>
    <d v="2011-07-01T00:00:00"/>
    <x v="255"/>
    <n v="700"/>
    <n v="14050"/>
    <n v="9570.39"/>
    <n v="14056"/>
    <n v="9570.39"/>
    <n v="0"/>
    <n v="0"/>
    <n v="54260"/>
    <n v="0"/>
    <s v="P"/>
    <m/>
    <s v="LA164233"/>
    <m/>
    <s v="Internal"/>
    <s v="A"/>
    <s v="SL"/>
    <m/>
    <s v="WCNX"/>
    <n v="0"/>
    <n v="0"/>
    <m/>
    <m/>
    <m/>
    <m/>
    <m/>
    <m/>
    <m/>
    <m/>
    <m/>
    <m/>
    <m/>
    <m/>
    <m/>
  </r>
  <r>
    <n v="2183"/>
    <n v="81015"/>
    <s v="P"/>
    <s v="35 Gallon Carts - Green"/>
    <n v="1080"/>
    <m/>
    <s v="#35040531-35041610"/>
    <m/>
    <n v="0"/>
    <s v="REHRIG PACIFIC COMPANY"/>
    <m/>
    <m/>
    <d v="2011-04-05T00:00:00"/>
    <d v="2011-04-05T00:00:00"/>
    <x v="256"/>
    <n v="700"/>
    <n v="14050"/>
    <n v="36815.379999999997"/>
    <n v="14056"/>
    <n v="36815.379999999997"/>
    <n v="0"/>
    <n v="0"/>
    <n v="54260"/>
    <n v="0"/>
    <s v="P"/>
    <m/>
    <s v="LA162568"/>
    <m/>
    <s v="Internal"/>
    <s v="A"/>
    <s v="SL"/>
    <m/>
    <s v="WCNX"/>
    <n v="0"/>
    <n v="0"/>
    <m/>
    <m/>
    <m/>
    <m/>
    <m/>
    <m/>
    <m/>
    <m/>
    <m/>
    <m/>
    <m/>
    <m/>
    <m/>
  </r>
  <r>
    <n v="2183"/>
    <n v="81014"/>
    <s v="P"/>
    <s v="95 Gallon Green Carts &amp; Lids"/>
    <n v="243"/>
    <m/>
    <s v="#986079-986321"/>
    <m/>
    <n v="0"/>
    <s v="REHRIG PACIFIC COMPANY"/>
    <m/>
    <m/>
    <d v="2011-04-05T00:00:00"/>
    <d v="2011-04-05T00:00:00"/>
    <x v="256"/>
    <n v="700"/>
    <n v="14050"/>
    <n v="12929.7"/>
    <n v="14056"/>
    <n v="12929.7"/>
    <n v="0"/>
    <n v="0"/>
    <n v="54260"/>
    <n v="0"/>
    <s v="P"/>
    <m/>
    <s v="LA162635"/>
    <m/>
    <s v="Internal"/>
    <s v="A"/>
    <s v="SL"/>
    <m/>
    <s v="WCNX"/>
    <n v="0"/>
    <n v="0"/>
    <m/>
    <m/>
    <m/>
    <m/>
    <m/>
    <m/>
    <m/>
    <m/>
    <m/>
    <m/>
    <m/>
    <m/>
    <m/>
  </r>
  <r>
    <n v="2183"/>
    <n v="81013"/>
    <s v="P"/>
    <s v="95 Gallon Forest Green Carts"/>
    <n v="100"/>
    <m/>
    <s v="#985593-985692"/>
    <m/>
    <n v="0"/>
    <s v="REHRIG PACIFIC COMPANY"/>
    <m/>
    <m/>
    <d v="2011-04-05T00:00:00"/>
    <d v="2011-04-05T00:00:00"/>
    <x v="256"/>
    <n v="700"/>
    <n v="14050"/>
    <n v="5136.08"/>
    <n v="14056"/>
    <n v="5136.08"/>
    <n v="0"/>
    <n v="0"/>
    <n v="54260"/>
    <n v="0"/>
    <s v="P"/>
    <m/>
    <s v="LA162482"/>
    <m/>
    <s v="Internal"/>
    <s v="A"/>
    <s v="SL"/>
    <m/>
    <s v="WCNX"/>
    <n v="0"/>
    <n v="0"/>
    <m/>
    <m/>
    <m/>
    <m/>
    <m/>
    <m/>
    <m/>
    <m/>
    <m/>
    <m/>
    <m/>
    <m/>
    <m/>
  </r>
  <r>
    <n v="2183"/>
    <n v="81012"/>
    <s v="P"/>
    <s v="95 Gallon Forest Green Carts"/>
    <n v="386"/>
    <m/>
    <s v="#985693 - 986078"/>
    <m/>
    <n v="0"/>
    <s v="REHRIG PACIFIC COMPANY"/>
    <m/>
    <m/>
    <d v="2011-04-05T00:00:00"/>
    <d v="2011-04-05T00:00:00"/>
    <x v="256"/>
    <n v="700"/>
    <n v="14050"/>
    <n v="20538.54"/>
    <n v="14056"/>
    <n v="20538.54"/>
    <n v="0"/>
    <n v="0"/>
    <n v="54260"/>
    <n v="0"/>
    <s v="P"/>
    <m/>
    <s v="LA162481"/>
    <m/>
    <s v="Internal"/>
    <s v="A"/>
    <s v="SL"/>
    <m/>
    <s v="WCNX"/>
    <n v="0"/>
    <n v="0"/>
    <m/>
    <m/>
    <m/>
    <m/>
    <m/>
    <m/>
    <m/>
    <m/>
    <m/>
    <m/>
    <m/>
    <m/>
    <m/>
  </r>
  <r>
    <n v="2183"/>
    <n v="80385"/>
    <s v="P"/>
    <s v="3 RouteManager Licenses for Pacific"/>
    <n v="0"/>
    <m/>
    <m/>
    <m/>
    <n v="0"/>
    <s v="DESERT MICRO"/>
    <m/>
    <m/>
    <d v="2011-03-07T00:00:00"/>
    <d v="2011-03-07T00:00:00"/>
    <x v="257"/>
    <n v="300"/>
    <n v="14110"/>
    <n v="2625"/>
    <n v="14116"/>
    <n v="2625"/>
    <n v="0"/>
    <n v="0"/>
    <n v="70260"/>
    <n v="0"/>
    <s v="P"/>
    <m/>
    <n v="11937"/>
    <m/>
    <s v="Internal"/>
    <s v="A"/>
    <s v="SL"/>
    <m/>
    <s v="WCNX"/>
    <n v="0"/>
    <n v="0"/>
    <m/>
    <m/>
    <m/>
    <m/>
    <m/>
    <m/>
    <m/>
    <m/>
    <m/>
    <m/>
    <m/>
    <m/>
    <m/>
  </r>
  <r>
    <n v="2183"/>
    <n v="79676"/>
    <s v="P"/>
    <s v="26 Mappoint 2010 Licenses"/>
    <n v="0"/>
    <m/>
    <m/>
    <m/>
    <n v="0"/>
    <s v="SOFTWARE ONE"/>
    <m/>
    <m/>
    <d v="2011-01-01T00:00:00"/>
    <d v="2011-01-01T00:00:00"/>
    <x v="258"/>
    <n v="300"/>
    <n v="14110"/>
    <n v="5850"/>
    <n v="14116"/>
    <n v="5850"/>
    <n v="0"/>
    <n v="0"/>
    <n v="70260"/>
    <n v="0"/>
    <s v="P"/>
    <m/>
    <s v="US-PSI-145754"/>
    <m/>
    <s v="Internal"/>
    <s v="A"/>
    <s v="SL"/>
    <m/>
    <s v="WCNX"/>
    <n v="0"/>
    <n v="0"/>
    <m/>
    <m/>
    <m/>
    <m/>
    <m/>
    <m/>
    <m/>
    <m/>
    <m/>
    <m/>
    <m/>
    <m/>
    <m/>
  </r>
  <r>
    <n v="2183"/>
    <n v="79584"/>
    <n v="79676"/>
    <s v="ADD TAX AT .085 for Route Ware Licenses"/>
    <n v="0"/>
    <m/>
    <m/>
    <m/>
    <n v="0"/>
    <s v="SOFTWARE ONE"/>
    <m/>
    <m/>
    <d v="2010-12-31T00:00:00"/>
    <d v="2010-12-31T00:00:00"/>
    <x v="258"/>
    <n v="300"/>
    <n v="14110"/>
    <n v="497.25"/>
    <n v="14116"/>
    <n v="497.25"/>
    <n v="0"/>
    <n v="0"/>
    <n v="70260"/>
    <n v="0"/>
    <s v="P"/>
    <m/>
    <s v="US-PSI-145754"/>
    <m/>
    <s v="Internal"/>
    <s v="A"/>
    <s v="SL"/>
    <m/>
    <s v="WCNX"/>
    <n v="0"/>
    <n v="0"/>
    <m/>
    <m/>
    <m/>
    <m/>
    <m/>
    <m/>
    <m/>
    <m/>
    <m/>
    <m/>
    <m/>
    <m/>
    <m/>
  </r>
  <r>
    <n v="2183"/>
    <n v="79583"/>
    <n v="78978"/>
    <s v="Tax on Invoice# 16591"/>
    <n v="0"/>
    <m/>
    <m/>
    <m/>
    <n v="0"/>
    <s v="GAYNOR TELESYSTEMS"/>
    <m/>
    <m/>
    <d v="2010-12-31T00:00:00"/>
    <d v="2010-12-31T00:00:00"/>
    <x v="259"/>
    <n v="500"/>
    <n v="14100"/>
    <n v="2931.7"/>
    <n v="14106"/>
    <n v="2931.7"/>
    <n v="0"/>
    <n v="0"/>
    <n v="70260"/>
    <n v="0"/>
    <s v="P"/>
    <m/>
    <n v="16591"/>
    <m/>
    <s v="Internal"/>
    <s v="A"/>
    <s v="SL"/>
    <m/>
    <s v="WCNX"/>
    <n v="0"/>
    <n v="0"/>
    <m/>
    <m/>
    <m/>
    <m/>
    <m/>
    <m/>
    <m/>
    <m/>
    <m/>
    <m/>
    <m/>
    <m/>
    <m/>
  </r>
  <r>
    <n v="2183"/>
    <n v="79582"/>
    <n v="78978"/>
    <s v="Tax on Invoice# 16560"/>
    <n v="0"/>
    <m/>
    <m/>
    <m/>
    <n v="0"/>
    <s v="GAYNOR TELESYSTEMS"/>
    <m/>
    <m/>
    <d v="2010-12-31T00:00:00"/>
    <d v="2010-12-31T00:00:00"/>
    <x v="259"/>
    <n v="500"/>
    <n v="14100"/>
    <n v="29.67"/>
    <n v="14106"/>
    <n v="29.67"/>
    <n v="0"/>
    <n v="0"/>
    <n v="70260"/>
    <n v="0"/>
    <s v="P"/>
    <m/>
    <n v="16560"/>
    <m/>
    <s v="Internal"/>
    <s v="A"/>
    <s v="SL"/>
    <m/>
    <s v="WCNX"/>
    <n v="0"/>
    <n v="0"/>
    <m/>
    <m/>
    <m/>
    <m/>
    <m/>
    <m/>
    <m/>
    <m/>
    <m/>
    <m/>
    <m/>
    <m/>
    <m/>
  </r>
  <r>
    <n v="2183"/>
    <n v="79581"/>
    <n v="78978"/>
    <s v="Tax on Invoice 16588 (Phone System)"/>
    <n v="0"/>
    <m/>
    <m/>
    <m/>
    <n v="0"/>
    <s v="GAYNOR TELESYSTEMS"/>
    <m/>
    <m/>
    <d v="2010-12-31T00:00:00"/>
    <d v="2010-12-31T00:00:00"/>
    <x v="259"/>
    <n v="500"/>
    <n v="14100"/>
    <n v="2130.35"/>
    <n v="14106"/>
    <n v="2130.35"/>
    <n v="0"/>
    <n v="0"/>
    <n v="70260"/>
    <n v="0"/>
    <s v="P"/>
    <m/>
    <n v="16588"/>
    <m/>
    <s v="Internal"/>
    <s v="A"/>
    <s v="SL"/>
    <m/>
    <s v="WCNX"/>
    <n v="0"/>
    <n v="0"/>
    <m/>
    <m/>
    <m/>
    <m/>
    <m/>
    <m/>
    <m/>
    <m/>
    <m/>
    <m/>
    <m/>
    <m/>
    <m/>
  </r>
  <r>
    <n v="2183"/>
    <n v="79580"/>
    <n v="78978"/>
    <s v="Tax on Invoice 15899 (Phone System)"/>
    <n v="0"/>
    <m/>
    <m/>
    <m/>
    <n v="0"/>
    <s v="GAYNOR TELESYSTEMS"/>
    <m/>
    <m/>
    <d v="2010-12-31T00:00:00"/>
    <d v="2010-12-31T00:00:00"/>
    <x v="259"/>
    <n v="500"/>
    <n v="14100"/>
    <n v="1521.68"/>
    <n v="14106"/>
    <n v="1521.68"/>
    <n v="0"/>
    <n v="0"/>
    <n v="70260"/>
    <n v="0"/>
    <s v="P"/>
    <m/>
    <n v="15899"/>
    <m/>
    <s v="Internal"/>
    <s v="A"/>
    <s v="SL"/>
    <m/>
    <s v="WCNX"/>
    <n v="0"/>
    <n v="0"/>
    <m/>
    <m/>
    <m/>
    <m/>
    <m/>
    <m/>
    <m/>
    <m/>
    <m/>
    <m/>
    <m/>
    <m/>
    <m/>
  </r>
  <r>
    <n v="2183"/>
    <n v="79579"/>
    <n v="78978"/>
    <s v="Tax On Invoice# 16457 (Phone System)"/>
    <n v="0"/>
    <m/>
    <m/>
    <m/>
    <n v="0"/>
    <s v="GAYNOR TELESYSTEMS"/>
    <m/>
    <m/>
    <d v="2010-12-31T00:00:00"/>
    <d v="2010-12-31T00:00:00"/>
    <x v="259"/>
    <n v="500"/>
    <n v="14100"/>
    <n v="2434.69"/>
    <n v="14106"/>
    <n v="2434.69"/>
    <n v="0"/>
    <n v="0"/>
    <n v="70260"/>
    <n v="0"/>
    <s v="P"/>
    <m/>
    <n v="16457"/>
    <m/>
    <s v="Internal"/>
    <s v="A"/>
    <s v="SL"/>
    <m/>
    <s v="WCNX"/>
    <n v="0"/>
    <n v="0"/>
    <m/>
    <m/>
    <m/>
    <m/>
    <m/>
    <m/>
    <m/>
    <m/>
    <m/>
    <m/>
    <m/>
    <m/>
    <m/>
  </r>
  <r>
    <n v="2183"/>
    <n v="79490"/>
    <n v="78978"/>
    <s v="Phone System port upgrade at Pacific"/>
    <n v="0"/>
    <m/>
    <m/>
    <m/>
    <n v="0"/>
    <s v="Gaynor Telesystems"/>
    <m/>
    <m/>
    <d v="2010-12-31T00:00:00"/>
    <d v="2010-12-31T00:00:00"/>
    <x v="259"/>
    <n v="500"/>
    <n v="14100"/>
    <n v="710"/>
    <n v="14106"/>
    <n v="710"/>
    <n v="0"/>
    <n v="0"/>
    <n v="70260"/>
    <n v="0"/>
    <s v="P"/>
    <m/>
    <s v="INV000016852"/>
    <m/>
    <s v="Internal"/>
    <s v="A"/>
    <s v="SL"/>
    <m/>
    <s v="WCNX"/>
    <n v="0"/>
    <n v="0"/>
    <m/>
    <m/>
    <m/>
    <m/>
    <m/>
    <m/>
    <m/>
    <m/>
    <m/>
    <m/>
    <m/>
    <m/>
    <m/>
  </r>
  <r>
    <n v="2183"/>
    <n v="79489"/>
    <n v="78978"/>
    <s v="Phone System port upgrade at Pacific"/>
    <n v="0"/>
    <m/>
    <m/>
    <m/>
    <n v="0"/>
    <s v="Gaynor Telesystems"/>
    <m/>
    <m/>
    <d v="2010-12-31T00:00:00"/>
    <d v="2010-12-31T00:00:00"/>
    <x v="259"/>
    <n v="500"/>
    <n v="14100"/>
    <n v="1764"/>
    <n v="14106"/>
    <n v="1764"/>
    <n v="0"/>
    <n v="0"/>
    <n v="70260"/>
    <n v="0"/>
    <s v="P"/>
    <m/>
    <s v="INV000016851"/>
    <m/>
    <s v="Internal"/>
    <s v="A"/>
    <s v="SL"/>
    <m/>
    <s v="WCNX"/>
    <n v="0"/>
    <n v="0"/>
    <m/>
    <m/>
    <m/>
    <m/>
    <m/>
    <m/>
    <m/>
    <m/>
    <m/>
    <m/>
    <m/>
    <m/>
    <m/>
  </r>
  <r>
    <n v="2183"/>
    <n v="79488"/>
    <n v="78978"/>
    <s v="Phone System port upgrade at Pacific"/>
    <n v="0"/>
    <m/>
    <m/>
    <m/>
    <n v="0"/>
    <s v="Gaynor Telesystems"/>
    <m/>
    <m/>
    <d v="2010-12-31T00:00:00"/>
    <d v="2010-12-31T00:00:00"/>
    <x v="259"/>
    <n v="500"/>
    <n v="14100"/>
    <n v="7988.4"/>
    <n v="14106"/>
    <n v="7988.4"/>
    <n v="0"/>
    <n v="0"/>
    <n v="70260"/>
    <n v="0"/>
    <s v="P"/>
    <m/>
    <s v="INV000016850"/>
    <m/>
    <s v="Internal"/>
    <s v="A"/>
    <s v="SL"/>
    <m/>
    <s v="WCNX"/>
    <n v="0"/>
    <n v="0"/>
    <m/>
    <m/>
    <m/>
    <m/>
    <m/>
    <m/>
    <m/>
    <m/>
    <m/>
    <m/>
    <m/>
    <m/>
    <m/>
  </r>
  <r>
    <n v="2183"/>
    <n v="79487"/>
    <n v="78978"/>
    <s v="NEC SV8300 and BBX"/>
    <n v="0"/>
    <m/>
    <m/>
    <m/>
    <n v="0"/>
    <s v="Gaynor Telesystems"/>
    <m/>
    <m/>
    <d v="2010-12-31T00:00:00"/>
    <d v="2010-12-31T00:00:00"/>
    <x v="259"/>
    <n v="500"/>
    <n v="14100"/>
    <n v="25062.9"/>
    <n v="14106"/>
    <n v="25062.9"/>
    <n v="0"/>
    <n v="0"/>
    <n v="70260"/>
    <n v="0"/>
    <s v="P"/>
    <m/>
    <s v="INV000016588"/>
    <m/>
    <s v="Internal"/>
    <s v="A"/>
    <s v="SL"/>
    <m/>
    <s v="WCNX"/>
    <n v="0"/>
    <n v="0"/>
    <m/>
    <m/>
    <m/>
    <m/>
    <m/>
    <m/>
    <m/>
    <m/>
    <m/>
    <m/>
    <m/>
    <m/>
    <m/>
  </r>
  <r>
    <n v="2183"/>
    <n v="79486"/>
    <n v="78978"/>
    <s v="NEC SV8300 and BBX"/>
    <n v="0"/>
    <m/>
    <m/>
    <m/>
    <n v="0"/>
    <s v="Gaynor Telesystems"/>
    <m/>
    <m/>
    <d v="2010-12-31T00:00:00"/>
    <d v="2010-12-31T00:00:00"/>
    <x v="259"/>
    <n v="500"/>
    <n v="14100"/>
    <n v="349"/>
    <n v="14106"/>
    <n v="349"/>
    <n v="0"/>
    <n v="0"/>
    <n v="70260"/>
    <n v="0"/>
    <s v="P"/>
    <m/>
    <s v="INV000016560"/>
    <m/>
    <s v="Internal"/>
    <s v="A"/>
    <s v="SL"/>
    <m/>
    <s v="WCNX"/>
    <n v="0"/>
    <n v="0"/>
    <m/>
    <m/>
    <m/>
    <m/>
    <m/>
    <m/>
    <m/>
    <m/>
    <m/>
    <m/>
    <m/>
    <m/>
    <m/>
  </r>
  <r>
    <n v="2183"/>
    <n v="78978"/>
    <s v="P"/>
    <s v="Phone System for Pacfic Disposal"/>
    <n v="0"/>
    <m/>
    <m/>
    <m/>
    <n v="0"/>
    <m/>
    <m/>
    <m/>
    <d v="2010-12-31T00:00:00"/>
    <d v="2010-12-31T00:00:00"/>
    <x v="259"/>
    <n v="500"/>
    <n v="14100"/>
    <n v="47401.52"/>
    <n v="14106"/>
    <n v="47401.52"/>
    <n v="0"/>
    <n v="0"/>
    <n v="70260"/>
    <n v="0"/>
    <s v="P"/>
    <m/>
    <s v="INV000016457"/>
    <m/>
    <s v="Internal"/>
    <s v="A"/>
    <s v="SL"/>
    <m/>
    <s v="WCNX"/>
    <n v="0"/>
    <n v="0"/>
    <m/>
    <m/>
    <m/>
    <m/>
    <m/>
    <m/>
    <m/>
    <m/>
    <m/>
    <m/>
    <m/>
    <m/>
    <m/>
  </r>
  <r>
    <n v="2183"/>
    <n v="78790"/>
    <s v="P"/>
    <s v="Trailblazer 302 Kohler (Gas Welder), Suitecase Extreme"/>
    <n v="0"/>
    <m/>
    <s v="MA410450H &amp; MA370324A"/>
    <m/>
    <n v="0"/>
    <s v="AIRGAS NOR-PAC"/>
    <m/>
    <m/>
    <d v="2010-12-08T00:00:00"/>
    <d v="2010-12-08T00:00:00"/>
    <x v="260"/>
    <n v="500"/>
    <n v="14070"/>
    <n v="5900.24"/>
    <n v="14076"/>
    <n v="5900.24"/>
    <n v="0"/>
    <n v="0"/>
    <n v="51260"/>
    <n v="0"/>
    <s v="P"/>
    <m/>
    <n v="101907719"/>
    <m/>
    <s v="Internal"/>
    <s v="A"/>
    <s v="SL"/>
    <m/>
    <s v="WCNX"/>
    <n v="0"/>
    <n v="0"/>
    <m/>
    <m/>
    <m/>
    <m/>
    <m/>
    <m/>
    <m/>
    <m/>
    <m/>
    <m/>
    <m/>
    <m/>
    <m/>
  </r>
  <r>
    <n v="2183"/>
    <n v="78782"/>
    <s v="P"/>
    <s v="95 Gallon Carts w/ Lids - Forest Green"/>
    <n v="360"/>
    <m/>
    <s v="# 988233 T0 988592"/>
    <m/>
    <n v="0"/>
    <s v="REHRIG PACIFIC COMPANY-LA"/>
    <m/>
    <m/>
    <d v="2010-11-28T00:00:00"/>
    <d v="2010-11-28T00:00:00"/>
    <x v="261"/>
    <n v="700"/>
    <n v="14050"/>
    <n v="17592.62"/>
    <n v="14056"/>
    <n v="17592.62"/>
    <n v="0"/>
    <n v="0"/>
    <n v="54260"/>
    <n v="0"/>
    <s v="P"/>
    <m/>
    <s v="LA160498"/>
    <m/>
    <s v="Internal"/>
    <s v="A"/>
    <s v="SL"/>
    <m/>
    <s v="WCNX"/>
    <n v="0"/>
    <n v="0"/>
    <m/>
    <m/>
    <m/>
    <m/>
    <m/>
    <m/>
    <m/>
    <m/>
    <m/>
    <m/>
    <m/>
    <m/>
    <m/>
  </r>
  <r>
    <n v="2183"/>
    <n v="78781"/>
    <s v="P"/>
    <s v="35 Gallon Carts w/ Lids - Forest Green"/>
    <n v="270"/>
    <m/>
    <s v="# G35000261 T0 G35000530"/>
    <m/>
    <n v="0"/>
    <s v="REHRIG PACIFIC COMPANY-LA"/>
    <m/>
    <m/>
    <d v="2010-11-28T00:00:00"/>
    <d v="2010-11-28T00:00:00"/>
    <x v="261"/>
    <n v="700"/>
    <n v="14050"/>
    <n v="9025.7900000000009"/>
    <n v="14056"/>
    <n v="9025.7900000000009"/>
    <n v="0"/>
    <n v="0"/>
    <n v="54260"/>
    <n v="0"/>
    <s v="P"/>
    <m/>
    <s v="LA160499"/>
    <m/>
    <s v="Internal"/>
    <s v="A"/>
    <s v="SL"/>
    <m/>
    <s v="WCNX"/>
    <n v="0"/>
    <n v="0"/>
    <m/>
    <m/>
    <m/>
    <m/>
    <m/>
    <m/>
    <m/>
    <m/>
    <m/>
    <m/>
    <m/>
    <m/>
    <m/>
  </r>
  <r>
    <n v="2183"/>
    <n v="78664"/>
    <s v="P"/>
    <s v="65 Gallon Forest Green Carts &amp; Lids"/>
    <n v="648"/>
    <m/>
    <s v="#T53977 T0 T54624"/>
    <m/>
    <n v="0"/>
    <s v="REHRIG PACIFIC COMPANY-LA"/>
    <m/>
    <m/>
    <d v="2010-11-28T00:00:00"/>
    <d v="2010-11-28T00:00:00"/>
    <x v="261"/>
    <n v="700"/>
    <n v="14050"/>
    <n v="27321.69"/>
    <n v="14056"/>
    <n v="27321.69"/>
    <n v="0"/>
    <n v="0"/>
    <n v="54260"/>
    <n v="0"/>
    <s v="P"/>
    <m/>
    <s v="LA160306"/>
    <m/>
    <s v="Internal"/>
    <s v="A"/>
    <s v="SL"/>
    <m/>
    <s v="WCNX"/>
    <n v="0"/>
    <n v="0"/>
    <m/>
    <m/>
    <m/>
    <m/>
    <m/>
    <m/>
    <m/>
    <m/>
    <m/>
    <m/>
    <m/>
    <m/>
    <m/>
  </r>
  <r>
    <n v="2183"/>
    <n v="78223"/>
    <s v="P"/>
    <s v="4 Yard FEL (Plastic) &amp; (40) Drain Plugs"/>
    <n v="20"/>
    <m/>
    <m/>
    <m/>
    <n v="0"/>
    <s v="REHRIG PACIFIC COMPANY-LA"/>
    <m/>
    <s v="4 YD FEL/REL/SL Plastic"/>
    <d v="2010-10-25T00:00:00"/>
    <d v="2010-10-25T00:00:00"/>
    <x v="262"/>
    <n v="700"/>
    <n v="14050"/>
    <n v="14298.63"/>
    <n v="14056"/>
    <n v="14298.63"/>
    <n v="0"/>
    <n v="0"/>
    <n v="54260"/>
    <n v="0"/>
    <s v="P"/>
    <m/>
    <s v="AT128508"/>
    <m/>
    <s v="Internal"/>
    <s v="A"/>
    <s v="SL"/>
    <m/>
    <s v="WCNX"/>
    <n v="0"/>
    <n v="0"/>
    <m/>
    <m/>
    <m/>
    <m/>
    <m/>
    <m/>
    <m/>
    <m/>
    <m/>
    <m/>
    <m/>
    <m/>
    <m/>
  </r>
  <r>
    <n v="2183"/>
    <n v="77836"/>
    <n v="75159"/>
    <s v="Installation (Routeware 5000)"/>
    <n v="0"/>
    <m/>
    <m/>
    <m/>
    <n v="0"/>
    <s v="ROUTEWARE INC"/>
    <m/>
    <m/>
    <d v="2010-06-15T00:00:00"/>
    <d v="2010-06-15T00:00:00"/>
    <x v="263"/>
    <n v="500"/>
    <n v="14070"/>
    <n v="1224.1600000000001"/>
    <n v="14076"/>
    <n v="1224.1600000000001"/>
    <n v="0"/>
    <n v="0"/>
    <n v="51260"/>
    <n v="0"/>
    <s v="P"/>
    <m/>
    <s v="92733-1"/>
    <m/>
    <s v="Internal"/>
    <s v="A"/>
    <s v="SL"/>
    <m/>
    <s v="WCNX"/>
    <n v="0"/>
    <n v="0"/>
    <m/>
    <m/>
    <m/>
    <m/>
    <m/>
    <m/>
    <m/>
    <m/>
    <m/>
    <m/>
    <m/>
    <m/>
    <m/>
  </r>
  <r>
    <n v="2183"/>
    <n v="77835"/>
    <n v="75159"/>
    <s v="Freight (Routeware 5000)"/>
    <n v="0"/>
    <m/>
    <m/>
    <m/>
    <n v="0"/>
    <s v="ROUTEWARE INC"/>
    <m/>
    <m/>
    <d v="2010-06-15T00:00:00"/>
    <d v="2010-06-15T00:00:00"/>
    <x v="263"/>
    <n v="500"/>
    <n v="14070"/>
    <n v="12.13"/>
    <n v="14076"/>
    <n v="12.13"/>
    <n v="0"/>
    <n v="0"/>
    <n v="51260"/>
    <n v="0"/>
    <s v="P"/>
    <m/>
    <s v="92580-1"/>
    <m/>
    <s v="Internal"/>
    <s v="A"/>
    <s v="SL"/>
    <m/>
    <s v="WCNX"/>
    <n v="0"/>
    <n v="0"/>
    <m/>
    <m/>
    <m/>
    <m/>
    <m/>
    <m/>
    <m/>
    <m/>
    <m/>
    <m/>
    <m/>
    <m/>
    <m/>
  </r>
  <r>
    <n v="2183"/>
    <n v="77834"/>
    <n v="75159"/>
    <s v="Reimbursable Travel Expenses (Routeware)"/>
    <n v="0"/>
    <m/>
    <m/>
    <m/>
    <n v="0"/>
    <s v="ROUTEWARE INC"/>
    <m/>
    <m/>
    <d v="2010-06-15T00:00:00"/>
    <d v="2010-06-15T00:00:00"/>
    <x v="263"/>
    <n v="500"/>
    <n v="14070"/>
    <n v="418.68"/>
    <n v="14076"/>
    <n v="418.68"/>
    <n v="0"/>
    <n v="0"/>
    <n v="51260"/>
    <n v="0"/>
    <s v="P"/>
    <m/>
    <s v="92737-1"/>
    <m/>
    <s v="Internal"/>
    <s v="A"/>
    <s v="SL"/>
    <m/>
    <s v="WCNX"/>
    <n v="0"/>
    <n v="0"/>
    <m/>
    <m/>
    <m/>
    <m/>
    <m/>
    <m/>
    <m/>
    <m/>
    <m/>
    <m/>
    <m/>
    <m/>
    <m/>
  </r>
  <r>
    <n v="2183"/>
    <n v="77791"/>
    <s v="P"/>
    <s v="Professional Services for Stormwater Improvements"/>
    <n v="0"/>
    <m/>
    <m/>
    <m/>
    <n v="0"/>
    <s v="PACLAND"/>
    <m/>
    <m/>
    <d v="2010-09-14T00:00:00"/>
    <d v="2010-09-14T00:00:00"/>
    <x v="264"/>
    <n v="1000"/>
    <n v="14010"/>
    <n v="1098.69"/>
    <n v="14016"/>
    <n v="1098.69"/>
    <n v="0"/>
    <n v="0"/>
    <n v="57260"/>
    <n v="0"/>
    <s v="P"/>
    <m/>
    <n v="23562"/>
    <m/>
    <s v="Internal"/>
    <s v="A"/>
    <s v="SL"/>
    <m/>
    <s v="WCNX"/>
    <n v="0"/>
    <n v="0"/>
    <m/>
    <m/>
    <m/>
    <m/>
    <m/>
    <m/>
    <m/>
    <m/>
    <m/>
    <m/>
    <m/>
    <m/>
    <m/>
  </r>
  <r>
    <n v="2183"/>
    <n v="77760"/>
    <s v="P"/>
    <s v="New 2010 Autocar ACX FEL Truck"/>
    <n v="0"/>
    <m/>
    <s v=" 5VCACLJF1AH210404"/>
    <m/>
    <n v="2010"/>
    <s v="Autocar ACX"/>
    <s v="McNeilus"/>
    <s v="FEL Truck"/>
    <d v="2010-10-01T00:00:00"/>
    <d v="2010-10-01T00:00:00"/>
    <x v="265"/>
    <n v="900"/>
    <n v="14040"/>
    <n v="232081.5"/>
    <n v="14046"/>
    <n v="232081.5"/>
    <n v="0"/>
    <n v="0"/>
    <n v="51260"/>
    <n v="0"/>
    <s v="P"/>
    <m/>
    <n v="1421690"/>
    <n v="2035"/>
    <s v="Internal"/>
    <s v="A"/>
    <s v="SL"/>
    <m/>
    <s v="WCNX"/>
    <n v="0"/>
    <n v="0"/>
    <m/>
    <m/>
    <m/>
    <m/>
    <m/>
    <m/>
    <m/>
    <m/>
    <m/>
    <m/>
    <m/>
    <m/>
    <m/>
  </r>
  <r>
    <n v="2183"/>
    <n v="77561"/>
    <s v="P"/>
    <s v="RouteManager Site Licenses and 21 Users for LeMay Pacific"/>
    <n v="0"/>
    <m/>
    <m/>
    <m/>
    <n v="0"/>
    <s v="DESERT MICRO"/>
    <m/>
    <m/>
    <d v="2010-10-01T00:00:00"/>
    <d v="2010-10-01T00:00:00"/>
    <x v="266"/>
    <n v="300"/>
    <n v="14110"/>
    <n v="20775"/>
    <n v="14116"/>
    <n v="20775"/>
    <n v="0"/>
    <n v="0"/>
    <n v="70260"/>
    <n v="0"/>
    <s v="P"/>
    <m/>
    <n v="11482"/>
    <m/>
    <s v="Internal"/>
    <s v="A"/>
    <s v="SL"/>
    <m/>
    <s v="WCNX"/>
    <n v="0"/>
    <n v="0"/>
    <m/>
    <m/>
    <m/>
    <m/>
    <m/>
    <m/>
    <m/>
    <m/>
    <m/>
    <m/>
    <m/>
    <m/>
    <m/>
  </r>
  <r>
    <n v="2183"/>
    <n v="77322"/>
    <s v="P"/>
    <s v="Supply Permit &amp; Connect Office Equipment"/>
    <n v="0"/>
    <m/>
    <m/>
    <m/>
    <n v="0"/>
    <s v="OLYMPIA ELECTRIC"/>
    <m/>
    <m/>
    <d v="2010-08-15T00:00:00"/>
    <d v="2010-08-15T00:00:00"/>
    <x v="267"/>
    <n v="1000"/>
    <n v="14080"/>
    <n v="1127.8399999999999"/>
    <n v="14086"/>
    <n v="1127.8399999999999"/>
    <n v="0"/>
    <n v="0"/>
    <n v="57260"/>
    <n v="0"/>
    <s v="P"/>
    <m/>
    <n v="36900"/>
    <m/>
    <s v="Internal"/>
    <s v="A"/>
    <s v="SL"/>
    <m/>
    <s v="WCNX"/>
    <n v="0"/>
    <n v="0"/>
    <m/>
    <m/>
    <m/>
    <m/>
    <m/>
    <m/>
    <m/>
    <m/>
    <m/>
    <m/>
    <m/>
    <m/>
    <m/>
  </r>
  <r>
    <n v="2183"/>
    <n v="77321"/>
    <s v="P"/>
    <s v="Run Circuits to New Office Furniture"/>
    <n v="0"/>
    <m/>
    <m/>
    <m/>
    <n v="0"/>
    <s v="OLYMPIA ELECTRIC COMPANY"/>
    <m/>
    <m/>
    <d v="2010-08-15T00:00:00"/>
    <d v="2010-08-15T00:00:00"/>
    <x v="267"/>
    <n v="1000"/>
    <n v="14080"/>
    <n v="790.01"/>
    <n v="14086"/>
    <n v="790.01"/>
    <n v="0"/>
    <n v="0"/>
    <n v="57260"/>
    <n v="0"/>
    <s v="P"/>
    <m/>
    <n v="36818"/>
    <m/>
    <s v="Internal"/>
    <s v="A"/>
    <s v="SL"/>
    <m/>
    <s v="WCNX"/>
    <n v="0"/>
    <n v="0"/>
    <m/>
    <m/>
    <m/>
    <m/>
    <m/>
    <m/>
    <m/>
    <m/>
    <m/>
    <m/>
    <m/>
    <m/>
    <m/>
  </r>
  <r>
    <n v="2183"/>
    <n v="77219"/>
    <s v="P"/>
    <s v="95Gallon Carts - Forest Green SERIAL #984161 TO #984260"/>
    <n v="100"/>
    <m/>
    <m/>
    <m/>
    <n v="0"/>
    <s v="REHRIG PACIFIC COMPANY-LA"/>
    <m/>
    <m/>
    <d v="2010-09-11T00:00:00"/>
    <d v="2010-09-11T00:00:00"/>
    <x v="268"/>
    <n v="700"/>
    <n v="14050"/>
    <n v="4841.2700000000004"/>
    <n v="14056"/>
    <n v="4841.2700000000004"/>
    <n v="0"/>
    <n v="0"/>
    <n v="54260"/>
    <n v="0"/>
    <s v="P"/>
    <m/>
    <s v="LA158654"/>
    <m/>
    <s v="Internal"/>
    <s v="A"/>
    <s v="SL"/>
    <m/>
    <s v="WCNX"/>
    <n v="0"/>
    <n v="0"/>
    <m/>
    <m/>
    <m/>
    <m/>
    <m/>
    <m/>
    <m/>
    <m/>
    <m/>
    <m/>
    <m/>
    <m/>
    <m/>
  </r>
  <r>
    <n v="2183"/>
    <n v="77218"/>
    <s v="P"/>
    <s v="95 Gallon Carts - Dark Blue #65712 TO 66097"/>
    <n v="386"/>
    <m/>
    <m/>
    <m/>
    <n v="0"/>
    <s v="REHRIG PACIFIC COMPANY-LA"/>
    <m/>
    <m/>
    <d v="2010-09-11T00:00:00"/>
    <d v="2010-09-11T00:00:00"/>
    <x v="268"/>
    <n v="700"/>
    <n v="14050"/>
    <n v="18687.3"/>
    <n v="14056"/>
    <n v="18687.3"/>
    <n v="0"/>
    <n v="0"/>
    <n v="54260"/>
    <n v="0"/>
    <s v="P"/>
    <m/>
    <s v="LA158655"/>
    <m/>
    <s v="Internal"/>
    <s v="A"/>
    <s v="SL"/>
    <m/>
    <s v="WCNX"/>
    <n v="0"/>
    <n v="0"/>
    <m/>
    <m/>
    <m/>
    <m/>
    <m/>
    <m/>
    <m/>
    <m/>
    <m/>
    <m/>
    <m/>
    <m/>
    <m/>
  </r>
  <r>
    <n v="2183"/>
    <n v="77217"/>
    <s v="P"/>
    <s v="95 Gallon Carts - Forest Green, SERIAL # 984261 TO #984746"/>
    <n v="486"/>
    <m/>
    <m/>
    <m/>
    <n v="0"/>
    <s v="REHRIG PACIFIC COMPANY-LA"/>
    <m/>
    <m/>
    <d v="2010-09-11T00:00:00"/>
    <d v="2010-09-11T00:00:00"/>
    <x v="268"/>
    <n v="700"/>
    <n v="14050"/>
    <n v="24055.88"/>
    <n v="14056"/>
    <n v="24055.88"/>
    <n v="0"/>
    <n v="0"/>
    <n v="54260"/>
    <n v="0"/>
    <s v="P"/>
    <m/>
    <s v="LA158656"/>
    <m/>
    <s v="Internal"/>
    <s v="A"/>
    <s v="SL"/>
    <m/>
    <s v="WCNX"/>
    <n v="0"/>
    <n v="0"/>
    <m/>
    <m/>
    <m/>
    <m/>
    <m/>
    <m/>
    <m/>
    <m/>
    <m/>
    <m/>
    <m/>
    <m/>
    <m/>
  </r>
  <r>
    <n v="2183"/>
    <n v="77100"/>
    <s v="P"/>
    <s v="Professional  Services"/>
    <n v="0"/>
    <m/>
    <m/>
    <m/>
    <n v="0"/>
    <s v="PACLAND"/>
    <m/>
    <m/>
    <d v="2010-09-14T00:00:00"/>
    <d v="2010-09-14T00:00:00"/>
    <x v="264"/>
    <n v="1000"/>
    <n v="14010"/>
    <n v="932.5"/>
    <n v="14016"/>
    <n v="932.5"/>
    <n v="0"/>
    <n v="0"/>
    <n v="57260"/>
    <n v="0"/>
    <s v="P"/>
    <m/>
    <n v="23345"/>
    <m/>
    <s v="Internal"/>
    <s v="A"/>
    <s v="SL"/>
    <m/>
    <s v="WCNX"/>
    <n v="0"/>
    <n v="0"/>
    <m/>
    <m/>
    <m/>
    <m/>
    <m/>
    <m/>
    <m/>
    <m/>
    <m/>
    <m/>
    <m/>
    <m/>
    <m/>
  </r>
  <r>
    <n v="2183"/>
    <n v="76937"/>
    <s v="P"/>
    <s v="35 Gallon MB Carts w/ Lids - Green"/>
    <n v="1080"/>
    <m/>
    <m/>
    <m/>
    <n v="0"/>
    <s v="REHRIG PACIFIC COMPANY-LA"/>
    <m/>
    <m/>
    <d v="2010-08-17T00:00:00"/>
    <d v="2010-08-17T00:00:00"/>
    <x v="269"/>
    <n v="700"/>
    <n v="14050"/>
    <n v="36068"/>
    <n v="14056"/>
    <n v="36068"/>
    <n v="0"/>
    <n v="0"/>
    <n v="54260"/>
    <n v="0"/>
    <s v="P"/>
    <m/>
    <s v="LA158044"/>
    <m/>
    <s v="Internal"/>
    <s v="A"/>
    <s v="SL"/>
    <m/>
    <s v="WCNX"/>
    <n v="0"/>
    <n v="0"/>
    <m/>
    <m/>
    <m/>
    <m/>
    <m/>
    <m/>
    <m/>
    <m/>
    <m/>
    <m/>
    <m/>
    <m/>
    <m/>
  </r>
  <r>
    <n v="2183"/>
    <n v="76800"/>
    <s v="P"/>
    <s v="Cubical panel installation for Pacific Disposal"/>
    <n v="0"/>
    <m/>
    <m/>
    <m/>
    <n v="0"/>
    <s v="CREATIVE OFFICE"/>
    <m/>
    <m/>
    <d v="2010-08-15T00:00:00"/>
    <d v="2010-08-15T00:00:00"/>
    <x v="267"/>
    <n v="1000"/>
    <n v="14100"/>
    <n v="8574.6"/>
    <n v="14106"/>
    <n v="8574.6"/>
    <n v="0"/>
    <n v="0"/>
    <n v="70260"/>
    <n v="0"/>
    <s v="P"/>
    <m/>
    <s v="10-43403"/>
    <m/>
    <s v="Internal"/>
    <s v="A"/>
    <s v="SL"/>
    <m/>
    <s v="WCNX"/>
    <n v="0"/>
    <n v="0"/>
    <m/>
    <m/>
    <m/>
    <m/>
    <m/>
    <m/>
    <m/>
    <m/>
    <m/>
    <m/>
    <m/>
    <m/>
    <m/>
  </r>
  <r>
    <n v="2183"/>
    <n v="76744"/>
    <n v="76648"/>
    <s v="Materials and Labor for Stormwater Seperator"/>
    <n v="0"/>
    <m/>
    <m/>
    <m/>
    <n v="0"/>
    <s v="SABIN ENTERPRISES INC"/>
    <m/>
    <m/>
    <d v="2010-08-30T00:00:00"/>
    <d v="2010-08-30T00:00:00"/>
    <x v="264"/>
    <n v="1000"/>
    <n v="14010"/>
    <n v="15273.58"/>
    <n v="14016"/>
    <n v="15273.58"/>
    <n v="0"/>
    <n v="0"/>
    <n v="57260"/>
    <n v="0"/>
    <s v="P"/>
    <m/>
    <s v="EX-043"/>
    <m/>
    <s v="Internal"/>
    <s v="A"/>
    <s v="SL"/>
    <m/>
    <s v="WCNX"/>
    <n v="0"/>
    <n v="0"/>
    <m/>
    <m/>
    <m/>
    <m/>
    <m/>
    <m/>
    <m/>
    <m/>
    <m/>
    <m/>
    <m/>
    <m/>
    <m/>
  </r>
  <r>
    <n v="2183"/>
    <n v="76648"/>
    <s v="P"/>
    <s v="Stormwater Improvement (Installation of Oil Water Separator)"/>
    <n v="0"/>
    <m/>
    <m/>
    <m/>
    <n v="0"/>
    <s v="Pacland"/>
    <m/>
    <m/>
    <d v="2010-08-30T00:00:00"/>
    <d v="2010-08-30T00:00:00"/>
    <x v="264"/>
    <n v="1000"/>
    <n v="14010"/>
    <n v="4595.6400000000003"/>
    <n v="14016"/>
    <n v="4595.6400000000003"/>
    <n v="0"/>
    <n v="0"/>
    <n v="57260"/>
    <n v="0"/>
    <s v="P"/>
    <m/>
    <n v="22933"/>
    <m/>
    <s v="Internal"/>
    <s v="A"/>
    <s v="SL"/>
    <m/>
    <s v="WCNX"/>
    <n v="0"/>
    <n v="0"/>
    <m/>
    <m/>
    <m/>
    <m/>
    <m/>
    <m/>
    <m/>
    <m/>
    <m/>
    <m/>
    <m/>
    <m/>
    <m/>
  </r>
  <r>
    <n v="2183"/>
    <n v="76639"/>
    <s v="P"/>
    <s v="Office Renovation for Pacific Disposal"/>
    <n v="0"/>
    <m/>
    <m/>
    <m/>
    <n v="0"/>
    <s v="Creative Office"/>
    <m/>
    <m/>
    <d v="2010-08-15T00:00:00"/>
    <d v="2010-08-15T00:00:00"/>
    <x v="267"/>
    <n v="1000"/>
    <n v="14080"/>
    <n v="7000"/>
    <n v="14086"/>
    <n v="7000"/>
    <n v="0"/>
    <n v="0"/>
    <n v="57260"/>
    <n v="0"/>
    <s v="P"/>
    <m/>
    <n v="43616"/>
    <m/>
    <s v="Internal"/>
    <s v="A"/>
    <s v="SL"/>
    <m/>
    <s v="WCNX"/>
    <n v="0"/>
    <n v="0"/>
    <m/>
    <m/>
    <m/>
    <m/>
    <m/>
    <m/>
    <m/>
    <m/>
    <m/>
    <m/>
    <m/>
    <m/>
    <m/>
  </r>
  <r>
    <n v="2183"/>
    <n v="76066"/>
    <s v="P"/>
    <s v="(7) Winterms for Pacific Disposal"/>
    <n v="0"/>
    <m/>
    <m/>
    <m/>
    <n v="0"/>
    <s v="CDW"/>
    <m/>
    <m/>
    <d v="2010-07-15T00:00:00"/>
    <d v="2010-07-15T00:00:00"/>
    <x v="270"/>
    <n v="300"/>
    <n v="14110"/>
    <n v="1808.47"/>
    <n v="14116"/>
    <n v="1808.47"/>
    <n v="0"/>
    <n v="0"/>
    <n v="70260"/>
    <n v="0"/>
    <s v="P"/>
    <m/>
    <s v="TFS5683"/>
    <m/>
    <s v="Internal"/>
    <s v="A"/>
    <s v="SL"/>
    <m/>
    <s v="WCNX"/>
    <n v="0"/>
    <n v="0"/>
    <m/>
    <m/>
    <m/>
    <m/>
    <m/>
    <m/>
    <m/>
    <m/>
    <m/>
    <m/>
    <m/>
    <m/>
    <m/>
  </r>
  <r>
    <n v="2183"/>
    <n v="75671"/>
    <s v="P"/>
    <s v="Used 2005 FORD F150 Pickup"/>
    <n v="0"/>
    <m/>
    <s v="1FTRF14W75NB98208"/>
    <m/>
    <n v="2005"/>
    <s v="Ford F150"/>
    <s v="Pickup"/>
    <s v="Pick Up Truck"/>
    <d v="2010-07-15T00:00:00"/>
    <d v="2010-07-15T00:00:00"/>
    <x v="271"/>
    <n v="300"/>
    <n v="14040"/>
    <n v="15000.01"/>
    <n v="14046"/>
    <n v="15000.01"/>
    <n v="0"/>
    <n v="0"/>
    <n v="51260"/>
    <n v="0"/>
    <s v="P"/>
    <m/>
    <s v="2180FUGATE"/>
    <n v="6050"/>
    <s v="Internal"/>
    <s v="A"/>
    <s v="SL"/>
    <m/>
    <s v="WCNX"/>
    <n v="0"/>
    <n v="0"/>
    <m/>
    <m/>
    <m/>
    <m/>
    <m/>
    <m/>
    <m/>
    <m/>
    <m/>
    <m/>
    <m/>
    <m/>
    <m/>
  </r>
  <r>
    <n v="2183"/>
    <n v="75159"/>
    <s v="P"/>
    <s v="Route Ware 5000"/>
    <n v="0"/>
    <m/>
    <m/>
    <m/>
    <n v="0"/>
    <m/>
    <m/>
    <m/>
    <d v="2010-06-15T00:00:00"/>
    <d v="2010-06-15T00:00:00"/>
    <x v="263"/>
    <n v="500"/>
    <n v="14070"/>
    <n v="9526.59"/>
    <n v="14076"/>
    <n v="9526.59"/>
    <n v="0"/>
    <n v="0"/>
    <n v="51260"/>
    <n v="0"/>
    <s v="P"/>
    <m/>
    <n v="92441"/>
    <m/>
    <s v="Internal"/>
    <s v="A"/>
    <s v="SL"/>
    <m/>
    <s v="WCNX"/>
    <n v="0"/>
    <n v="0"/>
    <m/>
    <m/>
    <m/>
    <m/>
    <m/>
    <m/>
    <m/>
    <m/>
    <m/>
    <m/>
    <m/>
    <m/>
    <m/>
  </r>
  <r>
    <n v="2183"/>
    <n v="73808"/>
    <s v="P"/>
    <s v="95 Gallon Forest Green Carts"/>
    <n v="396"/>
    <m/>
    <m/>
    <m/>
    <n v="0"/>
    <s v="REHRIG PACIFIC COMPANY-LA"/>
    <m/>
    <m/>
    <d v="2010-04-19T00:00:00"/>
    <d v="2010-04-19T00:00:00"/>
    <x v="272"/>
    <n v="700"/>
    <n v="14050"/>
    <n v="19261.66"/>
    <n v="14056"/>
    <n v="19261.66"/>
    <n v="0"/>
    <n v="0"/>
    <n v="54260"/>
    <n v="0"/>
    <s v="P"/>
    <m/>
    <s v="LA155242"/>
    <m/>
    <s v="Internal"/>
    <s v="A"/>
    <s v="SL"/>
    <m/>
    <s v="WCNX"/>
    <n v="0"/>
    <n v="0"/>
    <m/>
    <m/>
    <m/>
    <m/>
    <m/>
    <m/>
    <m/>
    <m/>
    <m/>
    <m/>
    <m/>
    <m/>
    <m/>
  </r>
  <r>
    <n v="2183"/>
    <n v="73807"/>
    <s v="P"/>
    <s v="35 Gallon Carts - Green"/>
    <n v="1080"/>
    <m/>
    <m/>
    <m/>
    <n v="0"/>
    <s v="REHRIG PACIFIC COMPANY-LA"/>
    <m/>
    <m/>
    <d v="2010-04-13T00:00:00"/>
    <d v="2010-04-13T00:00:00"/>
    <x v="273"/>
    <n v="700"/>
    <n v="14050"/>
    <n v="36044.57"/>
    <n v="14056"/>
    <n v="36044.57"/>
    <n v="0"/>
    <n v="0"/>
    <n v="54260"/>
    <n v="0"/>
    <s v="P"/>
    <m/>
    <s v="LA155189"/>
    <m/>
    <s v="Internal"/>
    <s v="A"/>
    <s v="SL"/>
    <m/>
    <s v="WCNX"/>
    <n v="0"/>
    <n v="0"/>
    <m/>
    <m/>
    <m/>
    <m/>
    <m/>
    <m/>
    <m/>
    <m/>
    <m/>
    <m/>
    <m/>
    <m/>
    <m/>
  </r>
  <r>
    <n v="2183"/>
    <n v="71310"/>
    <s v="P"/>
    <s v="95 Gallon Carts - Green"/>
    <n v="486"/>
    <m/>
    <m/>
    <m/>
    <n v="0"/>
    <s v="REHRIG PACIFIC COMPANY-LA"/>
    <m/>
    <m/>
    <d v="2009-12-07T00:00:00"/>
    <d v="2009-12-07T00:00:00"/>
    <x v="274"/>
    <n v="700"/>
    <n v="14050"/>
    <n v="24198.25"/>
    <n v="14056"/>
    <n v="24198.25"/>
    <n v="0"/>
    <n v="0"/>
    <n v="54260"/>
    <n v="0"/>
    <s v="P"/>
    <m/>
    <s v="LA152874"/>
    <m/>
    <s v="Internal"/>
    <s v="A"/>
    <s v="SL"/>
    <m/>
    <s v="WCNX"/>
    <n v="0"/>
    <n v="0"/>
    <m/>
    <m/>
    <m/>
    <m/>
    <m/>
    <m/>
    <m/>
    <m/>
    <m/>
    <m/>
    <m/>
    <m/>
    <m/>
  </r>
  <r>
    <n v="2183"/>
    <n v="70659"/>
    <s v="P"/>
    <s v="35 Gallon Forest Green Refuse Carts"/>
    <n v="846"/>
    <m/>
    <m/>
    <m/>
    <n v="0"/>
    <s v="REHRIG PACIFIC COMPANY-LA"/>
    <m/>
    <m/>
    <d v="2009-11-20T00:00:00"/>
    <d v="2009-11-20T00:00:00"/>
    <x v="274"/>
    <n v="700"/>
    <n v="14050"/>
    <n v="29308.86"/>
    <n v="14056"/>
    <n v="29308.86"/>
    <n v="0"/>
    <n v="0"/>
    <n v="54260"/>
    <n v="0"/>
    <s v="P"/>
    <m/>
    <s v="LA152554"/>
    <m/>
    <s v="Internal"/>
    <s v="A"/>
    <s v="SL"/>
    <m/>
    <s v="WCNX"/>
    <n v="0"/>
    <n v="0"/>
    <m/>
    <m/>
    <m/>
    <m/>
    <m/>
    <m/>
    <m/>
    <m/>
    <m/>
    <m/>
    <m/>
    <m/>
    <m/>
  </r>
  <r>
    <n v="2183"/>
    <n v="68612"/>
    <s v="P"/>
    <s v="Distribute Drive Cams Invoices (Onsite Technicians)"/>
    <n v="0"/>
    <m/>
    <m/>
    <m/>
    <n v="0"/>
    <s v="Drive Cam"/>
    <m/>
    <m/>
    <d v="2009-07-31T00:00:00"/>
    <d v="2009-07-31T00:00:00"/>
    <x v="275"/>
    <n v="500"/>
    <n v="14070"/>
    <n v="14393.06"/>
    <n v="14076"/>
    <n v="14393.06"/>
    <n v="0"/>
    <n v="0"/>
    <n v="51260"/>
    <n v="0"/>
    <s v="P"/>
    <m/>
    <s v="4073806-IN"/>
    <m/>
    <s v="Internal"/>
    <s v="A"/>
    <s v="SL"/>
    <m/>
    <s v="WCNX"/>
    <n v="0"/>
    <n v="0"/>
    <m/>
    <m/>
    <m/>
    <m/>
    <m/>
    <m/>
    <m/>
    <m/>
    <m/>
    <m/>
    <m/>
    <m/>
    <m/>
  </r>
  <r>
    <n v="2183"/>
    <n v="68611"/>
    <s v="P"/>
    <s v="Distribute Drive Cams Invoices (Onsite Technicians)"/>
    <n v="0"/>
    <m/>
    <m/>
    <m/>
    <n v="0"/>
    <s v="Drive Cam"/>
    <m/>
    <m/>
    <d v="2009-07-31T00:00:00"/>
    <d v="2009-07-31T00:00:00"/>
    <x v="275"/>
    <n v="500"/>
    <n v="14070"/>
    <n v="-1085"/>
    <n v="14076"/>
    <n v="-1085"/>
    <n v="0"/>
    <n v="0"/>
    <n v="51260"/>
    <n v="0"/>
    <s v="P"/>
    <m/>
    <s v="4074173-CM"/>
    <m/>
    <s v="Internal"/>
    <s v="A"/>
    <s v="SL"/>
    <m/>
    <s v="WCNX"/>
    <n v="0"/>
    <n v="0"/>
    <m/>
    <m/>
    <m/>
    <m/>
    <m/>
    <m/>
    <m/>
    <m/>
    <m/>
    <m/>
    <m/>
    <m/>
    <m/>
  </r>
  <r>
    <n v="2183"/>
    <n v="68180"/>
    <s v="P"/>
    <s v="65 Gallon Carts - Navy Blue"/>
    <n v="144"/>
    <m/>
    <m/>
    <m/>
    <n v="0"/>
    <s v="REHRIG PACIFIC COMPANY-LA"/>
    <m/>
    <m/>
    <d v="2009-07-07T00:00:00"/>
    <d v="2009-07-07T00:00:00"/>
    <x v="276"/>
    <n v="700"/>
    <n v="14050"/>
    <n v="8294.7900000000009"/>
    <n v="14056"/>
    <n v="8294.7900000000009"/>
    <n v="0"/>
    <n v="0"/>
    <n v="54260"/>
    <n v="0"/>
    <s v="P"/>
    <m/>
    <s v="LA149506"/>
    <m/>
    <s v="Internal"/>
    <s v="A"/>
    <s v="SL"/>
    <m/>
    <s v="WCNX"/>
    <n v="0"/>
    <n v="0"/>
    <m/>
    <m/>
    <m/>
    <m/>
    <m/>
    <m/>
    <m/>
    <m/>
    <m/>
    <m/>
    <m/>
    <m/>
    <m/>
  </r>
  <r>
    <n v="2183"/>
    <n v="68179"/>
    <s v="P"/>
    <s v="65 Gallon Carts - Navy Blue"/>
    <n v="54"/>
    <m/>
    <m/>
    <m/>
    <n v="0"/>
    <s v="REHRIG PACIFIC COMPANY-LA"/>
    <m/>
    <m/>
    <d v="2009-07-07T00:00:00"/>
    <d v="2009-07-07T00:00:00"/>
    <x v="276"/>
    <n v="700"/>
    <n v="14050"/>
    <n v="2934.78"/>
    <n v="14056"/>
    <n v="2934.78"/>
    <n v="0"/>
    <n v="0"/>
    <n v="54260"/>
    <n v="0"/>
    <s v="P"/>
    <m/>
    <s v="LA149507"/>
    <m/>
    <s v="Internal"/>
    <s v="A"/>
    <s v="SL"/>
    <m/>
    <s v="WCNX"/>
    <n v="0"/>
    <n v="0"/>
    <m/>
    <m/>
    <m/>
    <m/>
    <m/>
    <m/>
    <m/>
    <m/>
    <m/>
    <m/>
    <m/>
    <m/>
    <m/>
  </r>
  <r>
    <n v="2183"/>
    <n v="68178"/>
    <s v="P"/>
    <s v="95 Gallon Carts - Navy Blue"/>
    <n v="243"/>
    <m/>
    <m/>
    <m/>
    <n v="0"/>
    <s v="REHRIG PACIFIC COMPANY-LA"/>
    <m/>
    <m/>
    <d v="2009-07-07T00:00:00"/>
    <d v="2009-07-07T00:00:00"/>
    <x v="276"/>
    <n v="700"/>
    <n v="14050"/>
    <n v="11698.36"/>
    <n v="14056"/>
    <n v="11698.36"/>
    <n v="0"/>
    <n v="0"/>
    <n v="54260"/>
    <n v="0"/>
    <s v="P"/>
    <m/>
    <s v="LA149561"/>
    <m/>
    <s v="Internal"/>
    <s v="A"/>
    <s v="SL"/>
    <m/>
    <s v="WCNX"/>
    <n v="0"/>
    <n v="0"/>
    <m/>
    <m/>
    <m/>
    <m/>
    <m/>
    <m/>
    <m/>
    <m/>
    <m/>
    <m/>
    <m/>
    <m/>
    <m/>
  </r>
  <r>
    <n v="2183"/>
    <n v="67258"/>
    <s v="P"/>
    <s v="For Install Drive Cam on Frontline (132 - DriveCams)"/>
    <n v="0"/>
    <m/>
    <m/>
    <m/>
    <n v="0"/>
    <s v="Drive Cam"/>
    <m/>
    <m/>
    <d v="2009-06-30T00:00:00"/>
    <d v="2009-06-30T00:00:00"/>
    <x v="275"/>
    <n v="500"/>
    <n v="14070"/>
    <n v="42016.67"/>
    <n v="14076"/>
    <n v="42016.67"/>
    <n v="0"/>
    <n v="0"/>
    <n v="51260"/>
    <n v="0"/>
    <s v="P"/>
    <m/>
    <s v="4072338-IN"/>
    <m/>
    <s v="Internal"/>
    <s v="A"/>
    <s v="SL"/>
    <m/>
    <s v="WCNX"/>
    <n v="0"/>
    <n v="0"/>
    <m/>
    <m/>
    <m/>
    <m/>
    <m/>
    <m/>
    <m/>
    <m/>
    <m/>
    <m/>
    <m/>
    <m/>
    <m/>
  </r>
  <r>
    <n v="2183"/>
    <n v="67016"/>
    <n v="67015"/>
    <s v="FLUP - Truck 4511"/>
    <n v="0"/>
    <m/>
    <n v="272641"/>
    <m/>
    <n v="1996"/>
    <m/>
    <m/>
    <s v="Non-Rolling Stock"/>
    <d v="2009-06-01T00:00:00"/>
    <d v="2009-06-01T00:00:00"/>
    <x v="277"/>
    <n v="300"/>
    <n v="14040"/>
    <n v="3096.41"/>
    <n v="14046"/>
    <n v="3096.41"/>
    <n v="0"/>
    <n v="0"/>
    <n v="51260"/>
    <n v="0"/>
    <s v="P"/>
    <m/>
    <n v="957931"/>
    <n v="4511"/>
    <s v="Internal"/>
    <s v="A"/>
    <s v="SL"/>
    <d v="2009-07-31T00:00:00"/>
    <s v="WCNX"/>
    <n v="0"/>
    <n v="172.02"/>
    <m/>
    <m/>
    <m/>
    <m/>
    <m/>
    <m/>
    <m/>
    <m/>
    <m/>
    <m/>
    <m/>
    <m/>
    <m/>
  </r>
  <r>
    <n v="2183"/>
    <n v="67015"/>
    <s v="P"/>
    <s v="1996 Type M Hook HL"/>
    <n v="0"/>
    <m/>
    <s v="1HTSCABK7TH272641"/>
    <m/>
    <n v="1996"/>
    <s v="International"/>
    <s v="Other"/>
    <s v="Hook Lift Truck"/>
    <d v="2008-11-03T00:00:00"/>
    <d v="2008-11-03T00:00:00"/>
    <x v="19"/>
    <n v="300"/>
    <n v="14040"/>
    <n v="21500"/>
    <n v="14046"/>
    <n v="21500"/>
    <n v="0"/>
    <n v="0"/>
    <n v="51260"/>
    <n v="0"/>
    <s v="A"/>
    <s v="LeMay Enterprises"/>
    <m/>
    <n v="4511"/>
    <s v="Internal"/>
    <s v="A"/>
    <s v="SL"/>
    <d v="2009-07-31T00:00:00"/>
    <s v="WCNX"/>
    <n v="0"/>
    <n v="5375.01"/>
    <m/>
    <m/>
    <m/>
    <m/>
    <m/>
    <m/>
    <m/>
    <m/>
    <m/>
    <m/>
    <m/>
    <m/>
    <m/>
  </r>
  <r>
    <n v="2183"/>
    <n v="66604"/>
    <s v="P"/>
    <s v="10 Ton Floor Jack"/>
    <n v="0"/>
    <m/>
    <m/>
    <m/>
    <n v="0"/>
    <s v="NAPA Auto Parts"/>
    <m/>
    <m/>
    <d v="2009-07-01T00:00:00"/>
    <d v="2009-07-01T00:00:00"/>
    <x v="278"/>
    <n v="500"/>
    <n v="14070"/>
    <n v="2347.9299999999998"/>
    <n v="14076"/>
    <n v="2347.9299999999998"/>
    <n v="0"/>
    <n v="0"/>
    <n v="51260"/>
    <n v="0"/>
    <s v="P"/>
    <m/>
    <n v="7505910"/>
    <m/>
    <s v="Internal"/>
    <s v="A"/>
    <s v="SL"/>
    <m/>
    <s v="WCNX"/>
    <n v="0"/>
    <n v="0"/>
    <m/>
    <m/>
    <m/>
    <m/>
    <m/>
    <m/>
    <m/>
    <m/>
    <m/>
    <m/>
    <m/>
    <m/>
    <m/>
  </r>
  <r>
    <n v="2183"/>
    <n v="66103"/>
    <s v="P"/>
    <s v="35 Gallon Carts - Forest Green"/>
    <n v="540"/>
    <m/>
    <m/>
    <m/>
    <n v="0"/>
    <s v="REHRIG PACIFIC COMPANY-LA"/>
    <m/>
    <m/>
    <d v="2009-07-07T00:00:00"/>
    <d v="2009-07-07T00:00:00"/>
    <x v="276"/>
    <n v="700"/>
    <n v="14050"/>
    <n v="18474.009999999998"/>
    <n v="14056"/>
    <n v="18474.009999999998"/>
    <n v="0"/>
    <n v="0"/>
    <n v="54260"/>
    <n v="0"/>
    <s v="P"/>
    <m/>
    <s v="LA149562"/>
    <m/>
    <s v="Internal"/>
    <s v="A"/>
    <s v="SL"/>
    <m/>
    <s v="WCNX"/>
    <n v="0"/>
    <n v="0"/>
    <m/>
    <m/>
    <m/>
    <m/>
    <m/>
    <m/>
    <m/>
    <m/>
    <m/>
    <m/>
    <m/>
    <m/>
    <m/>
  </r>
  <r>
    <n v="2183"/>
    <n v="65997"/>
    <s v="P"/>
    <s v="Pair of 220 Emerson Floor Jacks ($1,740/each)"/>
    <n v="0"/>
    <m/>
    <m/>
    <m/>
    <n v="0"/>
    <s v="Emerson"/>
    <m/>
    <m/>
    <d v="2009-06-20T00:00:00"/>
    <d v="2009-06-20T00:00:00"/>
    <x v="278"/>
    <n v="500"/>
    <n v="14070"/>
    <n v="4147.3100000000004"/>
    <n v="14076"/>
    <n v="4147.3100000000004"/>
    <n v="0"/>
    <n v="0"/>
    <n v="51260"/>
    <n v="0"/>
    <s v="P"/>
    <m/>
    <n v="6440"/>
    <m/>
    <s v="Internal"/>
    <s v="A"/>
    <s v="SL"/>
    <m/>
    <s v="WCNX"/>
    <n v="0"/>
    <n v="0"/>
    <m/>
    <m/>
    <m/>
    <m/>
    <m/>
    <m/>
    <m/>
    <m/>
    <m/>
    <m/>
    <m/>
    <m/>
    <m/>
  </r>
  <r>
    <n v="2183"/>
    <n v="65735"/>
    <s v="P"/>
    <s v="95 Gallon Aqua Blue Carts"/>
    <n v="99"/>
    <m/>
    <m/>
    <m/>
    <n v="0"/>
    <s v="REHRIG PACIFIC COMPANY-LA"/>
    <m/>
    <m/>
    <d v="2009-06-10T00:00:00"/>
    <d v="2009-06-10T00:00:00"/>
    <x v="276"/>
    <n v="700"/>
    <n v="14050"/>
    <n v="4583.41"/>
    <n v="14056"/>
    <n v="4583.41"/>
    <n v="0"/>
    <n v="0"/>
    <n v="54260"/>
    <n v="0"/>
    <s v="P"/>
    <m/>
    <s v="LA149505"/>
    <m/>
    <s v="Internal"/>
    <s v="A"/>
    <s v="SL"/>
    <m/>
    <s v="WCNX"/>
    <n v="0"/>
    <n v="0"/>
    <m/>
    <m/>
    <m/>
    <m/>
    <m/>
    <m/>
    <m/>
    <m/>
    <m/>
    <m/>
    <m/>
    <m/>
    <m/>
  </r>
  <r>
    <n v="2183"/>
    <n v="65734"/>
    <s v="P"/>
    <s v="65 Gallon Green Carts"/>
    <n v="315"/>
    <m/>
    <m/>
    <m/>
    <n v="0"/>
    <s v="REHRIG PACIFIC COMPANY-LA"/>
    <m/>
    <m/>
    <d v="2009-06-10T00:00:00"/>
    <d v="2009-06-10T00:00:00"/>
    <x v="276"/>
    <n v="700"/>
    <n v="14050"/>
    <n v="13018.2"/>
    <n v="14056"/>
    <n v="13018.2"/>
    <n v="0"/>
    <n v="0"/>
    <n v="54260"/>
    <n v="0"/>
    <s v="P"/>
    <m/>
    <s v="LA149504"/>
    <m/>
    <s v="Internal"/>
    <s v="A"/>
    <s v="SL"/>
    <m/>
    <s v="WCNX"/>
    <n v="0"/>
    <n v="0"/>
    <m/>
    <m/>
    <m/>
    <m/>
    <m/>
    <m/>
    <m/>
    <m/>
    <m/>
    <m/>
    <m/>
    <m/>
    <m/>
  </r>
  <r>
    <n v="2183"/>
    <n v="65733"/>
    <s v="P"/>
    <s v="95 Gallon Carts - Blue"/>
    <n v="436"/>
    <m/>
    <m/>
    <m/>
    <n v="0"/>
    <s v="REHRIG PACIFIC COMPANY-LA"/>
    <m/>
    <m/>
    <d v="2009-06-10T00:00:00"/>
    <d v="2009-06-10T00:00:00"/>
    <x v="276"/>
    <n v="700"/>
    <n v="14050"/>
    <n v="20185.46"/>
    <n v="14056"/>
    <n v="20185.46"/>
    <n v="0"/>
    <n v="0"/>
    <n v="54260"/>
    <n v="0"/>
    <s v="P"/>
    <m/>
    <s v="LA149220"/>
    <m/>
    <s v="Internal"/>
    <s v="A"/>
    <s v="SL"/>
    <m/>
    <s v="WCNX"/>
    <n v="0"/>
    <n v="0"/>
    <m/>
    <m/>
    <m/>
    <m/>
    <m/>
    <m/>
    <m/>
    <m/>
    <m/>
    <m/>
    <m/>
    <m/>
    <m/>
  </r>
  <r>
    <n v="2183"/>
    <n v="65732"/>
    <s v="P"/>
    <s v="95 Gallon Carts - Green"/>
    <n v="50"/>
    <m/>
    <m/>
    <m/>
    <n v="0"/>
    <s v="REHRIG PACIFIC COMPANY-LA"/>
    <m/>
    <m/>
    <d v="2009-06-10T00:00:00"/>
    <d v="2009-06-10T00:00:00"/>
    <x v="276"/>
    <n v="700"/>
    <n v="14050"/>
    <n v="2314.85"/>
    <n v="14056"/>
    <n v="2314.85"/>
    <n v="0"/>
    <n v="0"/>
    <n v="54260"/>
    <n v="0"/>
    <s v="P"/>
    <m/>
    <s v="LA149219"/>
    <m/>
    <s v="Internal"/>
    <s v="A"/>
    <s v="SL"/>
    <m/>
    <s v="WCNX"/>
    <n v="0"/>
    <n v="0"/>
    <m/>
    <m/>
    <m/>
    <m/>
    <m/>
    <m/>
    <m/>
    <m/>
    <m/>
    <m/>
    <m/>
    <m/>
    <m/>
  </r>
  <r>
    <n v="2183"/>
    <n v="65599"/>
    <n v="61174"/>
    <s v="FLUP - Truck 5600"/>
    <n v="0"/>
    <m/>
    <n v="56820"/>
    <m/>
    <n v="2001"/>
    <m/>
    <m/>
    <s v="Non-Rolling Stock"/>
    <d v="2009-06-01T00:00:00"/>
    <d v="2009-06-01T00:00:00"/>
    <x v="279"/>
    <n v="300"/>
    <n v="14040"/>
    <n v="17657.45"/>
    <n v="14046"/>
    <n v="17657.45"/>
    <n v="0"/>
    <n v="0"/>
    <n v="51260"/>
    <n v="0"/>
    <s v="P"/>
    <m/>
    <n v="984964"/>
    <n v="5600"/>
    <s v="Internal"/>
    <s v="A"/>
    <s v="SL"/>
    <m/>
    <s v="WCNX"/>
    <n v="0"/>
    <n v="0"/>
    <m/>
    <m/>
    <m/>
    <m/>
    <m/>
    <m/>
    <m/>
    <m/>
    <m/>
    <m/>
    <m/>
    <m/>
    <m/>
  </r>
  <r>
    <n v="2183"/>
    <n v="65594"/>
    <n v="61080"/>
    <s v="FLUP - Truck 4030"/>
    <n v="0"/>
    <m/>
    <n v="33908"/>
    <m/>
    <n v="2002"/>
    <m/>
    <m/>
    <s v="Non-Rolling Stock"/>
    <d v="2009-06-01T00:00:00"/>
    <d v="2009-06-01T00:00:00"/>
    <x v="280"/>
    <n v="300"/>
    <n v="14040"/>
    <n v="2556.91"/>
    <n v="14046"/>
    <n v="2556.91"/>
    <n v="0"/>
    <n v="0"/>
    <n v="51260"/>
    <n v="0"/>
    <s v="P"/>
    <m/>
    <n v="975787"/>
    <n v="4030"/>
    <s v="Internal"/>
    <s v="A"/>
    <s v="SL"/>
    <m/>
    <s v="WCNX"/>
    <n v="0"/>
    <n v="0"/>
    <m/>
    <m/>
    <m/>
    <m/>
    <m/>
    <m/>
    <m/>
    <m/>
    <m/>
    <m/>
    <m/>
    <m/>
    <m/>
  </r>
  <r>
    <n v="2183"/>
    <n v="64730"/>
    <s v="P"/>
    <s v="4 Yard Commercial Containers"/>
    <n v="10"/>
    <m/>
    <m/>
    <m/>
    <n v="0"/>
    <m/>
    <m/>
    <s v="4 YD FEL/REL/SL Metal"/>
    <d v="2008-11-03T00:00:00"/>
    <d v="2008-11-03T00:00:00"/>
    <x v="19"/>
    <n v="1200"/>
    <n v="14050"/>
    <n v="2300"/>
    <n v="14056"/>
    <n v="2300"/>
    <n v="0"/>
    <n v="0"/>
    <n v="54260"/>
    <n v="0"/>
    <s v="A"/>
    <s v="LeMay Enterprises"/>
    <m/>
    <m/>
    <s v="Internal"/>
    <s v="A"/>
    <s v="SL"/>
    <d v="2020-08-31T00:00:00"/>
    <s v="WCNX"/>
    <n v="9"/>
    <n v="2268.06"/>
    <m/>
    <m/>
    <m/>
    <m/>
    <m/>
    <m/>
    <m/>
    <m/>
    <m/>
    <m/>
    <m/>
    <m/>
    <m/>
  </r>
  <r>
    <n v="2183"/>
    <n v="64692"/>
    <s v="P"/>
    <s v="10 Yard R/O Containers"/>
    <n v="1"/>
    <m/>
    <m/>
    <m/>
    <n v="0"/>
    <m/>
    <m/>
    <s v="10 YD RO Box"/>
    <d v="2008-11-03T00:00:00"/>
    <d v="2008-11-03T00:00:00"/>
    <x v="19"/>
    <n v="700"/>
    <n v="14050"/>
    <n v="546.41999999999996"/>
    <n v="14056"/>
    <n v="546.41999999999996"/>
    <n v="0"/>
    <n v="0"/>
    <n v="54260"/>
    <n v="0"/>
    <s v="A"/>
    <s v="LeMay Enterprises"/>
    <m/>
    <m/>
    <s v="Internal"/>
    <s v="A"/>
    <s v="SL"/>
    <d v="2020-08-31T00:00:00"/>
    <s v="WCNX"/>
    <n v="5"/>
    <n v="546.41999999999996"/>
    <m/>
    <m/>
    <m/>
    <m/>
    <m/>
    <m/>
    <m/>
    <m/>
    <m/>
    <m/>
    <m/>
    <m/>
    <m/>
  </r>
  <r>
    <n v="2183"/>
    <n v="64669"/>
    <s v="P"/>
    <s v="35 Yard R/O Containers"/>
    <n v="1"/>
    <m/>
    <m/>
    <m/>
    <n v="0"/>
    <m/>
    <m/>
    <s v="35 YD RO Box"/>
    <d v="2008-11-03T00:00:00"/>
    <d v="2008-11-03T00:00:00"/>
    <x v="19"/>
    <n v="700"/>
    <n v="14050"/>
    <n v="17357"/>
    <n v="14056"/>
    <n v="17357"/>
    <n v="0"/>
    <n v="0"/>
    <n v="54260"/>
    <n v="0"/>
    <s v="A"/>
    <s v="LeMay Enterprises"/>
    <m/>
    <m/>
    <s v="Internal"/>
    <s v="A"/>
    <s v="SL"/>
    <d v="2009-04-30T00:00:00"/>
    <s v="WCNX"/>
    <n v="0"/>
    <n v="1239.79"/>
    <m/>
    <m/>
    <m/>
    <m/>
    <m/>
    <m/>
    <m/>
    <m/>
    <m/>
    <m/>
    <m/>
    <m/>
    <m/>
  </r>
  <r>
    <n v="2183"/>
    <n v="64658"/>
    <s v="P"/>
    <s v="5 Yard Commercial Containers"/>
    <n v="118"/>
    <m/>
    <m/>
    <m/>
    <n v="0"/>
    <m/>
    <m/>
    <s v="5 YD FEL/REL/SL Metal"/>
    <d v="2008-11-03T00:00:00"/>
    <d v="2008-11-03T00:00:00"/>
    <x v="19"/>
    <n v="1200"/>
    <n v="14050"/>
    <n v="32310.93"/>
    <n v="14056"/>
    <n v="32310.93"/>
    <n v="0"/>
    <n v="0"/>
    <n v="54260"/>
    <n v="0"/>
    <s v="A"/>
    <s v="LeMay Enterprises"/>
    <m/>
    <m/>
    <s v="Internal"/>
    <s v="A"/>
    <s v="SL"/>
    <d v="2013-07-31T00:00:00"/>
    <s v="WCNX"/>
    <n v="7"/>
    <n v="12789.73"/>
    <m/>
    <m/>
    <m/>
    <m/>
    <m/>
    <m/>
    <m/>
    <m/>
    <m/>
    <m/>
    <m/>
    <m/>
    <m/>
  </r>
  <r>
    <n v="2183"/>
    <n v="64656"/>
    <s v="P"/>
    <s v="1.5 Yard Commercial Containers"/>
    <n v="187"/>
    <m/>
    <m/>
    <m/>
    <n v="0"/>
    <m/>
    <m/>
    <s v="1.5 YD FEL/REL/SL Metal"/>
    <d v="2008-11-03T00:00:00"/>
    <d v="2008-11-03T00:00:00"/>
    <x v="19"/>
    <n v="1200"/>
    <n v="14050"/>
    <n v="24504.47"/>
    <n v="14056"/>
    <n v="24504.47"/>
    <n v="0"/>
    <n v="0"/>
    <n v="54260"/>
    <n v="0"/>
    <s v="A"/>
    <s v="LeMay Enterprises"/>
    <m/>
    <m/>
    <s v="Internal"/>
    <s v="A"/>
    <s v="SL"/>
    <d v="2020-09-30T00:00:00"/>
    <s v="WCNX"/>
    <n v="6"/>
    <n v="24334.29"/>
    <m/>
    <m/>
    <m/>
    <m/>
    <m/>
    <m/>
    <m/>
    <m/>
    <m/>
    <m/>
    <m/>
    <m/>
    <m/>
  </r>
  <r>
    <n v="2183"/>
    <n v="63871"/>
    <s v="P"/>
    <s v="95 Gallon Green Carts"/>
    <n v="50"/>
    <m/>
    <m/>
    <m/>
    <n v="0"/>
    <s v="REHRIG PACIFIC COMPANY-LA"/>
    <m/>
    <m/>
    <d v="2009-04-03T00:00:00"/>
    <d v="2009-04-03T00:00:00"/>
    <x v="281"/>
    <n v="700"/>
    <n v="14050"/>
    <n v="2152.64"/>
    <n v="14056"/>
    <n v="2152.64"/>
    <n v="0"/>
    <n v="0"/>
    <n v="54260"/>
    <n v="0"/>
    <s v="P"/>
    <m/>
    <s v="LA147726"/>
    <m/>
    <s v="Internal"/>
    <s v="A"/>
    <s v="SL"/>
    <m/>
    <s v="WCNX"/>
    <n v="0"/>
    <n v="0"/>
    <m/>
    <m/>
    <m/>
    <m/>
    <m/>
    <m/>
    <m/>
    <m/>
    <m/>
    <m/>
    <m/>
    <m/>
    <m/>
  </r>
  <r>
    <n v="2183"/>
    <n v="63870"/>
    <s v="P"/>
    <s v="95 Gallon Aqua Carts"/>
    <n v="436"/>
    <m/>
    <m/>
    <m/>
    <n v="0"/>
    <s v="REHRIG PACIFIC COMPANY-LA"/>
    <m/>
    <m/>
    <d v="2009-04-03T00:00:00"/>
    <d v="2009-04-03T00:00:00"/>
    <x v="281"/>
    <n v="700"/>
    <n v="14050"/>
    <n v="21651.7"/>
    <n v="14056"/>
    <n v="21651.7"/>
    <n v="0"/>
    <n v="0"/>
    <n v="54260"/>
    <n v="0"/>
    <s v="P"/>
    <m/>
    <s v="LA147725"/>
    <m/>
    <s v="Internal"/>
    <s v="A"/>
    <s v="SL"/>
    <m/>
    <s v="WCNX"/>
    <n v="0"/>
    <n v="0"/>
    <m/>
    <m/>
    <m/>
    <m/>
    <m/>
    <m/>
    <m/>
    <m/>
    <m/>
    <m/>
    <m/>
    <m/>
    <m/>
  </r>
  <r>
    <n v="2183"/>
    <n v="63829"/>
    <s v="P"/>
    <s v="95 Gallon Carts - Green"/>
    <n v="486"/>
    <m/>
    <m/>
    <m/>
    <n v="0"/>
    <s v="REHRIG PACIFIC COMPANY-LA"/>
    <m/>
    <m/>
    <d v="2009-03-20T00:00:00"/>
    <d v="2009-03-20T00:00:00"/>
    <x v="281"/>
    <n v="700"/>
    <n v="14050"/>
    <n v="24510"/>
    <n v="14056"/>
    <n v="24510"/>
    <n v="0"/>
    <n v="0"/>
    <n v="54260"/>
    <n v="0"/>
    <s v="P"/>
    <m/>
    <s v="LA147429"/>
    <m/>
    <s v="Internal"/>
    <s v="A"/>
    <s v="SL"/>
    <m/>
    <s v="WCNX"/>
    <n v="0"/>
    <n v="0"/>
    <m/>
    <m/>
    <m/>
    <m/>
    <m/>
    <m/>
    <m/>
    <m/>
    <m/>
    <m/>
    <m/>
    <m/>
    <m/>
  </r>
  <r>
    <n v="2183"/>
    <n v="63082"/>
    <s v="P"/>
    <s v="35 Gallon Carts - Grey"/>
    <n v="75"/>
    <m/>
    <m/>
    <m/>
    <n v="0"/>
    <s v="REHRIG PACIFIC COMPANY-LA"/>
    <m/>
    <m/>
    <d v="2009-02-15T00:00:00"/>
    <d v="2009-02-15T00:00:00"/>
    <x v="282"/>
    <n v="700"/>
    <n v="14050"/>
    <n v="3861.76"/>
    <n v="14056"/>
    <n v="3861.76"/>
    <n v="0"/>
    <n v="0"/>
    <n v="54260"/>
    <n v="0"/>
    <s v="P"/>
    <m/>
    <s v="LA146521"/>
    <m/>
    <s v="Internal"/>
    <s v="A"/>
    <s v="SL"/>
    <m/>
    <s v="WCNX"/>
    <n v="0"/>
    <n v="0"/>
    <m/>
    <m/>
    <m/>
    <m/>
    <m/>
    <m/>
    <m/>
    <m/>
    <m/>
    <m/>
    <m/>
    <m/>
    <m/>
  </r>
  <r>
    <n v="2183"/>
    <n v="63081"/>
    <s v="P"/>
    <s v="35 Gallon Carts - Grey"/>
    <n v="75"/>
    <m/>
    <m/>
    <m/>
    <n v="0"/>
    <s v="REHRIG PACIFIC COMPANY-LA"/>
    <m/>
    <m/>
    <d v="2009-02-15T00:00:00"/>
    <d v="2009-02-15T00:00:00"/>
    <x v="282"/>
    <n v="700"/>
    <n v="14050"/>
    <n v="4321.3900000000003"/>
    <n v="14056"/>
    <n v="4321.3900000000003"/>
    <n v="0"/>
    <n v="0"/>
    <n v="54260"/>
    <n v="0"/>
    <s v="P"/>
    <m/>
    <s v="LA146520"/>
    <m/>
    <s v="Internal"/>
    <s v="A"/>
    <s v="SL"/>
    <m/>
    <s v="WCNX"/>
    <n v="0"/>
    <n v="0"/>
    <m/>
    <m/>
    <m/>
    <m/>
    <m/>
    <m/>
    <m/>
    <m/>
    <m/>
    <m/>
    <m/>
    <m/>
    <m/>
  </r>
  <r>
    <n v="2183"/>
    <n v="63080"/>
    <s v="P"/>
    <s v="35 Gallon Carts - Green"/>
    <n v="930"/>
    <m/>
    <m/>
    <m/>
    <n v="0"/>
    <s v="REHRIG PACIFIC COMPANY-LA"/>
    <m/>
    <m/>
    <d v="2009-02-15T00:00:00"/>
    <d v="2009-02-15T00:00:00"/>
    <x v="282"/>
    <n v="700"/>
    <n v="14050"/>
    <n v="38457.08"/>
    <n v="14056"/>
    <n v="38457.08"/>
    <n v="0"/>
    <n v="0"/>
    <n v="54260"/>
    <n v="0"/>
    <s v="P"/>
    <m/>
    <s v="LA146519"/>
    <m/>
    <s v="Internal"/>
    <s v="A"/>
    <s v="SL"/>
    <m/>
    <s v="WCNX"/>
    <n v="0"/>
    <n v="0"/>
    <m/>
    <m/>
    <m/>
    <m/>
    <m/>
    <m/>
    <m/>
    <m/>
    <m/>
    <m/>
    <m/>
    <m/>
    <m/>
  </r>
  <r>
    <n v="2183"/>
    <n v="62921"/>
    <s v="P"/>
    <s v="HP 6730b Notebook SN SCNU8423YYD and Docking Station"/>
    <n v="0"/>
    <m/>
    <m/>
    <m/>
    <n v="0"/>
    <s v="CDW"/>
    <m/>
    <m/>
    <d v="2009-01-01T00:00:00"/>
    <d v="2009-01-01T00:00:00"/>
    <x v="283"/>
    <n v="201"/>
    <n v="14110"/>
    <n v="1366.14"/>
    <n v="14116"/>
    <n v="1366.14"/>
    <n v="0"/>
    <n v="0"/>
    <n v="70260"/>
    <n v="0"/>
    <s v="P"/>
    <m/>
    <s v="MXL8375"/>
    <m/>
    <s v="Internal"/>
    <s v="A"/>
    <s v="SL"/>
    <m/>
    <s v="WCNX"/>
    <n v="0"/>
    <n v="0"/>
    <m/>
    <m/>
    <m/>
    <m/>
    <m/>
    <m/>
    <m/>
    <m/>
    <m/>
    <m/>
    <m/>
    <m/>
    <m/>
  </r>
  <r>
    <n v="2183"/>
    <n v="62920"/>
    <s v="P"/>
    <s v="Panasonic Toughbook 52 SN 8KTYA34668"/>
    <n v="0"/>
    <m/>
    <m/>
    <m/>
    <n v="0"/>
    <s v="CDW"/>
    <m/>
    <m/>
    <d v="2009-01-01T00:00:00"/>
    <d v="2009-01-01T00:00:00"/>
    <x v="283"/>
    <n v="201"/>
    <n v="14110"/>
    <n v="1715.83"/>
    <n v="14116"/>
    <n v="1715.83"/>
    <n v="0"/>
    <n v="0"/>
    <n v="70260"/>
    <n v="0"/>
    <s v="P"/>
    <m/>
    <s v="MXQ5820"/>
    <m/>
    <s v="Internal"/>
    <s v="A"/>
    <s v="SL"/>
    <m/>
    <s v="WCNX"/>
    <n v="0"/>
    <n v="0"/>
    <m/>
    <m/>
    <m/>
    <m/>
    <m/>
    <m/>
    <m/>
    <m/>
    <m/>
    <m/>
    <m/>
    <m/>
    <m/>
  </r>
  <r>
    <n v="2183"/>
    <n v="62784"/>
    <s v="P"/>
    <s v="Shop Jacks"/>
    <n v="0"/>
    <m/>
    <m/>
    <m/>
    <n v="0"/>
    <s v="ARI HETRA"/>
    <m/>
    <m/>
    <d v="2009-01-01T00:00:00"/>
    <d v="2009-01-01T00:00:00"/>
    <x v="284"/>
    <n v="411"/>
    <n v="14070"/>
    <n v="2847"/>
    <n v="14076"/>
    <n v="2847"/>
    <n v="0"/>
    <n v="0"/>
    <n v="51260"/>
    <n v="0"/>
    <s v="P"/>
    <m/>
    <s v="0030881-IN"/>
    <m/>
    <s v="Internal"/>
    <s v="A"/>
    <s v="SL"/>
    <m/>
    <s v="WCNX"/>
    <n v="0"/>
    <n v="0"/>
    <m/>
    <m/>
    <m/>
    <m/>
    <m/>
    <m/>
    <m/>
    <m/>
    <m/>
    <m/>
    <m/>
    <m/>
    <m/>
  </r>
  <r>
    <n v="2183"/>
    <n v="62604"/>
    <n v="61128"/>
    <s v="Autogreaser for Truck 3621"/>
    <n v="0"/>
    <m/>
    <m/>
    <m/>
    <n v="0"/>
    <m/>
    <m/>
    <s v="Non-Rolling Stock"/>
    <d v="2009-01-01T00:00:00"/>
    <d v="2009-01-01T00:00:00"/>
    <x v="285"/>
    <n v="300"/>
    <n v="14040"/>
    <n v="3949.44"/>
    <n v="14046"/>
    <n v="3949.44"/>
    <n v="0"/>
    <n v="0"/>
    <n v="51260"/>
    <n v="0"/>
    <s v="P"/>
    <m/>
    <s v="024/40006466"/>
    <m/>
    <s v="Internal"/>
    <s v="A"/>
    <s v="SL"/>
    <m/>
    <s v="WCNX"/>
    <n v="0"/>
    <n v="0"/>
    <m/>
    <m/>
    <m/>
    <m/>
    <m/>
    <m/>
    <m/>
    <m/>
    <m/>
    <m/>
    <m/>
    <m/>
    <m/>
  </r>
  <r>
    <n v="2183"/>
    <n v="62487"/>
    <s v="P"/>
    <s v="Goodwill Entries"/>
    <n v="0"/>
    <m/>
    <m/>
    <m/>
    <n v="0"/>
    <m/>
    <m/>
    <m/>
    <d v="2008-12-01T00:00:00"/>
    <d v="2008-12-01T00:00:00"/>
    <x v="19"/>
    <n v="0"/>
    <n v="15110"/>
    <n v="-1045249.13"/>
    <n v="15120"/>
    <n v="0"/>
    <n v="-1045249.13"/>
    <n v="0"/>
    <n v="0"/>
    <n v="0"/>
    <s v="A"/>
    <s v="LeMay"/>
    <m/>
    <m/>
    <s v="Internal"/>
    <s v="A"/>
    <s v="NO"/>
    <m/>
    <s v="WCNX"/>
    <n v="0"/>
    <n v="0"/>
    <m/>
    <m/>
    <m/>
    <m/>
    <m/>
    <m/>
    <m/>
    <m/>
    <m/>
    <m/>
    <m/>
    <m/>
    <m/>
  </r>
  <r>
    <n v="2183"/>
    <n v="61495"/>
    <s v="P"/>
    <s v="Butlers Cove G Certificate"/>
    <n v="0"/>
    <m/>
    <m/>
    <m/>
    <n v="0"/>
    <m/>
    <m/>
    <m/>
    <d v="2008-11-03T00:00:00"/>
    <d v="2008-11-03T00:00:00"/>
    <x v="19"/>
    <n v="0"/>
    <n v="15260"/>
    <n v="3093535"/>
    <n v="15266"/>
    <n v="0"/>
    <n v="3093535"/>
    <n v="0"/>
    <m/>
    <n v="0"/>
    <s v="A"/>
    <s v="LeMay Enterprises"/>
    <m/>
    <m/>
    <s v="Internal"/>
    <s v="A"/>
    <s v="NO"/>
    <m/>
    <s v="WCNX"/>
    <n v="0"/>
    <n v="0"/>
    <m/>
    <m/>
    <m/>
    <m/>
    <m/>
    <m/>
    <m/>
    <m/>
    <m/>
    <m/>
    <m/>
    <m/>
    <m/>
  </r>
  <r>
    <n v="2183"/>
    <n v="61494"/>
    <s v="P"/>
    <s v="Rural G Certificate"/>
    <n v="0"/>
    <m/>
    <m/>
    <m/>
    <n v="0"/>
    <m/>
    <m/>
    <m/>
    <d v="2008-11-03T00:00:00"/>
    <d v="2008-11-03T00:00:00"/>
    <x v="19"/>
    <n v="0"/>
    <n v="15260"/>
    <n v="5634865"/>
    <n v="15266"/>
    <n v="0"/>
    <n v="5634865"/>
    <n v="0"/>
    <m/>
    <n v="0"/>
    <s v="A"/>
    <s v="LeMay Enterprises"/>
    <m/>
    <m/>
    <s v="Internal"/>
    <s v="A"/>
    <s v="NO"/>
    <m/>
    <s v="WCNX"/>
    <n v="0"/>
    <n v="0"/>
    <m/>
    <m/>
    <m/>
    <m/>
    <m/>
    <m/>
    <m/>
    <m/>
    <m/>
    <m/>
    <m/>
    <m/>
    <m/>
  </r>
  <r>
    <n v="2183"/>
    <n v="61493"/>
    <s v="P"/>
    <s v="Pacific G Certificate"/>
    <n v="0"/>
    <m/>
    <m/>
    <m/>
    <n v="0"/>
    <m/>
    <m/>
    <m/>
    <d v="2008-11-03T00:00:00"/>
    <d v="2008-11-03T00:00:00"/>
    <x v="19"/>
    <n v="0"/>
    <n v="15260"/>
    <n v="32885751"/>
    <n v="15266"/>
    <n v="0"/>
    <n v="32885751"/>
    <n v="0"/>
    <m/>
    <n v="0"/>
    <s v="A"/>
    <s v="LeMay Enterprises"/>
    <m/>
    <m/>
    <s v="Internal"/>
    <s v="A"/>
    <s v="NO"/>
    <m/>
    <s v="WCNX"/>
    <n v="0"/>
    <n v="0"/>
    <m/>
    <m/>
    <m/>
    <m/>
    <m/>
    <m/>
    <m/>
    <m/>
    <m/>
    <m/>
    <m/>
    <m/>
    <m/>
  </r>
  <r>
    <n v="2183"/>
    <n v="61492"/>
    <s v="P"/>
    <s v="Lacey Building"/>
    <n v="0"/>
    <m/>
    <m/>
    <m/>
    <n v="0"/>
    <m/>
    <m/>
    <m/>
    <d v="2008-11-03T00:00:00"/>
    <d v="2008-11-03T00:00:00"/>
    <x v="19"/>
    <n v="2000"/>
    <n v="14080"/>
    <n v="2698000"/>
    <n v="14086"/>
    <n v="1764941.66"/>
    <n v="933058.34000000008"/>
    <n v="123658.33"/>
    <n v="57260"/>
    <n v="11241.66"/>
    <s v="A"/>
    <s v="LeMay Enterprises"/>
    <m/>
    <m/>
    <s v="Internal"/>
    <s v="A"/>
    <s v="SL"/>
    <m/>
    <s v="WCNX"/>
    <n v="0"/>
    <n v="0"/>
    <m/>
    <m/>
    <m/>
    <m/>
    <m/>
    <m/>
    <m/>
    <m/>
    <m/>
    <m/>
    <m/>
    <m/>
    <m/>
  </r>
  <r>
    <n v="2183"/>
    <n v="61491"/>
    <s v="P"/>
    <s v="6 Yard Commercial Containers"/>
    <n v="38"/>
    <m/>
    <m/>
    <m/>
    <n v="0"/>
    <m/>
    <m/>
    <s v="6 YD FEL/REL/SL Metal"/>
    <d v="2008-11-03T00:00:00"/>
    <d v="2008-11-03T00:00:00"/>
    <x v="19"/>
    <n v="1200"/>
    <n v="14050"/>
    <n v="5305.19"/>
    <n v="14056"/>
    <n v="5305.19"/>
    <n v="0"/>
    <n v="0"/>
    <n v="54260"/>
    <n v="0"/>
    <s v="A"/>
    <s v="LeMay Enterprises"/>
    <m/>
    <m/>
    <s v="Internal"/>
    <s v="A"/>
    <s v="SL"/>
    <d v="2018-06-30T00:00:00"/>
    <s v="WCNX"/>
    <n v="18"/>
    <n v="4273.62"/>
    <m/>
    <m/>
    <m/>
    <m/>
    <m/>
    <m/>
    <m/>
    <m/>
    <m/>
    <m/>
    <m/>
    <m/>
    <m/>
  </r>
  <r>
    <n v="2183"/>
    <n v="61490"/>
    <s v="P"/>
    <s v="40YD."/>
    <n v="13"/>
    <m/>
    <m/>
    <m/>
    <n v="0"/>
    <m/>
    <m/>
    <s v="40 YD RO Box"/>
    <d v="2008-11-03T00:00:00"/>
    <d v="2008-11-03T00:00:00"/>
    <x v="19"/>
    <n v="700"/>
    <n v="14050"/>
    <n v="16852.53"/>
    <n v="14056"/>
    <n v="16852.53"/>
    <n v="0"/>
    <n v="0"/>
    <n v="54260"/>
    <n v="0"/>
    <s v="A"/>
    <s v="LeMay Enterprises"/>
    <m/>
    <m/>
    <s v="Internal"/>
    <s v="A"/>
    <s v="SL"/>
    <d v="2021-07-31T00:00:00"/>
    <s v="WCNX"/>
    <n v="13"/>
    <n v="16852.53"/>
    <m/>
    <m/>
    <m/>
    <m/>
    <m/>
    <m/>
    <m/>
    <m/>
    <m/>
    <m/>
    <m/>
    <m/>
    <m/>
  </r>
  <r>
    <n v="2183"/>
    <n v="61489"/>
    <s v="P"/>
    <s v="(108,900) Residential Customers ($10 each)"/>
    <n v="108090"/>
    <m/>
    <m/>
    <m/>
    <n v="0"/>
    <m/>
    <m/>
    <m/>
    <d v="2008-11-03T00:00:00"/>
    <d v="2008-11-03T00:00:00"/>
    <x v="19"/>
    <n v="500"/>
    <n v="14050"/>
    <n v="1060918.8700000001"/>
    <n v="14056"/>
    <n v="1060918.8700000001"/>
    <n v="0"/>
    <n v="0"/>
    <n v="54260"/>
    <n v="0"/>
    <s v="A"/>
    <s v="LeMay Enterprises"/>
    <m/>
    <m/>
    <s v="Internal"/>
    <s v="A"/>
    <s v="SL"/>
    <m/>
    <s v="WCNX"/>
    <n v="4"/>
    <n v="0"/>
    <m/>
    <m/>
    <m/>
    <m/>
    <m/>
    <m/>
    <m/>
    <m/>
    <m/>
    <m/>
    <m/>
    <m/>
    <m/>
  </r>
  <r>
    <n v="2183"/>
    <n v="61488"/>
    <s v="P"/>
    <s v="30 Yard R/O Containers"/>
    <n v="7"/>
    <m/>
    <m/>
    <m/>
    <n v="0"/>
    <m/>
    <m/>
    <s v="30 YD RO Box"/>
    <d v="2008-11-03T00:00:00"/>
    <d v="2008-11-03T00:00:00"/>
    <x v="19"/>
    <n v="700"/>
    <n v="14050"/>
    <n v="100552.05"/>
    <n v="14056"/>
    <n v="100552.05"/>
    <n v="0"/>
    <n v="0"/>
    <n v="54260"/>
    <n v="0"/>
    <s v="A"/>
    <s v="LeMay Enterprises"/>
    <m/>
    <m/>
    <s v="Internal"/>
    <s v="A"/>
    <s v="SL"/>
    <d v="2018-06-30T00:00:00"/>
    <s v="WCNX"/>
    <n v="9"/>
    <n v="100552.05"/>
    <m/>
    <m/>
    <m/>
    <m/>
    <m/>
    <m/>
    <m/>
    <m/>
    <m/>
    <m/>
    <m/>
    <m/>
    <m/>
  </r>
  <r>
    <n v="2183"/>
    <n v="61487"/>
    <s v="P"/>
    <s v="30 Yard R/O Containers"/>
    <n v="66"/>
    <m/>
    <m/>
    <m/>
    <n v="0"/>
    <m/>
    <m/>
    <s v="30 YD RO Box"/>
    <d v="2008-11-03T00:00:00"/>
    <d v="2008-11-03T00:00:00"/>
    <x v="19"/>
    <n v="700"/>
    <n v="14050"/>
    <n v="99112.99"/>
    <n v="14056"/>
    <n v="99112.99"/>
    <n v="0"/>
    <n v="0"/>
    <n v="54260"/>
    <n v="0"/>
    <s v="A"/>
    <s v="LeMay Enterprises"/>
    <m/>
    <m/>
    <s v="Internal"/>
    <s v="A"/>
    <s v="SL"/>
    <d v="2018-06-30T00:00:00"/>
    <s v="WCNX"/>
    <n v="7"/>
    <n v="99112.99"/>
    <m/>
    <m/>
    <m/>
    <m/>
    <m/>
    <m/>
    <m/>
    <m/>
    <m/>
    <m/>
    <m/>
    <m/>
    <m/>
  </r>
  <r>
    <n v="2183"/>
    <n v="61486"/>
    <s v="P"/>
    <s v="Lacey Building Improvements"/>
    <n v="0"/>
    <m/>
    <m/>
    <m/>
    <n v="0"/>
    <m/>
    <m/>
    <m/>
    <d v="2008-11-03T00:00:00"/>
    <d v="2008-11-03T00:00:00"/>
    <x v="19"/>
    <n v="2000"/>
    <n v="14010"/>
    <n v="600000"/>
    <n v="14016"/>
    <n v="392500"/>
    <n v="207500"/>
    <n v="27500"/>
    <n v="57260"/>
    <n v="2500"/>
    <s v="A"/>
    <s v="LeMay Enterprises"/>
    <m/>
    <m/>
    <s v="Internal"/>
    <s v="A"/>
    <s v="SL"/>
    <m/>
    <s v="WCNX"/>
    <n v="0"/>
    <n v="0"/>
    <m/>
    <m/>
    <m/>
    <m/>
    <m/>
    <m/>
    <m/>
    <m/>
    <m/>
    <m/>
    <m/>
    <m/>
    <m/>
  </r>
  <r>
    <n v="2183"/>
    <n v="61130"/>
    <s v="P"/>
    <s v="Goodwil - LeMay Enterprises"/>
    <n v="0"/>
    <m/>
    <m/>
    <m/>
    <n v="0"/>
    <m/>
    <m/>
    <m/>
    <d v="2008-11-03T00:00:00"/>
    <d v="2008-11-03T00:00:00"/>
    <x v="19"/>
    <n v="0"/>
    <n v="15110"/>
    <n v="3164917"/>
    <n v="15120"/>
    <n v="0"/>
    <n v="3164917"/>
    <n v="0"/>
    <m/>
    <n v="0"/>
    <s v="A"/>
    <s v="LeMay Enterprises"/>
    <m/>
    <m/>
    <s v="Internal"/>
    <s v="A"/>
    <s v="NO"/>
    <m/>
    <s v="WCNX"/>
    <n v="0"/>
    <n v="0"/>
    <m/>
    <m/>
    <m/>
    <m/>
    <m/>
    <m/>
    <m/>
    <m/>
    <m/>
    <m/>
    <m/>
    <m/>
    <m/>
  </r>
  <r>
    <n v="2183"/>
    <n v="61129"/>
    <s v="P"/>
    <s v="2009 Type H TSide ASL"/>
    <n v="0"/>
    <m/>
    <s v="3BPZL50X49F719193"/>
    <m/>
    <n v="2009"/>
    <s v="Peterbilt"/>
    <s v="Wayne"/>
    <s v="Automated Sideload"/>
    <d v="2008-11-03T00:00:00"/>
    <d v="2008-11-03T00:00:00"/>
    <x v="19"/>
    <n v="1000"/>
    <n v="14040"/>
    <n v="132128.6"/>
    <n v="14046"/>
    <n v="132128.6"/>
    <n v="0"/>
    <n v="0"/>
    <n v="51260"/>
    <n v="0"/>
    <s v="A"/>
    <s v="LeMay Enterprises"/>
    <m/>
    <n v="3622"/>
    <s v="Internal"/>
    <s v="A"/>
    <s v="SL"/>
    <m/>
    <s v="WCNX"/>
    <n v="0"/>
    <n v="0"/>
    <m/>
    <m/>
    <m/>
    <m/>
    <m/>
    <m/>
    <m/>
    <m/>
    <m/>
    <m/>
    <m/>
    <m/>
    <m/>
  </r>
  <r>
    <n v="2183"/>
    <n v="61128"/>
    <s v="P"/>
    <s v="2009 Type H TSide ASL"/>
    <n v="0"/>
    <m/>
    <s v="3BPZL50X29F719192"/>
    <m/>
    <n v="2009"/>
    <s v="Peterbilt"/>
    <s v="Wayne"/>
    <s v="Automated Sideload"/>
    <d v="2008-11-03T00:00:00"/>
    <d v="2008-11-03T00:00:00"/>
    <x v="19"/>
    <n v="1000"/>
    <n v="14040"/>
    <n v="132128.6"/>
    <n v="14046"/>
    <n v="132128.6"/>
    <n v="0"/>
    <n v="0"/>
    <n v="51260"/>
    <n v="0"/>
    <s v="A"/>
    <s v="LeMay Enterprises"/>
    <m/>
    <n v="3621"/>
    <s v="Internal"/>
    <s v="A"/>
    <s v="SL"/>
    <m/>
    <s v="WCNX"/>
    <n v="0"/>
    <n v="0"/>
    <m/>
    <m/>
    <m/>
    <m/>
    <m/>
    <m/>
    <m/>
    <m/>
    <m/>
    <m/>
    <m/>
    <m/>
    <m/>
  </r>
  <r>
    <n v="2183"/>
    <n v="61125"/>
    <s v="P"/>
    <s v="2008 Type H Drop R/O"/>
    <n v="0"/>
    <m/>
    <s v="4V5M99GHX8N487360"/>
    <m/>
    <n v="2008"/>
    <s v="Volvo"/>
    <s v="Helm"/>
    <s v="R/O Truck"/>
    <d v="2008-11-03T00:00:00"/>
    <d v="2008-11-03T00:00:00"/>
    <x v="19"/>
    <n v="900"/>
    <n v="14040"/>
    <n v="106500"/>
    <n v="14046"/>
    <n v="106500"/>
    <n v="0"/>
    <n v="0"/>
    <n v="51260"/>
    <n v="0"/>
    <s v="A"/>
    <s v="LeMay Enterprises"/>
    <m/>
    <n v="4061"/>
    <s v="Internal"/>
    <s v="A"/>
    <s v="SL"/>
    <m/>
    <s v="WCNX"/>
    <n v="0"/>
    <n v="0"/>
    <m/>
    <m/>
    <m/>
    <m/>
    <m/>
    <m/>
    <m/>
    <m/>
    <m/>
    <m/>
    <m/>
    <m/>
    <m/>
  </r>
  <r>
    <n v="2183"/>
    <n v="61124"/>
    <s v="P"/>
    <s v="2007 Type H TSide ASL"/>
    <n v="0"/>
    <m/>
    <s v="3BPZLD9X87F717683"/>
    <m/>
    <n v="2007"/>
    <s v="Peterbilt"/>
    <s v="Wayne"/>
    <s v="Automated Sideload"/>
    <d v="2008-11-03T00:00:00"/>
    <d v="2008-11-03T00:00:00"/>
    <x v="19"/>
    <n v="800"/>
    <n v="14040"/>
    <n v="133500"/>
    <n v="14046"/>
    <n v="133500"/>
    <n v="0"/>
    <n v="0"/>
    <n v="51260"/>
    <n v="0"/>
    <s v="A"/>
    <s v="LeMay Enterprises"/>
    <m/>
    <n v="3615"/>
    <s v="Internal"/>
    <s v="A"/>
    <s v="SL"/>
    <m/>
    <s v="WCNX"/>
    <n v="0"/>
    <n v="0"/>
    <m/>
    <m/>
    <m/>
    <m/>
    <m/>
    <m/>
    <m/>
    <m/>
    <m/>
    <m/>
    <m/>
    <m/>
    <m/>
  </r>
  <r>
    <n v="2183"/>
    <n v="61122"/>
    <s v="P"/>
    <s v="2007 Type H TSide ASL"/>
    <n v="0"/>
    <m/>
    <s v="3BPZLD9X97F717577"/>
    <m/>
    <n v="2007"/>
    <s v="Peterbilt"/>
    <s v="Wayne"/>
    <s v="Automated Sideload"/>
    <d v="2008-11-03T00:00:00"/>
    <d v="2008-11-03T00:00:00"/>
    <x v="19"/>
    <n v="800"/>
    <n v="14040"/>
    <n v="133500"/>
    <n v="14046"/>
    <n v="133500"/>
    <n v="0"/>
    <n v="0"/>
    <n v="51260"/>
    <n v="0"/>
    <s v="A"/>
    <s v="LeMay Enterprises"/>
    <m/>
    <n v="3605"/>
    <s v="Internal"/>
    <s v="A"/>
    <s v="SL"/>
    <m/>
    <s v="WCNX"/>
    <n v="0"/>
    <n v="0"/>
    <m/>
    <m/>
    <m/>
    <m/>
    <m/>
    <m/>
    <m/>
    <m/>
    <m/>
    <m/>
    <m/>
    <m/>
    <m/>
  </r>
  <r>
    <n v="2183"/>
    <n v="61121"/>
    <s v="P"/>
    <s v="2007 Type H TSide ASL"/>
    <n v="0"/>
    <m/>
    <s v="3BPZLD9X77F717576"/>
    <m/>
    <n v="2007"/>
    <s v="Peterbilt"/>
    <s v="Wayne"/>
    <s v="Automated Sideload"/>
    <d v="2008-11-03T00:00:00"/>
    <d v="2008-11-03T00:00:00"/>
    <x v="19"/>
    <n v="800"/>
    <n v="14040"/>
    <n v="133500"/>
    <n v="14046"/>
    <n v="133500"/>
    <n v="0"/>
    <n v="0"/>
    <n v="51260"/>
    <n v="0"/>
    <s v="A"/>
    <s v="LeMay Enterprises"/>
    <m/>
    <n v="3604"/>
    <s v="Internal"/>
    <s v="A"/>
    <s v="SL"/>
    <m/>
    <s v="WCNX"/>
    <n v="0"/>
    <n v="0"/>
    <m/>
    <m/>
    <m/>
    <m/>
    <m/>
    <m/>
    <m/>
    <m/>
    <m/>
    <m/>
    <m/>
    <m/>
    <m/>
  </r>
  <r>
    <n v="2183"/>
    <n v="61120"/>
    <s v="P"/>
    <s v="2007 Type H TSide ASL"/>
    <n v="0"/>
    <m/>
    <s v="3BPZLD9X57F717575"/>
    <m/>
    <n v="2007"/>
    <s v="Peterbilt"/>
    <s v="Wayne"/>
    <s v="Automated Sideload"/>
    <d v="2008-11-03T00:00:00"/>
    <d v="2008-11-03T00:00:00"/>
    <x v="19"/>
    <n v="800"/>
    <n v="14040"/>
    <n v="133500"/>
    <n v="14046"/>
    <n v="133500"/>
    <n v="0"/>
    <n v="0"/>
    <n v="51260"/>
    <n v="0"/>
    <s v="A"/>
    <s v="LeMay Enterprises"/>
    <m/>
    <n v="3603"/>
    <s v="Internal"/>
    <s v="A"/>
    <s v="SL"/>
    <m/>
    <s v="WCNX"/>
    <n v="0"/>
    <n v="0"/>
    <m/>
    <m/>
    <m/>
    <m/>
    <m/>
    <m/>
    <m/>
    <m/>
    <m/>
    <m/>
    <m/>
    <m/>
    <m/>
  </r>
  <r>
    <n v="2183"/>
    <n v="61118"/>
    <s v="P"/>
    <s v="2007 Type H TSide ASL"/>
    <n v="0"/>
    <m/>
    <s v="3BPZLD9X17F717573"/>
    <m/>
    <n v="2007"/>
    <s v="Peterbilt"/>
    <s v="Wayne"/>
    <s v="Automated Sideload"/>
    <d v="2008-11-03T00:00:00"/>
    <d v="2008-11-03T00:00:00"/>
    <x v="19"/>
    <n v="800"/>
    <n v="14040"/>
    <n v="133500"/>
    <n v="14046"/>
    <n v="133500"/>
    <n v="0"/>
    <n v="0"/>
    <n v="51260"/>
    <n v="0"/>
    <s v="A"/>
    <s v="LeMay Enterprises"/>
    <m/>
    <n v="3601"/>
    <s v="Internal"/>
    <s v="A"/>
    <s v="SL"/>
    <m/>
    <s v="WCNX"/>
    <n v="0"/>
    <n v="0"/>
    <m/>
    <m/>
    <m/>
    <m/>
    <m/>
    <m/>
    <m/>
    <m/>
    <m/>
    <m/>
    <m/>
    <m/>
    <m/>
  </r>
  <r>
    <n v="2183"/>
    <n v="61117"/>
    <s v="P"/>
    <s v="2007 Type H TSide ASL"/>
    <n v="0"/>
    <m/>
    <s v="3BPZLD9XX7F717572"/>
    <m/>
    <n v="2007"/>
    <s v="Peterbilt"/>
    <s v="Wayne"/>
    <s v="Automated Sideload"/>
    <d v="2008-11-03T00:00:00"/>
    <d v="2008-11-03T00:00:00"/>
    <x v="19"/>
    <n v="800"/>
    <n v="14040"/>
    <n v="133500"/>
    <n v="14046"/>
    <n v="133500"/>
    <n v="0"/>
    <n v="0"/>
    <n v="51260"/>
    <n v="0"/>
    <s v="A"/>
    <s v="LeMay Enterprises"/>
    <m/>
    <n v="3600"/>
    <s v="Internal"/>
    <s v="A"/>
    <s v="SL"/>
    <m/>
    <s v="WCNX"/>
    <n v="0"/>
    <n v="0"/>
    <m/>
    <m/>
    <m/>
    <m/>
    <m/>
    <m/>
    <m/>
    <m/>
    <m/>
    <m/>
    <m/>
    <m/>
    <m/>
  </r>
  <r>
    <n v="2183"/>
    <n v="61112"/>
    <s v="P"/>
    <s v="2007 Type H Drop R/O"/>
    <n v="0"/>
    <m/>
    <s v="4V5M99GHX7N481928"/>
    <m/>
    <n v="2007"/>
    <s v="Volvo"/>
    <s v="Helm"/>
    <s v="R/O Truck"/>
    <d v="2008-11-03T00:00:00"/>
    <d v="2008-11-03T00:00:00"/>
    <x v="19"/>
    <n v="800"/>
    <n v="14040"/>
    <n v="86500"/>
    <n v="14046"/>
    <n v="86500"/>
    <n v="0"/>
    <n v="0"/>
    <n v="51260"/>
    <n v="0"/>
    <s v="A"/>
    <s v="LeMay Enterprises"/>
    <m/>
    <n v="4054"/>
    <s v="Internal"/>
    <s v="A"/>
    <s v="SL"/>
    <m/>
    <s v="WCNX"/>
    <n v="0"/>
    <n v="0"/>
    <m/>
    <m/>
    <m/>
    <m/>
    <m/>
    <m/>
    <m/>
    <m/>
    <m/>
    <m/>
    <m/>
    <m/>
    <m/>
  </r>
  <r>
    <n v="2183"/>
    <n v="61111"/>
    <s v="P"/>
    <s v="2007 Type H Rear REL"/>
    <n v="0"/>
    <m/>
    <s v="1HTWCAAN17J411769"/>
    <m/>
    <n v="2007"/>
    <s v="International"/>
    <s v="McNeilus"/>
    <s v="REL Truck"/>
    <d v="2008-11-03T00:00:00"/>
    <d v="2008-11-03T00:00:00"/>
    <x v="19"/>
    <n v="800"/>
    <n v="14040"/>
    <n v="133500"/>
    <n v="14046"/>
    <n v="133500"/>
    <n v="0"/>
    <n v="0"/>
    <n v="51260"/>
    <n v="0"/>
    <s v="A"/>
    <s v="LeMay Enterprises"/>
    <m/>
    <n v="1067"/>
    <s v="Internal"/>
    <s v="A"/>
    <s v="SL"/>
    <m/>
    <s v="WCNX"/>
    <n v="0"/>
    <n v="0"/>
    <m/>
    <m/>
    <m/>
    <m/>
    <m/>
    <m/>
    <m/>
    <m/>
    <m/>
    <m/>
    <m/>
    <m/>
    <m/>
  </r>
  <r>
    <n v="2183"/>
    <n v="61110"/>
    <s v="P"/>
    <s v="2007 Type H Rear REL"/>
    <n v="0"/>
    <m/>
    <s v="1HTWCAAN77J471894"/>
    <m/>
    <n v="2007"/>
    <s v="International"/>
    <s v="McNeilus"/>
    <s v="REL Truck"/>
    <d v="2008-11-03T00:00:00"/>
    <d v="2008-11-03T00:00:00"/>
    <x v="19"/>
    <n v="800"/>
    <n v="14040"/>
    <n v="133500"/>
    <n v="14046"/>
    <n v="133500"/>
    <n v="0"/>
    <n v="0"/>
    <n v="51260"/>
    <n v="0"/>
    <s v="A"/>
    <s v="LeMay Enterprises"/>
    <m/>
    <n v="1062"/>
    <s v="Internal"/>
    <s v="A"/>
    <s v="SL"/>
    <m/>
    <s v="WCNX"/>
    <n v="0"/>
    <n v="0"/>
    <m/>
    <m/>
    <m/>
    <m/>
    <m/>
    <m/>
    <m/>
    <m/>
    <m/>
    <m/>
    <m/>
    <m/>
    <m/>
  </r>
  <r>
    <n v="2183"/>
    <n v="61108"/>
    <s v="P"/>
    <s v="2007 Type H Rear REL"/>
    <n v="0"/>
    <m/>
    <s v="1HTWCAAN67J411766"/>
    <m/>
    <n v="2007"/>
    <s v="International"/>
    <s v="McNeilus"/>
    <s v="REL Truck"/>
    <d v="2008-11-03T00:00:00"/>
    <d v="2008-11-03T00:00:00"/>
    <x v="19"/>
    <n v="800"/>
    <n v="14040"/>
    <n v="133500"/>
    <n v="14046"/>
    <n v="133500"/>
    <n v="0"/>
    <n v="0"/>
    <n v="51260"/>
    <n v="0"/>
    <s v="A"/>
    <s v="LeMay Enterprises"/>
    <m/>
    <n v="1054"/>
    <s v="Internal"/>
    <s v="A"/>
    <s v="SL"/>
    <m/>
    <s v="WCNX"/>
    <n v="0"/>
    <n v="0"/>
    <m/>
    <m/>
    <m/>
    <m/>
    <m/>
    <m/>
    <m/>
    <m/>
    <m/>
    <m/>
    <m/>
    <m/>
    <m/>
  </r>
  <r>
    <n v="2183"/>
    <n v="61107"/>
    <s v="P"/>
    <s v="2007 Type H Rear REL"/>
    <n v="0"/>
    <m/>
    <s v="1HTWCAAN67J408429"/>
    <m/>
    <n v="2007"/>
    <s v="International"/>
    <s v="McNeilus"/>
    <s v="REL Truck"/>
    <d v="2008-11-03T00:00:00"/>
    <d v="2008-11-03T00:00:00"/>
    <x v="19"/>
    <n v="800"/>
    <n v="14040"/>
    <n v="133500"/>
    <n v="14046"/>
    <n v="133500"/>
    <n v="0"/>
    <n v="0"/>
    <n v="51260"/>
    <n v="0"/>
    <s v="A"/>
    <s v="LeMay Enterprises"/>
    <m/>
    <n v="1049"/>
    <s v="Internal"/>
    <s v="A"/>
    <s v="SL"/>
    <m/>
    <s v="WCNX"/>
    <n v="0"/>
    <n v="0"/>
    <m/>
    <m/>
    <m/>
    <m/>
    <m/>
    <m/>
    <m/>
    <m/>
    <m/>
    <m/>
    <m/>
    <m/>
    <m/>
  </r>
  <r>
    <n v="2183"/>
    <n v="61097"/>
    <s v="P"/>
    <s v="2006 Type H Drop R/O"/>
    <n v="0"/>
    <m/>
    <s v="4V5M99GH86N425470"/>
    <m/>
    <n v="2006"/>
    <s v="Volvo"/>
    <s v="Helm"/>
    <s v="R/O Truck"/>
    <d v="2008-11-03T00:00:00"/>
    <d v="2008-11-03T00:00:00"/>
    <x v="19"/>
    <n v="700"/>
    <n v="14040"/>
    <n v="81500"/>
    <n v="14046"/>
    <n v="81500"/>
    <n v="0"/>
    <n v="0"/>
    <n v="51260"/>
    <n v="0"/>
    <s v="A"/>
    <s v="LeMay Enterprises"/>
    <m/>
    <n v="4047"/>
    <s v="Internal"/>
    <s v="A"/>
    <s v="SL"/>
    <m/>
    <s v="WCNX"/>
    <n v="0"/>
    <n v="0"/>
    <m/>
    <m/>
    <m/>
    <m/>
    <m/>
    <m/>
    <m/>
    <m/>
    <m/>
    <m/>
    <m/>
    <m/>
    <m/>
  </r>
  <r>
    <n v="2183"/>
    <n v="61096"/>
    <s v="P"/>
    <s v="2006 Type H Drop R/O"/>
    <n v="0"/>
    <m/>
    <s v="4V5M99GH16N425469"/>
    <m/>
    <n v="2006"/>
    <s v="Volvo"/>
    <s v="Helm"/>
    <s v="R/O Truck"/>
    <d v="2008-11-03T00:00:00"/>
    <d v="2008-11-03T00:00:00"/>
    <x v="19"/>
    <n v="700"/>
    <n v="14040"/>
    <n v="81500"/>
    <n v="14046"/>
    <n v="81500"/>
    <n v="0"/>
    <n v="0"/>
    <n v="51260"/>
    <n v="0"/>
    <s v="A"/>
    <s v="LeMay Enterprises"/>
    <m/>
    <n v="4046"/>
    <s v="Internal"/>
    <s v="A"/>
    <s v="SL"/>
    <m/>
    <s v="WCNX"/>
    <n v="0"/>
    <n v="0"/>
    <m/>
    <m/>
    <m/>
    <m/>
    <m/>
    <m/>
    <m/>
    <m/>
    <m/>
    <m/>
    <m/>
    <m/>
    <m/>
  </r>
  <r>
    <n v="2183"/>
    <n v="61095"/>
    <s v="P"/>
    <s v="2006 Type H Rear REL"/>
    <n v="0"/>
    <m/>
    <s v="1HTWCAAN76J265117"/>
    <m/>
    <n v="2006"/>
    <s v="International"/>
    <s v="McNeilus"/>
    <s v="REL Truck"/>
    <d v="2008-11-03T00:00:00"/>
    <d v="2008-11-03T00:00:00"/>
    <x v="19"/>
    <n v="700"/>
    <n v="14040"/>
    <n v="123500"/>
    <n v="14046"/>
    <n v="123500"/>
    <n v="0"/>
    <n v="0"/>
    <n v="51260"/>
    <n v="0"/>
    <s v="A"/>
    <s v="LeMay Enterprises"/>
    <m/>
    <n v="1046"/>
    <s v="Internal"/>
    <s v="A"/>
    <s v="SL"/>
    <m/>
    <s v="WCNX"/>
    <n v="0"/>
    <n v="0"/>
    <m/>
    <m/>
    <m/>
    <m/>
    <m/>
    <m/>
    <m/>
    <m/>
    <m/>
    <m/>
    <m/>
    <m/>
    <m/>
  </r>
  <r>
    <n v="2183"/>
    <n v="61094"/>
    <s v="P"/>
    <s v="2006 Type H Rear REL"/>
    <n v="0"/>
    <m/>
    <s v="1HTWCAANS6J265116"/>
    <m/>
    <n v="2006"/>
    <s v="International"/>
    <s v="McNeilus"/>
    <s v="REL Truck"/>
    <d v="2008-11-03T00:00:00"/>
    <d v="2008-11-03T00:00:00"/>
    <x v="19"/>
    <n v="700"/>
    <n v="14040"/>
    <n v="123500"/>
    <n v="14046"/>
    <n v="123500"/>
    <n v="0"/>
    <n v="0"/>
    <n v="51260"/>
    <n v="0"/>
    <s v="A"/>
    <s v="LeMay Enterprises"/>
    <m/>
    <n v="1045"/>
    <s v="Internal"/>
    <s v="A"/>
    <s v="SL"/>
    <m/>
    <s v="WCNX"/>
    <n v="0"/>
    <n v="0"/>
    <m/>
    <m/>
    <m/>
    <m/>
    <m/>
    <m/>
    <m/>
    <m/>
    <m/>
    <m/>
    <m/>
    <m/>
    <m/>
  </r>
  <r>
    <n v="2183"/>
    <n v="61093"/>
    <s v="P"/>
    <s v="2006 Type H Rear REL"/>
    <n v="0"/>
    <m/>
    <s v="1HTWCAANX6J265113"/>
    <m/>
    <n v="2006"/>
    <s v="International"/>
    <s v="McNeilus"/>
    <s v="REL Truck"/>
    <d v="2008-11-03T00:00:00"/>
    <d v="2008-11-03T00:00:00"/>
    <x v="19"/>
    <n v="700"/>
    <n v="14040"/>
    <n v="123500"/>
    <n v="14046"/>
    <n v="123500"/>
    <n v="0"/>
    <n v="0"/>
    <n v="51260"/>
    <n v="0"/>
    <s v="A"/>
    <s v="LeMay Enterprises"/>
    <m/>
    <n v="1042"/>
    <s v="Internal"/>
    <s v="A"/>
    <s v="SL"/>
    <m/>
    <s v="WCNX"/>
    <n v="0"/>
    <n v="0"/>
    <m/>
    <m/>
    <m/>
    <m/>
    <m/>
    <m/>
    <m/>
    <m/>
    <m/>
    <m/>
    <m/>
    <m/>
    <m/>
  </r>
  <r>
    <n v="2183"/>
    <n v="61091"/>
    <s v="P"/>
    <s v="2006 Type M Pick Up Car"/>
    <n v="0"/>
    <m/>
    <s v="1D7HW28K56S715300"/>
    <m/>
    <n v="2006"/>
    <s v="Dodge"/>
    <s v="Other"/>
    <s v="Pick Up Truck"/>
    <d v="2008-11-03T00:00:00"/>
    <d v="2008-11-03T00:00:00"/>
    <x v="19"/>
    <n v="300"/>
    <n v="14040"/>
    <n v="13500"/>
    <n v="14046"/>
    <n v="13500"/>
    <n v="0"/>
    <n v="0"/>
    <n v="51260"/>
    <n v="0"/>
    <s v="A"/>
    <s v="LeMay Enterprises"/>
    <m/>
    <n v="6042"/>
    <s v="Internal"/>
    <s v="A"/>
    <s v="SL"/>
    <m/>
    <s v="WCNX"/>
    <n v="0"/>
    <n v="0"/>
    <m/>
    <m/>
    <m/>
    <m/>
    <m/>
    <m/>
    <m/>
    <m/>
    <m/>
    <m/>
    <m/>
    <m/>
    <m/>
  </r>
  <r>
    <n v="2183"/>
    <n v="61085"/>
    <s v="P"/>
    <s v="2004 Type H Rear REL"/>
    <n v="0"/>
    <m/>
    <s v="1HTWCAAN74J025837"/>
    <m/>
    <n v="2004"/>
    <s v="International"/>
    <s v="McNeilus"/>
    <s v="REL Truck"/>
    <d v="2008-11-03T00:00:00"/>
    <d v="2008-11-03T00:00:00"/>
    <x v="19"/>
    <n v="500"/>
    <n v="14040"/>
    <n v="83500"/>
    <n v="14046"/>
    <n v="83500"/>
    <n v="0"/>
    <n v="0"/>
    <n v="51260"/>
    <n v="0"/>
    <s v="A"/>
    <s v="LeMay Enterprises"/>
    <m/>
    <n v="1041"/>
    <s v="Internal"/>
    <s v="A"/>
    <s v="SL"/>
    <m/>
    <s v="WCNX"/>
    <n v="0"/>
    <n v="0"/>
    <m/>
    <m/>
    <m/>
    <m/>
    <m/>
    <m/>
    <m/>
    <m/>
    <m/>
    <m/>
    <m/>
    <m/>
    <m/>
  </r>
  <r>
    <n v="2183"/>
    <n v="61042"/>
    <s v="P"/>
    <s v="1991 Type M Service"/>
    <n v="0"/>
    <m/>
    <s v="1GBGK24K6ME160753"/>
    <m/>
    <n v="1991"/>
    <s v="Chevrolet"/>
    <s v="Other"/>
    <s v="Pick Up Truck"/>
    <d v="2008-11-03T00:00:00"/>
    <d v="2008-11-03T00:00:00"/>
    <x v="19"/>
    <n v="300"/>
    <n v="14040"/>
    <n v="2500"/>
    <n v="14046"/>
    <n v="2500"/>
    <n v="0"/>
    <n v="0"/>
    <n v="51260"/>
    <n v="0"/>
    <s v="A"/>
    <s v="LeMay Enterprises"/>
    <m/>
    <n v="9243"/>
    <s v="Internal"/>
    <s v="A"/>
    <s v="SL"/>
    <m/>
    <s v="WCNX"/>
    <n v="0"/>
    <n v="0"/>
    <m/>
    <m/>
    <m/>
    <m/>
    <m/>
    <m/>
    <m/>
    <m/>
    <m/>
    <m/>
    <m/>
    <m/>
    <m/>
  </r>
  <r>
    <n v="2183"/>
    <n v="61033"/>
    <s v="P"/>
    <s v="1986 Type H Service"/>
    <n v="0"/>
    <m/>
    <s v="1FDYD80U0GVA01604"/>
    <m/>
    <n v="1986"/>
    <s v="Ford"/>
    <s v="Other"/>
    <s v="Boom Truck"/>
    <d v="2008-11-03T00:00:00"/>
    <d v="2008-11-03T00:00:00"/>
    <x v="19"/>
    <n v="300"/>
    <n v="14040"/>
    <n v="2500"/>
    <n v="14046"/>
    <n v="2500"/>
    <n v="0"/>
    <n v="0"/>
    <n v="51260"/>
    <n v="0"/>
    <s v="A"/>
    <s v="LeMay Enterprises"/>
    <m/>
    <n v="9206"/>
    <s v="Internal"/>
    <s v="A"/>
    <s v="SL"/>
    <m/>
    <s v="WCNX"/>
    <n v="0"/>
    <n v="0"/>
    <m/>
    <m/>
    <m/>
    <m/>
    <m/>
    <m/>
    <m/>
    <m/>
    <m/>
    <m/>
    <m/>
    <m/>
    <m/>
  </r>
  <r>
    <n v="2183"/>
    <n v="61019"/>
    <s v="P"/>
    <s v="Lacey Land"/>
    <n v="0"/>
    <m/>
    <m/>
    <m/>
    <n v="0"/>
    <m/>
    <m/>
    <m/>
    <d v="2008-11-03T00:00:00"/>
    <d v="2008-11-03T00:00:00"/>
    <x v="19"/>
    <n v="0"/>
    <n v="14000"/>
    <n v="4312000"/>
    <n v="14016"/>
    <n v="0"/>
    <n v="4312000"/>
    <n v="0"/>
    <n v="57260"/>
    <n v="0"/>
    <s v="A"/>
    <s v="LeMay Enterprises"/>
    <m/>
    <m/>
    <s v="Internal"/>
    <s v="A"/>
    <s v="NO"/>
    <m/>
    <s v="WCNX"/>
    <n v="0"/>
    <n v="0"/>
    <m/>
    <m/>
    <m/>
    <m/>
    <m/>
    <m/>
    <m/>
    <m/>
    <m/>
    <m/>
    <m/>
    <m/>
    <m/>
  </r>
</pivotCacheRecords>
</file>

<file path=xl/pivotCache/pivotCacheRecords2.xml><?xml version="1.0" encoding="utf-8"?>
<pivotCacheRecords xmlns="http://schemas.openxmlformats.org/spreadsheetml/2006/main" xmlns:r="http://schemas.openxmlformats.org/officeDocument/2006/relationships" count="89">
  <r>
    <n v="2183"/>
    <n v="270329"/>
    <s v="P"/>
    <s v="40 RouteTab Mounts for 2183 Thurston Cty"/>
    <m/>
    <m/>
    <m/>
    <m/>
    <n v="0"/>
    <s v="PROCLIPUSA"/>
    <m/>
    <m/>
    <d v="2020-04-25T00:00:00"/>
    <d v="2020-04-25T00:00:00"/>
    <s v="1010-20-0033-2"/>
    <n v="300"/>
    <n v="14110"/>
    <n v="6335.92"/>
    <n v="14116"/>
    <n v="3343.95"/>
    <n v="2991.9700000000003"/>
    <n v="0"/>
    <n v="70260"/>
    <n v="0"/>
    <s v="P"/>
    <m/>
    <s v="SI-1171635"/>
    <m/>
    <s v="Internal"/>
    <s v="A"/>
    <s v="SL"/>
    <d v="2021-11-30T00:00:00"/>
    <s v="WCNX"/>
    <n v="0"/>
    <n v="3343.95"/>
    <m/>
    <x v="0"/>
    <n v="4"/>
    <n v="2020"/>
    <n v="2023"/>
    <n v="2023.3333333333333"/>
    <n v="175.99777777777777"/>
    <n v="2111.9733333333334"/>
    <n v="2111.9733333333334"/>
    <n v="2111.9733333333334"/>
    <n v="4223.9466666666667"/>
    <n v="2111.9733333333334"/>
    <m/>
  </r>
  <r>
    <n v="2183"/>
    <n v="270328"/>
    <s v="P"/>
    <s v="8 RouteTab Mounts for 2183 Yakima"/>
    <m/>
    <m/>
    <m/>
    <m/>
    <n v="0"/>
    <s v="PROCLIPUSA"/>
    <m/>
    <m/>
    <d v="2020-04-25T00:00:00"/>
    <d v="2020-04-25T00:00:00"/>
    <s v="1010-20-0033-2"/>
    <n v="300"/>
    <n v="14110"/>
    <n v="1267.19"/>
    <n v="14116"/>
    <n v="668.8"/>
    <n v="598.3900000000001"/>
    <n v="0"/>
    <n v="70260"/>
    <n v="0"/>
    <s v="P"/>
    <m/>
    <s v="SI-1171635"/>
    <m/>
    <s v="Internal"/>
    <s v="A"/>
    <s v="SL"/>
    <d v="2021-11-30T00:00:00"/>
    <s v="WCNX"/>
    <n v="0"/>
    <n v="668.8"/>
    <m/>
    <x v="0"/>
    <n v="4"/>
    <n v="2020"/>
    <n v="2023"/>
    <n v="2023.3333333333333"/>
    <n v="35.199722222222228"/>
    <n v="422.39666666666676"/>
    <n v="422.39666666666676"/>
    <n v="422.39666666666676"/>
    <n v="844.79333333333352"/>
    <n v="422.39666666666653"/>
    <m/>
  </r>
  <r>
    <n v="2183"/>
    <n v="270327"/>
    <s v="P"/>
    <s v="8 Samsung Active Pro Tablets for 2183"/>
    <m/>
    <m/>
    <m/>
    <m/>
    <n v="0"/>
    <s v="COMPLETE TABLET SOLUTIONS"/>
    <m/>
    <m/>
    <d v="2020-04-15T00:00:00"/>
    <d v="2020-04-15T00:00:00"/>
    <s v="1010-20-0033-1"/>
    <n v="100"/>
    <n v="14110"/>
    <n v="5473.36"/>
    <n v="14116"/>
    <n v="5473.36"/>
    <n v="0"/>
    <n v="0"/>
    <n v="70260"/>
    <n v="0"/>
    <s v="P"/>
    <m/>
    <n v="13279"/>
    <m/>
    <s v="Internal"/>
    <s v="A"/>
    <s v="SL"/>
    <d v="2021-11-30T00:00:00"/>
    <s v="WCNX"/>
    <n v="0"/>
    <n v="5473.36"/>
    <m/>
    <x v="0"/>
    <n v="4"/>
    <n v="2020"/>
    <n v="2021"/>
    <n v="2021.3333333333333"/>
    <n v="456.11333333333329"/>
    <n v="5473.36"/>
    <n v="0"/>
    <n v="5473.36"/>
    <n v="5473.36"/>
    <n v="0"/>
    <m/>
  </r>
  <r>
    <n v="2183"/>
    <n v="268710"/>
    <s v="P"/>
    <s v="New Office Building - Furniture"/>
    <m/>
    <m/>
    <m/>
    <m/>
    <n v="0"/>
    <s v="GORDON PRODUCTS INC"/>
    <m/>
    <m/>
    <d v="2021-11-17T00:00:00"/>
    <d v="2021-11-17T00:00:00"/>
    <s v="2183-21-0016-1"/>
    <n v="1000"/>
    <n v="14100"/>
    <n v="95331.73"/>
    <n v="14106"/>
    <n v="0"/>
    <n v="95331.73"/>
    <n v="0"/>
    <n v="70260"/>
    <n v="0"/>
    <s v="P"/>
    <m/>
    <s v="196256-0"/>
    <m/>
    <s v="Internal"/>
    <s v="A"/>
    <s v="SL"/>
    <m/>
    <s v="WCNX"/>
    <n v="0"/>
    <n v="0"/>
    <m/>
    <x v="1"/>
    <n v="11"/>
    <n v="2021"/>
    <n v="2031"/>
    <n v="2031.9166666666667"/>
    <n v="794.43108333333328"/>
    <n v="9533.1729999999989"/>
    <n v="9533.1729999999989"/>
    <n v="0"/>
    <n v="9533.1729999999989"/>
    <n v="85798.557000000001"/>
    <m/>
  </r>
  <r>
    <n v="2183"/>
    <n v="268628"/>
    <s v="P"/>
    <s v="95 Gallon Refuse Containers"/>
    <n v="542"/>
    <m/>
    <m/>
    <m/>
    <n v="0"/>
    <s v="REHRIG PACIFIC COMPANY IN"/>
    <m/>
    <s v="Non-Container Audit"/>
    <d v="2021-12-13T00:00:00"/>
    <d v="2021-12-13T00:00:00"/>
    <s v="2183-21-0015-1"/>
    <n v="700"/>
    <n v="14050"/>
    <n v="39911.4"/>
    <n v="14056"/>
    <n v="0"/>
    <n v="39911.4"/>
    <n v="0"/>
    <n v="54260"/>
    <n v="0"/>
    <s v="P"/>
    <m/>
    <n v="50211980"/>
    <m/>
    <s v="Internal"/>
    <s v="A"/>
    <s v="SL"/>
    <m/>
    <s v="WCNX"/>
    <n v="0"/>
    <n v="0"/>
    <m/>
    <x v="2"/>
    <n v="12"/>
    <n v="2021"/>
    <n v="2028"/>
    <n v="2029"/>
    <n v="475.1357142857143"/>
    <n v="5701.6285714285714"/>
    <n v="5701.6285714285714"/>
    <n v="0"/>
    <n v="5701.6285714285714"/>
    <n v="34209.771428571432"/>
    <m/>
  </r>
  <r>
    <n v="2183"/>
    <n v="267048"/>
    <n v="257730"/>
    <s v="New Office Building"/>
    <m/>
    <m/>
    <m/>
    <m/>
    <n v="0"/>
    <s v="SITTS &amp; HILL ENGINEERS IN"/>
    <m/>
    <m/>
    <d v="2021-12-08T00:00:00"/>
    <d v="2021-12-08T00:00:00"/>
    <s v="2183-21-0001-1"/>
    <n v="2000"/>
    <n v="14080"/>
    <n v="3947.5"/>
    <n v="14086"/>
    <n v="0"/>
    <n v="3947.5"/>
    <n v="0"/>
    <n v="57260"/>
    <n v="0"/>
    <s v="P"/>
    <m/>
    <s v="17974-32"/>
    <m/>
    <s v="Internal"/>
    <s v="A"/>
    <s v="SL"/>
    <m/>
    <s v="WCNX"/>
    <n v="0"/>
    <n v="0"/>
    <m/>
    <x v="1"/>
    <n v="12"/>
    <n v="2021"/>
    <n v="2041"/>
    <n v="2042"/>
    <n v="16.447916666666668"/>
    <n v="197.375"/>
    <n v="197.375"/>
    <n v="0"/>
    <n v="197.375"/>
    <n v="3750.125"/>
    <m/>
  </r>
  <r>
    <n v="2183"/>
    <n v="266895"/>
    <n v="264418"/>
    <s v="New Office Furniture"/>
    <m/>
    <m/>
    <m/>
    <m/>
    <n v="0"/>
    <s v="GORDON PRODUCTS INC"/>
    <m/>
    <m/>
    <d v="2021-10-18T00:00:00"/>
    <d v="2021-10-18T00:00:00"/>
    <s v="2183-21-0016-1"/>
    <n v="1000"/>
    <n v="14100"/>
    <n v="18025.939999999999"/>
    <n v="14106"/>
    <n v="0"/>
    <n v="18025.939999999999"/>
    <n v="0"/>
    <n v="70260"/>
    <n v="0"/>
    <s v="P"/>
    <m/>
    <s v="196256-1"/>
    <m/>
    <s v="Internal"/>
    <s v="A"/>
    <s v="SL"/>
    <m/>
    <s v="WCNX"/>
    <n v="0"/>
    <n v="0"/>
    <m/>
    <x v="1"/>
    <n v="10"/>
    <n v="2021"/>
    <n v="2031"/>
    <n v="2031.8333333333333"/>
    <n v="150.21616666666665"/>
    <n v="1802.5939999999998"/>
    <n v="1802.5939999999998"/>
    <n v="0"/>
    <n v="1802.5939999999998"/>
    <n v="16223.346"/>
    <m/>
  </r>
  <r>
    <n v="2183"/>
    <n v="266891"/>
    <n v="257730"/>
    <s v="New Office Building"/>
    <m/>
    <m/>
    <m/>
    <m/>
    <n v="0"/>
    <s v="MOUNTAIN CONSTRUCTION INC"/>
    <m/>
    <m/>
    <d v="2021-11-03T00:00:00"/>
    <d v="2021-11-03T00:00:00"/>
    <s v="2183-21-0001-1"/>
    <n v="2000"/>
    <n v="14080"/>
    <n v="164062.15"/>
    <n v="14086"/>
    <n v="0"/>
    <n v="164062.15"/>
    <n v="0"/>
    <n v="57260"/>
    <n v="0"/>
    <s v="P"/>
    <m/>
    <s v="20-8168-00 App No 14"/>
    <m/>
    <s v="Internal"/>
    <s v="A"/>
    <s v="SL"/>
    <m/>
    <s v="WCNX"/>
    <n v="0"/>
    <n v="0"/>
    <m/>
    <x v="1"/>
    <n v="11"/>
    <n v="2021"/>
    <n v="2041"/>
    <n v="2041.9166666666667"/>
    <n v="683.59229166666671"/>
    <n v="8203.1075000000001"/>
    <n v="8203.1075000000001"/>
    <n v="0"/>
    <n v="8203.1075000000001"/>
    <n v="155859.04249999998"/>
    <m/>
  </r>
  <r>
    <n v="2183"/>
    <n v="265747"/>
    <n v="264418"/>
    <s v="75&quot; Television"/>
    <m/>
    <m/>
    <m/>
    <m/>
    <n v="0"/>
    <s v="BEST BUY"/>
    <m/>
    <m/>
    <d v="2021-10-18T00:00:00"/>
    <d v="2021-10-18T00:00:00"/>
    <s v="2183-21-0016-1"/>
    <n v="1000"/>
    <n v="14100"/>
    <n v="1358.09"/>
    <n v="14106"/>
    <n v="11.32"/>
    <n v="1346.77"/>
    <n v="11.32"/>
    <n v="70260"/>
    <n v="11.32"/>
    <s v="P"/>
    <m/>
    <n v="80651184990"/>
    <m/>
    <s v="Internal"/>
    <s v="A"/>
    <s v="SL"/>
    <m/>
    <s v="WCNX"/>
    <n v="0"/>
    <n v="0"/>
    <m/>
    <x v="1"/>
    <n v="10"/>
    <n v="2021"/>
    <n v="2031"/>
    <n v="2031.8333333333333"/>
    <n v="11.317416666666666"/>
    <n v="135.809"/>
    <n v="135.809"/>
    <n v="0"/>
    <n v="135.809"/>
    <n v="1222.2809999999999"/>
    <m/>
  </r>
  <r>
    <n v="2183"/>
    <n v="265458"/>
    <s v="P"/>
    <s v="Drive Cam Units"/>
    <n v="3"/>
    <m/>
    <m/>
    <m/>
    <n v="0"/>
    <m/>
    <m/>
    <m/>
    <d v="2021-11-01T00:00:00"/>
    <d v="2021-11-01T00:00:00"/>
    <s v="1010-21-0038"/>
    <n v="500"/>
    <n v="14070"/>
    <n v="1617.15"/>
    <n v="14076"/>
    <n v="26.96"/>
    <n v="1590.19"/>
    <n v="26.96"/>
    <n v="51260"/>
    <n v="26.96"/>
    <s v="P"/>
    <m/>
    <m/>
    <m/>
    <s v="Internal"/>
    <s v="A"/>
    <s v="SL"/>
    <m/>
    <s v="WCNX"/>
    <n v="0"/>
    <n v="0"/>
    <m/>
    <x v="0"/>
    <n v="11"/>
    <n v="2021"/>
    <n v="2026"/>
    <n v="2026.9166666666667"/>
    <n v="26.952500000000001"/>
    <n v="323.43"/>
    <n v="323.43"/>
    <n v="0"/>
    <n v="323.43"/>
    <n v="1293.72"/>
    <m/>
  </r>
  <r>
    <n v="2183"/>
    <n v="264808"/>
    <n v="257730"/>
    <s v="New Office Building"/>
    <m/>
    <m/>
    <m/>
    <m/>
    <n v="0"/>
    <s v="SITTS &amp; HILL ENGINEERS IN"/>
    <m/>
    <m/>
    <d v="2021-11-03T00:00:00"/>
    <d v="2021-11-03T00:00:00"/>
    <s v="2183-21-0001-1"/>
    <n v="2000"/>
    <n v="14080"/>
    <n v="2298.5"/>
    <n v="14086"/>
    <n v="9.58"/>
    <n v="2288.92"/>
    <n v="9.58"/>
    <n v="57260"/>
    <n v="9.58"/>
    <s v="P"/>
    <m/>
    <s v="17974-31"/>
    <m/>
    <s v="Internal"/>
    <s v="A"/>
    <s v="SL"/>
    <m/>
    <s v="WCNX"/>
    <n v="0"/>
    <n v="0"/>
    <m/>
    <x v="1"/>
    <n v="11"/>
    <n v="2021"/>
    <n v="2041"/>
    <n v="2041.9166666666667"/>
    <n v="9.5770833333333325"/>
    <n v="114.92499999999998"/>
    <n v="114.92499999999998"/>
    <n v="0"/>
    <n v="114.92499999999998"/>
    <n v="2183.5749999999998"/>
    <m/>
  </r>
  <r>
    <n v="2183"/>
    <n v="264420"/>
    <s v="P"/>
    <s v="New Office Building - IT Equipment"/>
    <m/>
    <m/>
    <m/>
    <m/>
    <n v="0"/>
    <m/>
    <m/>
    <m/>
    <d v="2021-10-18T00:00:00"/>
    <d v="2021-10-18T00:00:00"/>
    <s v="2183-21-0017"/>
    <n v="300"/>
    <n v="14110"/>
    <n v="19435.64"/>
    <n v="14116"/>
    <n v="539.88"/>
    <n v="18895.759999999998"/>
    <n v="539.88"/>
    <n v="70260"/>
    <n v="539.88"/>
    <s v="P"/>
    <m/>
    <m/>
    <m/>
    <s v="Internal"/>
    <s v="A"/>
    <s v="SL"/>
    <m/>
    <s v="WCNX"/>
    <n v="0"/>
    <n v="0"/>
    <m/>
    <x v="1"/>
    <n v="10"/>
    <n v="2021"/>
    <n v="2024"/>
    <n v="2024.8333333333333"/>
    <n v="539.87888888888881"/>
    <n v="6478.5466666666653"/>
    <n v="6478.5466666666653"/>
    <n v="0"/>
    <n v="6478.5466666666653"/>
    <n v="12957.093333333334"/>
    <m/>
  </r>
  <r>
    <n v="2183"/>
    <n v="264419"/>
    <s v="P"/>
    <s v="New Office Building - Cameras"/>
    <m/>
    <m/>
    <m/>
    <m/>
    <n v="0"/>
    <m/>
    <m/>
    <m/>
    <d v="2021-10-18T00:00:00"/>
    <d v="2021-10-18T00:00:00"/>
    <s v="2183-21-0017"/>
    <n v="500"/>
    <n v="14070"/>
    <n v="2122.54"/>
    <n v="14076"/>
    <n v="35.380000000000003"/>
    <n v="2087.16"/>
    <n v="35.380000000000003"/>
    <n v="51260"/>
    <n v="35.380000000000003"/>
    <s v="P"/>
    <m/>
    <m/>
    <m/>
    <s v="Internal"/>
    <s v="A"/>
    <s v="SL"/>
    <m/>
    <s v="WCNX"/>
    <n v="0"/>
    <n v="0"/>
    <m/>
    <x v="1"/>
    <n v="10"/>
    <n v="2021"/>
    <n v="2026"/>
    <n v="2026.8333333333333"/>
    <n v="35.375666666666667"/>
    <n v="424.50800000000004"/>
    <n v="424.50800000000004"/>
    <n v="0"/>
    <n v="424.50800000000004"/>
    <n v="1698.0319999999999"/>
    <m/>
  </r>
  <r>
    <n v="2183"/>
    <n v="264418"/>
    <s v="P"/>
    <s v="New Office Building - Furniture"/>
    <m/>
    <m/>
    <m/>
    <m/>
    <n v="0"/>
    <m/>
    <m/>
    <m/>
    <d v="2021-10-18T00:00:00"/>
    <d v="2021-10-18T00:00:00"/>
    <s v="2183-21-0016"/>
    <n v="1000"/>
    <n v="14100"/>
    <n v="139900.24"/>
    <n v="14106"/>
    <n v="1165.8399999999999"/>
    <n v="138734.39999999999"/>
    <n v="1165.8399999999999"/>
    <n v="70260"/>
    <n v="1165.8399999999999"/>
    <s v="P"/>
    <m/>
    <m/>
    <m/>
    <s v="Internal"/>
    <s v="A"/>
    <s v="SL"/>
    <m/>
    <s v="WCNX"/>
    <n v="0"/>
    <n v="0"/>
    <m/>
    <x v="1"/>
    <n v="10"/>
    <n v="2021"/>
    <n v="2031"/>
    <n v="2031.8333333333333"/>
    <n v="1165.8353333333332"/>
    <n v="13990.023999999998"/>
    <n v="13990.023999999998"/>
    <n v="0"/>
    <n v="13990.023999999998"/>
    <n v="125910.21599999999"/>
    <m/>
  </r>
  <r>
    <n v="2183"/>
    <n v="263291"/>
    <s v="P"/>
    <s v="95 Gallon Recycle Containers"/>
    <n v="702"/>
    <m/>
    <m/>
    <m/>
    <n v="0"/>
    <s v="REHRIG PACIFIC COMPANY IN"/>
    <m/>
    <s v="Non-Container Audit"/>
    <d v="2021-10-15T00:00:00"/>
    <d v="2021-10-15T00:00:00"/>
    <s v="2183-21-0015-1"/>
    <n v="700"/>
    <n v="14050"/>
    <n v="40388.5"/>
    <n v="14056"/>
    <n v="961.63"/>
    <n v="39426.870000000003"/>
    <n v="961.63"/>
    <n v="54260"/>
    <n v="480.81"/>
    <s v="P"/>
    <m/>
    <n v="50200664"/>
    <m/>
    <s v="Internal"/>
    <s v="A"/>
    <s v="SL"/>
    <m/>
    <s v="WCNX"/>
    <n v="0"/>
    <n v="0"/>
    <m/>
    <x v="3"/>
    <n v="10"/>
    <n v="2021"/>
    <n v="2028"/>
    <n v="2028.8333333333333"/>
    <n v="480.8154761904762"/>
    <n v="5769.7857142857147"/>
    <n v="5769.7857142857147"/>
    <n v="0"/>
    <n v="5769.7857142857147"/>
    <n v="34618.714285714283"/>
    <m/>
  </r>
  <r>
    <n v="2183"/>
    <n v="263290"/>
    <s v="P"/>
    <s v="35 Gallon refuse Containers"/>
    <n v="1080"/>
    <m/>
    <m/>
    <m/>
    <n v="0"/>
    <s v="REHRIG PACIFIC COMPANY IN"/>
    <m/>
    <s v="Non-Container Audit"/>
    <d v="2021-10-15T00:00:00"/>
    <d v="2021-10-15T00:00:00"/>
    <s v="2183-21-0015-1"/>
    <n v="700"/>
    <n v="14050"/>
    <n v="47461.65"/>
    <n v="14056"/>
    <n v="1130.04"/>
    <n v="46331.61"/>
    <n v="1130.04"/>
    <n v="54260"/>
    <n v="565.02"/>
    <s v="P"/>
    <m/>
    <n v="50199769"/>
    <m/>
    <s v="Internal"/>
    <s v="A"/>
    <s v="SL"/>
    <m/>
    <s v="WCNX"/>
    <n v="0"/>
    <n v="0"/>
    <m/>
    <x v="2"/>
    <n v="10"/>
    <n v="2021"/>
    <n v="2028"/>
    <n v="2028.8333333333333"/>
    <n v="565.01964285714291"/>
    <n v="6780.2357142857145"/>
    <n v="6780.2357142857145"/>
    <n v="0"/>
    <n v="6780.2357142857145"/>
    <n v="40681.414285714287"/>
    <m/>
  </r>
  <r>
    <n v="2183"/>
    <n v="261231"/>
    <s v="P"/>
    <s v="95 Gallon Plastic YardwasteTotes"/>
    <n v="702"/>
    <m/>
    <m/>
    <m/>
    <n v="0"/>
    <s v="REHRIG PACIFIC COMPANY IN"/>
    <m/>
    <s v="Non-Contianer Audit"/>
    <d v="2021-09-13T00:00:00"/>
    <d v="2021-09-13T00:00:00"/>
    <s v="2183-21-0015-1"/>
    <n v="700"/>
    <n v="14050"/>
    <n v="40388.49"/>
    <n v="14056"/>
    <n v="1442.45"/>
    <n v="38946.04"/>
    <n v="1442.45"/>
    <n v="54260"/>
    <n v="480.82"/>
    <s v="P"/>
    <m/>
    <n v="50192891"/>
    <m/>
    <s v="Internal"/>
    <s v="A"/>
    <s v="SL"/>
    <m/>
    <s v="WCNX"/>
    <n v="0"/>
    <n v="0"/>
    <m/>
    <x v="4"/>
    <n v="9"/>
    <n v="2021"/>
    <n v="2028"/>
    <n v="2028.75"/>
    <n v="480.81535714285707"/>
    <n v="5769.784285714285"/>
    <n v="5769.784285714285"/>
    <n v="0"/>
    <n v="5769.784285714285"/>
    <n v="34618.705714285716"/>
    <m/>
  </r>
  <r>
    <n v="2183"/>
    <n v="261230"/>
    <s v="P"/>
    <s v="65 Gallon Plastic Refuse Totes"/>
    <n v="936"/>
    <m/>
    <m/>
    <m/>
    <n v="0"/>
    <s v="REHRIG PACIFIC COMPANY IN"/>
    <m/>
    <s v="Non-Contianer Audit"/>
    <d v="2021-09-02T00:00:00"/>
    <d v="2021-09-02T00:00:00"/>
    <s v="2183-21-0015-1"/>
    <n v="700"/>
    <n v="14050"/>
    <n v="47461.66"/>
    <n v="14056"/>
    <n v="1695.06"/>
    <n v="45766.600000000006"/>
    <n v="1695.06"/>
    <n v="54260"/>
    <n v="565.02"/>
    <s v="P"/>
    <m/>
    <n v="50191497"/>
    <m/>
    <s v="Internal"/>
    <s v="A"/>
    <s v="SL"/>
    <m/>
    <s v="WCNX"/>
    <n v="0"/>
    <n v="0"/>
    <m/>
    <x v="2"/>
    <n v="9"/>
    <n v="2021"/>
    <n v="2028"/>
    <n v="2028.75"/>
    <n v="565.01976190476194"/>
    <n v="6780.2371428571432"/>
    <n v="6780.2371428571432"/>
    <n v="0"/>
    <n v="6780.2371428571432"/>
    <n v="40681.422857142861"/>
    <m/>
  </r>
  <r>
    <n v="2183"/>
    <n v="260754"/>
    <n v="257730"/>
    <s v="New Office Building"/>
    <m/>
    <m/>
    <m/>
    <m/>
    <n v="0"/>
    <s v="MAYES TESTING ENGINEERS I"/>
    <m/>
    <m/>
    <d v="2021-08-31T00:00:00"/>
    <d v="2021-08-31T00:00:00"/>
    <s v="2183-21-0001-1"/>
    <n v="2000"/>
    <n v="14080"/>
    <n v="520"/>
    <n v="14086"/>
    <n v="6.5"/>
    <n v="513.5"/>
    <n v="6.5"/>
    <n v="57260"/>
    <n v="2.16"/>
    <s v="P"/>
    <m/>
    <s v="TF67689"/>
    <m/>
    <s v="Internal"/>
    <s v="A"/>
    <s v="SL"/>
    <m/>
    <s v="WCNX"/>
    <n v="0"/>
    <n v="0"/>
    <m/>
    <x v="1"/>
    <n v="8"/>
    <n v="2021"/>
    <n v="2041"/>
    <n v="2041.6666666666667"/>
    <n v="2.1666666666666665"/>
    <n v="26"/>
    <n v="26"/>
    <n v="0"/>
    <n v="26"/>
    <n v="494"/>
    <m/>
  </r>
  <r>
    <n v="2183"/>
    <n v="260344"/>
    <n v="257730"/>
    <s v="New Office Building"/>
    <m/>
    <m/>
    <m/>
    <m/>
    <n v="0"/>
    <s v="MOUNTAIN CONSTRUCTION INC"/>
    <m/>
    <m/>
    <d v="2021-08-31T00:00:00"/>
    <d v="2021-08-31T00:00:00"/>
    <s v="2183-21-0001-1"/>
    <n v="2000"/>
    <n v="14080"/>
    <n v="237461.87"/>
    <n v="14086"/>
    <n v="2968.28"/>
    <n v="234493.59"/>
    <n v="2968.28"/>
    <n v="57260"/>
    <n v="989.43"/>
    <s v="P"/>
    <m/>
    <s v="20-8168-00 App No 13"/>
    <m/>
    <s v="Internal"/>
    <s v="A"/>
    <s v="SL"/>
    <m/>
    <s v="WCNX"/>
    <n v="0"/>
    <n v="0"/>
    <m/>
    <x v="1"/>
    <n v="8"/>
    <n v="2021"/>
    <n v="2041"/>
    <n v="2041.6666666666667"/>
    <n v="989.42445833333329"/>
    <n v="11873.093499999999"/>
    <n v="11873.093499999999"/>
    <n v="0"/>
    <n v="11873.093499999999"/>
    <n v="225588.77650000001"/>
    <m/>
  </r>
  <r>
    <n v="2183"/>
    <n v="260210"/>
    <n v="257730"/>
    <s v="New Office Building"/>
    <m/>
    <m/>
    <m/>
    <m/>
    <n v="0"/>
    <m/>
    <m/>
    <m/>
    <d v="2021-08-31T00:00:00"/>
    <d v="2021-08-31T00:00:00"/>
    <s v="2183-21-0001"/>
    <n v="2000"/>
    <n v="14080"/>
    <n v="2394.5"/>
    <n v="14086"/>
    <n v="29.93"/>
    <n v="2364.5700000000002"/>
    <n v="29.93"/>
    <n v="57260"/>
    <n v="9.9700000000000006"/>
    <s v="P"/>
    <m/>
    <m/>
    <m/>
    <s v="Internal"/>
    <s v="A"/>
    <s v="SL"/>
    <m/>
    <s v="WCNX"/>
    <n v="0"/>
    <n v="0"/>
    <m/>
    <x v="1"/>
    <n v="8"/>
    <n v="2021"/>
    <n v="2041"/>
    <n v="2041.6666666666667"/>
    <n v="9.9770833333333329"/>
    <n v="119.72499999999999"/>
    <n v="119.72499999999999"/>
    <n v="0"/>
    <n v="119.72499999999999"/>
    <n v="2274.7750000000001"/>
    <m/>
  </r>
  <r>
    <n v="2183"/>
    <n v="260019"/>
    <s v="P"/>
    <s v="6Yd Metal FEL Commercial Containers"/>
    <n v="13"/>
    <m/>
    <m/>
    <m/>
    <n v="0"/>
    <s v="WASTEQUIP LLC"/>
    <m/>
    <s v="6 YD FEL Container"/>
    <d v="2021-08-23T00:00:00"/>
    <d v="2021-08-23T00:00:00"/>
    <s v="2183-21-0014-1"/>
    <n v="1200"/>
    <n v="14050"/>
    <n v="15080.79"/>
    <n v="14056"/>
    <n v="314.18"/>
    <n v="14766.61"/>
    <n v="314.18"/>
    <n v="54260"/>
    <n v="104.72"/>
    <s v="P"/>
    <m/>
    <s v="20INV000023168"/>
    <m/>
    <s v="Internal"/>
    <s v="A"/>
    <s v="SL"/>
    <m/>
    <s v="WCNX"/>
    <n v="0"/>
    <n v="0"/>
    <m/>
    <x v="5"/>
    <n v="8"/>
    <n v="2021"/>
    <n v="2033"/>
    <n v="2033.6666666666667"/>
    <n v="104.72770833333334"/>
    <n v="1256.7325000000001"/>
    <n v="1256.7325000000001"/>
    <n v="0"/>
    <n v="1256.7325000000001"/>
    <n v="13824.057500000001"/>
    <m/>
  </r>
  <r>
    <n v="2183"/>
    <n v="260018"/>
    <s v="P"/>
    <s v="6Yd Metal FEL Commercial Containers"/>
    <n v="2"/>
    <m/>
    <m/>
    <m/>
    <n v="0"/>
    <s v="WASTEQUIP LLC"/>
    <m/>
    <s v="6 YD FEL Container"/>
    <d v="2021-08-19T00:00:00"/>
    <d v="2021-08-19T00:00:00"/>
    <s v="2183-21-0014-1"/>
    <n v="1200"/>
    <n v="14050"/>
    <n v="2249.0700000000002"/>
    <n v="14056"/>
    <n v="46.86"/>
    <n v="2202.21"/>
    <n v="46.86"/>
    <n v="54260"/>
    <n v="15.62"/>
    <s v="P"/>
    <m/>
    <s v="20INV000023020"/>
    <m/>
    <s v="Internal"/>
    <s v="A"/>
    <s v="SL"/>
    <m/>
    <s v="WCNX"/>
    <n v="0"/>
    <n v="0"/>
    <m/>
    <x v="5"/>
    <n v="8"/>
    <n v="2021"/>
    <n v="2033"/>
    <n v="2033.6666666666667"/>
    <n v="15.618541666666667"/>
    <n v="187.42250000000001"/>
    <n v="187.42250000000001"/>
    <n v="0"/>
    <n v="187.42250000000001"/>
    <n v="2061.6475"/>
    <m/>
  </r>
  <r>
    <n v="2183"/>
    <n v="260017"/>
    <s v="P"/>
    <s v="5Yd Metal FEL Commercial Containers"/>
    <n v="13"/>
    <m/>
    <m/>
    <m/>
    <n v="0"/>
    <s v="WASTEQUIP LLC"/>
    <m/>
    <s v="5 YD FEL Container"/>
    <d v="2021-08-23T00:00:00"/>
    <d v="2021-08-23T00:00:00"/>
    <s v="2183-21-0014-1"/>
    <n v="1200"/>
    <n v="14050"/>
    <n v="14938.59"/>
    <n v="14056"/>
    <n v="311.22000000000003"/>
    <n v="14627.37"/>
    <n v="311.22000000000003"/>
    <n v="54260"/>
    <n v="103.74"/>
    <s v="P"/>
    <m/>
    <s v="20INV000023168"/>
    <m/>
    <s v="Internal"/>
    <s v="A"/>
    <s v="SL"/>
    <m/>
    <s v="WCNX"/>
    <n v="0"/>
    <n v="0"/>
    <m/>
    <x v="5"/>
    <n v="8"/>
    <n v="2021"/>
    <n v="2033"/>
    <n v="2033.6666666666667"/>
    <n v="103.74020833333333"/>
    <n v="1244.8824999999999"/>
    <n v="1244.8824999999999"/>
    <n v="0"/>
    <n v="1244.8824999999999"/>
    <n v="13693.7075"/>
    <m/>
  </r>
  <r>
    <n v="2183"/>
    <n v="260016"/>
    <s v="P"/>
    <s v="5Yd Metal FEL Commercial Containers"/>
    <n v="7"/>
    <m/>
    <m/>
    <m/>
    <n v="0"/>
    <s v="WASTEQUIP LLC"/>
    <m/>
    <s v="5 YD FEL Container"/>
    <d v="2021-08-19T00:00:00"/>
    <d v="2021-08-19T00:00:00"/>
    <s v="2183-21-0014-1"/>
    <n v="1200"/>
    <n v="14050"/>
    <n v="7795.15"/>
    <n v="14056"/>
    <n v="162.4"/>
    <n v="7632.75"/>
    <n v="162.4"/>
    <n v="54260"/>
    <n v="54.13"/>
    <s v="P"/>
    <m/>
    <s v="20INV000023020"/>
    <m/>
    <s v="Internal"/>
    <s v="A"/>
    <s v="SL"/>
    <m/>
    <s v="WCNX"/>
    <n v="0"/>
    <n v="0"/>
    <m/>
    <x v="5"/>
    <n v="8"/>
    <n v="2021"/>
    <n v="2033"/>
    <n v="2033.6666666666667"/>
    <n v="54.132986111111109"/>
    <n v="649.5958333333333"/>
    <n v="649.5958333333333"/>
    <n v="0"/>
    <n v="649.5958333333333"/>
    <n v="7145.5541666666668"/>
    <m/>
  </r>
  <r>
    <n v="2183"/>
    <n v="260015"/>
    <s v="P"/>
    <s v="3Yd Metal FEL Commercial Containers"/>
    <n v="10"/>
    <m/>
    <m/>
    <m/>
    <n v="0"/>
    <s v="WASTEQUIP LLC"/>
    <m/>
    <s v="3 YD FEL Container"/>
    <d v="2021-08-19T00:00:00"/>
    <d v="2021-08-19T00:00:00"/>
    <s v="2183-21-0014-1"/>
    <n v="1200"/>
    <n v="14050"/>
    <n v="7328.81"/>
    <n v="14056"/>
    <n v="152.69"/>
    <n v="7176.1200000000008"/>
    <n v="152.69"/>
    <n v="54260"/>
    <n v="50.9"/>
    <s v="P"/>
    <m/>
    <s v="20INV000023020"/>
    <m/>
    <s v="Internal"/>
    <s v="A"/>
    <s v="SL"/>
    <m/>
    <s v="WCNX"/>
    <n v="0"/>
    <n v="0"/>
    <m/>
    <x v="5"/>
    <n v="8"/>
    <n v="2021"/>
    <n v="2033"/>
    <n v="2033.6666666666667"/>
    <n v="50.894513888888895"/>
    <n v="610.73416666666674"/>
    <n v="610.73416666666674"/>
    <n v="0"/>
    <n v="610.73416666666674"/>
    <n v="6718.0758333333333"/>
    <m/>
  </r>
  <r>
    <n v="2183"/>
    <n v="260014"/>
    <s v="P"/>
    <s v="2Yd Metal FEL Commercial Containers"/>
    <n v="10"/>
    <m/>
    <m/>
    <m/>
    <n v="0"/>
    <s v="WASTEQUIP LLC"/>
    <m/>
    <s v="2 YD FEL Container"/>
    <d v="2021-08-19T00:00:00"/>
    <d v="2021-08-19T00:00:00"/>
    <s v="2183-21-0014-1"/>
    <n v="1200"/>
    <n v="14050"/>
    <n v="6902.15"/>
    <n v="14056"/>
    <n v="143.80000000000001"/>
    <n v="6758.3499999999995"/>
    <n v="143.80000000000001"/>
    <n v="54260"/>
    <n v="47.93"/>
    <s v="P"/>
    <m/>
    <s v="20INV000023020"/>
    <m/>
    <s v="Internal"/>
    <s v="A"/>
    <s v="SL"/>
    <m/>
    <s v="WCNX"/>
    <n v="0"/>
    <n v="0"/>
    <m/>
    <x v="5"/>
    <n v="8"/>
    <n v="2021"/>
    <n v="2033"/>
    <n v="2033.6666666666667"/>
    <n v="47.931597222222223"/>
    <n v="575.17916666666667"/>
    <n v="575.17916666666667"/>
    <n v="0"/>
    <n v="575.17916666666667"/>
    <n v="6326.9708333333328"/>
    <m/>
  </r>
  <r>
    <n v="2183"/>
    <n v="260013"/>
    <s v="P"/>
    <s v="1.5Yd Metal FEL Commercial Containers"/>
    <n v="15"/>
    <m/>
    <m/>
    <m/>
    <n v="0"/>
    <s v="WASTEQUIP LLC"/>
    <m/>
    <s v="1.5 YD FEL Container"/>
    <d v="2021-08-19T00:00:00"/>
    <d v="2021-08-19T00:00:00"/>
    <s v="2183-21-0014-1"/>
    <n v="1200"/>
    <n v="14050"/>
    <n v="9893.7199999999993"/>
    <n v="14056"/>
    <n v="206.12"/>
    <n v="9687.5999999999985"/>
    <n v="206.12"/>
    <n v="54260"/>
    <n v="68.7"/>
    <s v="P"/>
    <m/>
    <s v="20INV000023020"/>
    <m/>
    <s v="Internal"/>
    <s v="A"/>
    <s v="SL"/>
    <m/>
    <s v="WCNX"/>
    <n v="0"/>
    <n v="0"/>
    <m/>
    <x v="5"/>
    <n v="8"/>
    <n v="2021"/>
    <n v="2033"/>
    <n v="2033.6666666666667"/>
    <n v="68.706388888888881"/>
    <n v="824.47666666666657"/>
    <n v="824.47666666666657"/>
    <n v="0"/>
    <n v="824.47666666666657"/>
    <n v="9069.243333333332"/>
    <m/>
  </r>
  <r>
    <n v="2183"/>
    <n v="259355"/>
    <n v="255410"/>
    <s v="Decals for Truck 3718"/>
    <m/>
    <m/>
    <m/>
    <m/>
    <n v="2022"/>
    <s v="Larsen Sign Co."/>
    <m/>
    <s v="Non-Rolling Stock"/>
    <d v="2021-08-04T00:00:00"/>
    <d v="2021-08-04T00:00:00"/>
    <s v="2183-21-0006-1"/>
    <n v="1000"/>
    <n v="14040"/>
    <n v="957.25"/>
    <n v="14046"/>
    <n v="31.91"/>
    <n v="925.34"/>
    <n v="31.91"/>
    <n v="51260"/>
    <n v="7.98"/>
    <s v="P"/>
    <m/>
    <n v="29093"/>
    <m/>
    <s v="Internal"/>
    <s v="A"/>
    <s v="SL"/>
    <m/>
    <s v="WCNX"/>
    <n v="0"/>
    <n v="0"/>
    <n v="3718"/>
    <x v="6"/>
    <n v="8"/>
    <n v="2021"/>
    <n v="2031"/>
    <n v="2031.6666666666667"/>
    <n v="7.9770833333333329"/>
    <n v="95.724999999999994"/>
    <n v="95.724999999999994"/>
    <n v="0"/>
    <n v="95.724999999999994"/>
    <n v="861.52499999999998"/>
    <m/>
  </r>
  <r>
    <n v="2183"/>
    <n v="259331"/>
    <n v="255410"/>
    <s v="License for Truck 3718"/>
    <m/>
    <m/>
    <m/>
    <m/>
    <n v="0"/>
    <s v="WA State DOL"/>
    <m/>
    <s v="Non-Rolling Stock"/>
    <d v="2021-08-24T00:00:00"/>
    <d v="2021-08-24T00:00:00"/>
    <s v="2183-21-0006-1"/>
    <n v="1000"/>
    <n v="14040"/>
    <n v="389.92"/>
    <n v="14046"/>
    <n v="9.75"/>
    <n v="380.17"/>
    <n v="9.75"/>
    <n v="51260"/>
    <n v="3.25"/>
    <s v="P"/>
    <m/>
    <s v="C32037X"/>
    <m/>
    <s v="Internal"/>
    <s v="A"/>
    <s v="SL"/>
    <m/>
    <s v="WCNX"/>
    <n v="0"/>
    <n v="0"/>
    <n v="3718"/>
    <x v="6"/>
    <n v="8"/>
    <n v="2021"/>
    <n v="2031"/>
    <n v="2031.6666666666667"/>
    <n v="3.2493333333333339"/>
    <n v="38.992000000000004"/>
    <n v="38.992000000000004"/>
    <n v="0"/>
    <n v="38.992000000000004"/>
    <n v="350.928"/>
    <m/>
  </r>
  <r>
    <n v="2183"/>
    <n v="259256"/>
    <n v="257730"/>
    <s v="New Office Building"/>
    <m/>
    <m/>
    <m/>
    <m/>
    <n v="0"/>
    <s v="PUGET SOUND ENERGY"/>
    <m/>
    <m/>
    <d v="2021-08-31T00:00:00"/>
    <d v="2021-08-31T00:00:00"/>
    <s v="2183-21-0001-1"/>
    <n v="2000"/>
    <n v="14080"/>
    <n v="975.05"/>
    <n v="14086"/>
    <n v="12.17"/>
    <n v="962.88"/>
    <n v="12.17"/>
    <n v="57260"/>
    <n v="4.05"/>
    <s v="P"/>
    <m/>
    <n v="90722768"/>
    <m/>
    <s v="Internal"/>
    <s v="A"/>
    <s v="SL"/>
    <m/>
    <s v="WCNX"/>
    <n v="0"/>
    <n v="0"/>
    <m/>
    <x v="1"/>
    <n v="8"/>
    <n v="2021"/>
    <n v="2041"/>
    <n v="2041.6666666666667"/>
    <n v="4.0627083333333331"/>
    <n v="48.752499999999998"/>
    <n v="48.752499999999998"/>
    <n v="0"/>
    <n v="48.752499999999998"/>
    <n v="926.2974999999999"/>
    <m/>
  </r>
  <r>
    <n v="2183"/>
    <n v="259223"/>
    <n v="251931"/>
    <s v="2021 Peterbilt ASL Truck - Warranties - COVID 2183-20-0023"/>
    <m/>
    <m/>
    <m/>
    <m/>
    <n v="0"/>
    <s v="WESTERN PETERBILT LLC"/>
    <m/>
    <s v="Non-Rolling Stock"/>
    <d v="2021-05-01T00:00:00"/>
    <d v="2021-05-01T00:00:00"/>
    <s v="2183-21-0004-1"/>
    <n v="1000"/>
    <n v="14040"/>
    <n v="4187.6000000000004"/>
    <n v="14046"/>
    <n v="244.27"/>
    <n v="3943.3300000000004"/>
    <n v="244.27"/>
    <n v="51260"/>
    <n v="34.89"/>
    <s v="P"/>
    <m/>
    <s v="PMF110112-M1W"/>
    <m/>
    <s v="Internal"/>
    <s v="A"/>
    <s v="SL"/>
    <m/>
    <s v="WCNX"/>
    <n v="0"/>
    <n v="0"/>
    <n v="3705"/>
    <x v="6"/>
    <n v="5"/>
    <n v="2021"/>
    <n v="2031"/>
    <n v="2031.4166666666667"/>
    <n v="34.896666666666668"/>
    <n v="418.76"/>
    <n v="418.76"/>
    <n v="0"/>
    <n v="418.76"/>
    <n v="3768.84"/>
    <m/>
  </r>
  <r>
    <n v="2183"/>
    <n v="259140"/>
    <n v="257730"/>
    <s v="New Office Building"/>
    <m/>
    <m/>
    <m/>
    <m/>
    <n v="0"/>
    <s v="SITTS &amp; HILL ENGINEERS IN"/>
    <m/>
    <m/>
    <d v="2021-08-31T00:00:00"/>
    <d v="2021-08-31T00:00:00"/>
    <s v="2183-21-0001-1"/>
    <n v="2000"/>
    <n v="14080"/>
    <n v="2893.75"/>
    <n v="14086"/>
    <n v="36.17"/>
    <n v="2857.58"/>
    <n v="36.17"/>
    <n v="57260"/>
    <n v="12.05"/>
    <s v="P"/>
    <m/>
    <s v="17974-28"/>
    <m/>
    <s v="Internal"/>
    <s v="A"/>
    <s v="SL"/>
    <m/>
    <s v="WCNX"/>
    <n v="0"/>
    <n v="0"/>
    <m/>
    <x v="1"/>
    <n v="8"/>
    <n v="2021"/>
    <n v="2041"/>
    <n v="2041.6666666666667"/>
    <n v="12.057291666666666"/>
    <n v="144.6875"/>
    <n v="144.6875"/>
    <n v="0"/>
    <n v="144.6875"/>
    <n v="2749.0625"/>
    <m/>
  </r>
  <r>
    <n v="2183"/>
    <n v="259121"/>
    <n v="251931"/>
    <s v="Truck 3705 Radio"/>
    <m/>
    <m/>
    <m/>
    <m/>
    <n v="0"/>
    <s v="WHISLER COMMUNICATIONS"/>
    <m/>
    <s v="Non-Rolling Stock"/>
    <d v="2021-05-01T00:00:00"/>
    <d v="2021-05-01T00:00:00"/>
    <s v="2183-21-0004-1"/>
    <n v="500"/>
    <n v="14040"/>
    <n v="792.27"/>
    <n v="14046"/>
    <n v="92.44"/>
    <n v="699.82999999999993"/>
    <n v="92.44"/>
    <n v="51260"/>
    <n v="13.21"/>
    <s v="P"/>
    <m/>
    <n v="70966"/>
    <m/>
    <s v="Internal"/>
    <s v="A"/>
    <s v="SL"/>
    <m/>
    <s v="WCNX"/>
    <n v="0"/>
    <n v="0"/>
    <n v="3705"/>
    <x v="6"/>
    <n v="5"/>
    <n v="2021"/>
    <n v="2026"/>
    <n v="2026.4166666666667"/>
    <n v="13.204500000000001"/>
    <n v="158.45400000000001"/>
    <n v="158.45400000000001"/>
    <n v="0"/>
    <n v="158.45400000000001"/>
    <n v="633.81600000000003"/>
    <m/>
  </r>
  <r>
    <n v="2183"/>
    <n v="259120"/>
    <n v="249940"/>
    <s v="Truck 3704 Radio"/>
    <m/>
    <m/>
    <m/>
    <m/>
    <n v="0"/>
    <s v="WHISLER COMMUNICATIONS"/>
    <m/>
    <s v="Non-Rolling Stock"/>
    <d v="2021-04-02T00:00:00"/>
    <d v="2021-04-02T00:00:00"/>
    <s v="2183-21-0003-1"/>
    <n v="500"/>
    <n v="14040"/>
    <n v="792.27"/>
    <n v="14046"/>
    <n v="105.64"/>
    <n v="686.63"/>
    <n v="105.64"/>
    <n v="51260"/>
    <n v="13.21"/>
    <s v="P"/>
    <m/>
    <n v="70965"/>
    <m/>
    <s v="Internal"/>
    <s v="A"/>
    <s v="SL"/>
    <m/>
    <s v="WCNX"/>
    <n v="0"/>
    <n v="0"/>
    <n v="3704"/>
    <x v="6"/>
    <n v="4"/>
    <n v="2021"/>
    <n v="2026"/>
    <n v="2026.3333333333333"/>
    <n v="13.204500000000001"/>
    <n v="158.45400000000001"/>
    <n v="158.45400000000001"/>
    <n v="0"/>
    <n v="158.45400000000001"/>
    <n v="633.81600000000003"/>
    <m/>
  </r>
  <r>
    <n v="2183"/>
    <n v="258547"/>
    <n v="251931"/>
    <s v="Truck 3705 License"/>
    <m/>
    <m/>
    <m/>
    <m/>
    <n v="0"/>
    <m/>
    <m/>
    <s v="Non-Rolling Stock"/>
    <d v="2021-05-01T00:00:00"/>
    <d v="2021-05-01T00:00:00"/>
    <s v="2183-21-0004"/>
    <n v="1000"/>
    <n v="14040"/>
    <n v="471.74"/>
    <n v="14046"/>
    <n v="27.52"/>
    <n v="444.22"/>
    <n v="27.52"/>
    <n v="51260"/>
    <n v="3.93"/>
    <s v="P"/>
    <m/>
    <m/>
    <m/>
    <s v="Internal"/>
    <s v="A"/>
    <s v="SL"/>
    <m/>
    <s v="WCNX"/>
    <n v="0"/>
    <n v="0"/>
    <n v="3705"/>
    <x v="6"/>
    <n v="5"/>
    <n v="2021"/>
    <n v="2031"/>
    <n v="2031.4166666666667"/>
    <n v="3.9311666666666665"/>
    <n v="47.173999999999999"/>
    <n v="47.173999999999999"/>
    <n v="0"/>
    <n v="47.173999999999999"/>
    <n v="424.56600000000003"/>
    <m/>
  </r>
  <r>
    <n v="2183"/>
    <n v="257735"/>
    <s v="P"/>
    <s v="New Pacific Office building"/>
    <m/>
    <m/>
    <m/>
    <m/>
    <n v="0"/>
    <m/>
    <m/>
    <m/>
    <d v="2021-08-31T00:00:00"/>
    <d v="2021-08-31T00:00:00"/>
    <s v="2183-19-0001"/>
    <n v="2000"/>
    <n v="14080"/>
    <n v="82386.27"/>
    <n v="14086"/>
    <n v="1029.83"/>
    <n v="81356.44"/>
    <n v="1029.83"/>
    <n v="57260"/>
    <n v="343.27"/>
    <s v="P"/>
    <m/>
    <m/>
    <m/>
    <s v="Internal"/>
    <s v="A"/>
    <s v="SL"/>
    <m/>
    <s v="WCNX"/>
    <n v="0"/>
    <n v="0"/>
    <m/>
    <x v="1"/>
    <n v="8"/>
    <n v="2021"/>
    <n v="2041"/>
    <n v="2041.6666666666667"/>
    <n v="343.27612500000004"/>
    <n v="4119.3135000000002"/>
    <n v="4119.3135000000002"/>
    <n v="0"/>
    <n v="4119.3135000000002"/>
    <n v="78266.9565"/>
    <m/>
  </r>
  <r>
    <n v="2183"/>
    <n v="257734"/>
    <s v="P"/>
    <s v="New Pacific Office building"/>
    <m/>
    <m/>
    <m/>
    <m/>
    <n v="0"/>
    <m/>
    <m/>
    <m/>
    <d v="2021-08-31T00:00:00"/>
    <d v="2021-08-31T00:00:00"/>
    <s v="2183-18-0016"/>
    <n v="2000"/>
    <n v="14080"/>
    <n v="72541.67"/>
    <n v="14086"/>
    <n v="906.77"/>
    <n v="71634.899999999994"/>
    <n v="906.77"/>
    <n v="57260"/>
    <n v="302.25"/>
    <s v="P"/>
    <m/>
    <m/>
    <m/>
    <s v="Internal"/>
    <s v="A"/>
    <s v="SL"/>
    <m/>
    <s v="WCNX"/>
    <n v="0"/>
    <n v="0"/>
    <m/>
    <x v="1"/>
    <n v="8"/>
    <n v="2021"/>
    <n v="2041"/>
    <n v="2041.6666666666667"/>
    <n v="302.25695833333333"/>
    <n v="3627.0834999999997"/>
    <n v="3627.0834999999997"/>
    <n v="0"/>
    <n v="3627.0834999999997"/>
    <n v="68914.586500000005"/>
    <m/>
  </r>
  <r>
    <n v="2183"/>
    <n v="257733"/>
    <s v="P"/>
    <s v="New Office Building"/>
    <m/>
    <m/>
    <m/>
    <m/>
    <n v="0"/>
    <m/>
    <m/>
    <m/>
    <d v="2021-08-31T00:00:00"/>
    <d v="2021-08-31T00:00:00"/>
    <s v="2183-17-0001"/>
    <n v="2000"/>
    <n v="14080"/>
    <n v="20782.810000000001"/>
    <n v="14086"/>
    <n v="259.79000000000002"/>
    <n v="20523.02"/>
    <n v="259.79000000000002"/>
    <n v="57260"/>
    <n v="86.6"/>
    <s v="P"/>
    <m/>
    <m/>
    <m/>
    <s v="Internal"/>
    <s v="A"/>
    <s v="SL"/>
    <m/>
    <s v="WCNX"/>
    <n v="0"/>
    <n v="0"/>
    <m/>
    <x v="1"/>
    <n v="8"/>
    <n v="2021"/>
    <n v="2041"/>
    <n v="2041.6666666666667"/>
    <n v="86.59504166666666"/>
    <n v="1039.1405"/>
    <n v="1039.1405"/>
    <n v="0"/>
    <n v="1039.1405"/>
    <n v="19743.6695"/>
    <m/>
  </r>
  <r>
    <n v="2183"/>
    <n v="257732"/>
    <s v="P"/>
    <s v="New Office Permitting"/>
    <m/>
    <m/>
    <m/>
    <m/>
    <n v="0"/>
    <m/>
    <m/>
    <m/>
    <d v="2021-08-31T00:00:00"/>
    <d v="2021-08-31T00:00:00"/>
    <s v="2183-16-0023"/>
    <n v="2000"/>
    <n v="14080"/>
    <n v="43504.53"/>
    <n v="14086"/>
    <n v="543.80999999999995"/>
    <n v="42960.72"/>
    <n v="543.80999999999995"/>
    <n v="57260"/>
    <n v="181.27"/>
    <s v="P"/>
    <m/>
    <m/>
    <m/>
    <s v="Internal"/>
    <s v="A"/>
    <s v="SL"/>
    <m/>
    <s v="WCNX"/>
    <n v="0"/>
    <n v="0"/>
    <m/>
    <x v="1"/>
    <n v="8"/>
    <n v="2021"/>
    <n v="2041"/>
    <n v="2041.6666666666667"/>
    <n v="181.26887499999998"/>
    <n v="2175.2264999999998"/>
    <n v="2175.2264999999998"/>
    <n v="0"/>
    <n v="2175.2264999999998"/>
    <n v="41329.303500000002"/>
    <m/>
  </r>
  <r>
    <n v="2183"/>
    <n v="257731"/>
    <s v="P"/>
    <s v="New Office Building"/>
    <m/>
    <m/>
    <m/>
    <m/>
    <n v="0"/>
    <m/>
    <m/>
    <m/>
    <d v="2021-08-31T00:00:00"/>
    <d v="2021-08-31T00:00:00"/>
    <s v="2183-20-0019"/>
    <n v="2000"/>
    <n v="14080"/>
    <n v="612645.63"/>
    <n v="14086"/>
    <n v="7658.07"/>
    <n v="604987.56000000006"/>
    <n v="7658.07"/>
    <n v="57260"/>
    <n v="2552.69"/>
    <s v="P"/>
    <m/>
    <m/>
    <m/>
    <s v="Internal"/>
    <s v="A"/>
    <s v="SL"/>
    <m/>
    <s v="WCNX"/>
    <n v="0"/>
    <n v="0"/>
    <m/>
    <x v="1"/>
    <n v="8"/>
    <n v="2021"/>
    <n v="2041"/>
    <n v="2041.6666666666667"/>
    <n v="2552.6901250000001"/>
    <n v="30632.281500000001"/>
    <n v="30632.281500000001"/>
    <n v="0"/>
    <n v="30632.281500000001"/>
    <n v="582013.34849999996"/>
    <m/>
  </r>
  <r>
    <n v="2183"/>
    <n v="257730"/>
    <s v="P"/>
    <s v="New Office Building"/>
    <m/>
    <m/>
    <m/>
    <m/>
    <n v="0"/>
    <m/>
    <m/>
    <m/>
    <d v="2021-08-31T00:00:00"/>
    <d v="2021-08-31T00:00:00"/>
    <s v="2183-21-0001"/>
    <n v="2000"/>
    <n v="14080"/>
    <n v="2795091.88"/>
    <n v="14086"/>
    <n v="34938.65"/>
    <n v="2760153.23"/>
    <n v="34938.65"/>
    <n v="57260"/>
    <n v="11646.21"/>
    <s v="P"/>
    <m/>
    <m/>
    <m/>
    <s v="Internal"/>
    <s v="A"/>
    <s v="SL"/>
    <m/>
    <s v="WCNX"/>
    <n v="0"/>
    <n v="0"/>
    <m/>
    <x v="1"/>
    <n v="8"/>
    <n v="2021"/>
    <n v="2041"/>
    <n v="2041.6666666666667"/>
    <n v="11646.216166666665"/>
    <n v="139754.59399999998"/>
    <n v="139754.59399999998"/>
    <n v="0"/>
    <n v="139754.59399999998"/>
    <n v="2655337.2859999998"/>
    <m/>
  </r>
  <r>
    <n v="2183"/>
    <n v="257146"/>
    <s v="P"/>
    <s v="1 Yard REL Containers"/>
    <n v="57"/>
    <m/>
    <m/>
    <m/>
    <n v="0"/>
    <m/>
    <m/>
    <s v="1 YD FEL/REL/SL Metal"/>
    <d v="2001-11-01T00:00:00"/>
    <d v="2001-11-01T00:00:00"/>
    <m/>
    <n v="600"/>
    <n v="14050"/>
    <n v="1136.3699999999999"/>
    <n v="14056"/>
    <n v="1136.3699999999999"/>
    <n v="0"/>
    <n v="0"/>
    <n v="54260"/>
    <n v="0"/>
    <s v="A"/>
    <s v="Island"/>
    <m/>
    <m/>
    <s v="Internal"/>
    <s v="A"/>
    <s v="SL"/>
    <d v="2021-07-31T00:00:00"/>
    <s v="WCNX"/>
    <n v="0"/>
    <n v="1136.3699999999999"/>
    <m/>
    <x v="7"/>
    <n v="11"/>
    <n v="2001"/>
    <n v="2007"/>
    <n v="2007.9166666666667"/>
    <n v="15.782916666666665"/>
    <n v="189.39499999999998"/>
    <n v="0"/>
    <n v="1136.3699999999999"/>
    <n v="1136.3699999999999"/>
    <n v="0"/>
    <m/>
  </r>
  <r>
    <n v="2183"/>
    <n v="257145"/>
    <s v="P"/>
    <s v="1.5YD FEL"/>
    <n v="1"/>
    <m/>
    <n v="0"/>
    <m/>
    <n v="0"/>
    <s v="CAPITAL INDUSTRIES, INC."/>
    <m/>
    <s v="1.5 YD FEL/REL/SL Metal"/>
    <d v="2006-08-24T00:00:00"/>
    <d v="2006-08-24T00:00:00"/>
    <s v="06-2144-007"/>
    <n v="1200"/>
    <n v="14050"/>
    <n v="451.52"/>
    <n v="14056"/>
    <n v="451.52"/>
    <n v="0"/>
    <n v="0"/>
    <n v="54260"/>
    <n v="0"/>
    <s v="P"/>
    <m/>
    <n v="14574"/>
    <m/>
    <s v="Internal"/>
    <s v="A"/>
    <s v="SL"/>
    <d v="2021-07-31T00:00:00"/>
    <s v="WCNX"/>
    <n v="0"/>
    <n v="451.52"/>
    <m/>
    <x v="7"/>
    <n v="8"/>
    <n v="2006"/>
    <n v="2018"/>
    <n v="2018.6666666666667"/>
    <n v="3.1355555555555554"/>
    <n v="37.626666666666665"/>
    <n v="0"/>
    <n v="451.52"/>
    <n v="451.52"/>
    <n v="0"/>
    <m/>
  </r>
  <r>
    <n v="2183"/>
    <n v="257144"/>
    <s v="P"/>
    <s v="2 yard rear load containers"/>
    <n v="3"/>
    <m/>
    <n v="0"/>
    <m/>
    <n v="0"/>
    <s v="CAPITAL INDUSTRIES, INC."/>
    <m/>
    <s v="2 YD FEL/REL/SL Metal"/>
    <d v="2007-08-16T00:00:00"/>
    <d v="2007-08-16T00:00:00"/>
    <s v="07-2144-005"/>
    <n v="1200"/>
    <n v="14050"/>
    <n v="1421.15"/>
    <n v="14056"/>
    <n v="1421.15"/>
    <n v="0"/>
    <n v="0"/>
    <n v="54260"/>
    <n v="0"/>
    <s v="P"/>
    <m/>
    <n v="25786"/>
    <m/>
    <s v="Internal"/>
    <s v="A"/>
    <s v="SL"/>
    <d v="2021-07-31T00:00:00"/>
    <s v="WCNX"/>
    <n v="0"/>
    <n v="1421.15"/>
    <m/>
    <x v="7"/>
    <n v="8"/>
    <n v="2007"/>
    <n v="2019"/>
    <n v="2019.6666666666667"/>
    <n v="9.8690972222222229"/>
    <n v="118.42916666666667"/>
    <n v="0"/>
    <n v="1421.15"/>
    <n v="1421.15"/>
    <n v="0"/>
    <m/>
  </r>
  <r>
    <n v="2183"/>
    <n v="257143"/>
    <s v="P"/>
    <s v="4YD Containers"/>
    <n v="11"/>
    <m/>
    <m/>
    <m/>
    <n v="0"/>
    <m/>
    <m/>
    <s v="4 YD FEL/REL/SL Metal"/>
    <d v="2008-11-03T00:00:00"/>
    <d v="2008-11-03T00:00:00"/>
    <m/>
    <n v="700"/>
    <n v="14050"/>
    <n v="528"/>
    <n v="14056"/>
    <n v="528"/>
    <n v="0"/>
    <n v="0"/>
    <n v="54260"/>
    <n v="0"/>
    <s v="A"/>
    <s v="LeMay Enterprises"/>
    <m/>
    <m/>
    <s v="Internal"/>
    <s v="A"/>
    <s v="SL"/>
    <d v="2021-07-31T00:00:00"/>
    <s v="WCNX"/>
    <n v="0"/>
    <n v="528"/>
    <m/>
    <x v="7"/>
    <n v="11"/>
    <n v="2008"/>
    <n v="2015"/>
    <n v="2015.9166666666667"/>
    <n v="6.2857142857142856"/>
    <n v="75.428571428571431"/>
    <n v="0"/>
    <n v="528"/>
    <n v="528"/>
    <n v="0"/>
    <m/>
  </r>
  <r>
    <n v="2183"/>
    <n v="257142"/>
    <s v="P"/>
    <s v="1.5 Yard Commercial Containers"/>
    <n v="37"/>
    <m/>
    <m/>
    <m/>
    <n v="0"/>
    <m/>
    <m/>
    <s v="1.5 YD FEL/REL/SL Metal"/>
    <d v="2008-11-03T00:00:00"/>
    <d v="2008-11-03T00:00:00"/>
    <m/>
    <n v="1200"/>
    <n v="14050"/>
    <n v="4347.5"/>
    <n v="14056"/>
    <n v="4347.5"/>
    <n v="0"/>
    <n v="0"/>
    <n v="54260"/>
    <n v="0"/>
    <s v="A"/>
    <s v="LeMay Enterprises"/>
    <m/>
    <m/>
    <s v="Internal"/>
    <s v="A"/>
    <s v="SL"/>
    <d v="2021-07-31T00:00:00"/>
    <s v="WCNX"/>
    <n v="0"/>
    <n v="4347.5"/>
    <m/>
    <x v="7"/>
    <n v="11"/>
    <n v="2008"/>
    <n v="2020"/>
    <n v="2020.9166666666667"/>
    <n v="30.190972222222225"/>
    <n v="362.29166666666669"/>
    <n v="0"/>
    <n v="4347.5"/>
    <n v="4347.5"/>
    <n v="0"/>
    <m/>
  </r>
  <r>
    <n v="2183"/>
    <n v="257141"/>
    <s v="P"/>
    <s v="3 Yard Commercial Containers"/>
    <n v="8"/>
    <m/>
    <m/>
    <m/>
    <n v="0"/>
    <m/>
    <m/>
    <s v="3 YD FEL/REL/SL Metal"/>
    <d v="2008-11-03T00:00:00"/>
    <d v="2008-11-03T00:00:00"/>
    <m/>
    <n v="1200"/>
    <n v="14050"/>
    <n v="1480"/>
    <n v="14056"/>
    <n v="1480"/>
    <n v="0"/>
    <n v="0"/>
    <n v="54260"/>
    <n v="0"/>
    <s v="A"/>
    <s v="LeMay Enterprises"/>
    <m/>
    <m/>
    <s v="Internal"/>
    <s v="A"/>
    <s v="SL"/>
    <d v="2021-07-31T00:00:00"/>
    <s v="WCNX"/>
    <n v="0"/>
    <n v="1480"/>
    <m/>
    <x v="7"/>
    <n v="11"/>
    <n v="2008"/>
    <n v="2020"/>
    <n v="2020.9166666666667"/>
    <n v="10.277777777777777"/>
    <n v="123.33333333333331"/>
    <n v="0"/>
    <n v="1480"/>
    <n v="1480"/>
    <n v="0"/>
    <m/>
  </r>
  <r>
    <n v="2183"/>
    <n v="257140"/>
    <s v="P"/>
    <s v="1YD Containers"/>
    <n v="3"/>
    <m/>
    <m/>
    <m/>
    <n v="0"/>
    <m/>
    <m/>
    <s v="1 YD FEL/REL/SL Metal"/>
    <d v="2008-11-03T00:00:00"/>
    <d v="2008-11-03T00:00:00"/>
    <m/>
    <n v="700"/>
    <n v="14050"/>
    <n v="144"/>
    <n v="14056"/>
    <n v="144"/>
    <n v="0"/>
    <n v="0"/>
    <n v="54260"/>
    <n v="0"/>
    <s v="A"/>
    <s v="LeMay Enterprises"/>
    <m/>
    <m/>
    <s v="Internal"/>
    <s v="A"/>
    <s v="SL"/>
    <d v="2021-07-31T00:00:00"/>
    <s v="WCNX"/>
    <n v="0"/>
    <n v="144"/>
    <m/>
    <x v="7"/>
    <n v="11"/>
    <n v="2008"/>
    <n v="2015"/>
    <n v="2015.9166666666667"/>
    <n v="1.7142857142857144"/>
    <n v="20.571428571428573"/>
    <n v="0"/>
    <n v="144"/>
    <n v="144"/>
    <n v="0"/>
    <m/>
  </r>
  <r>
    <n v="2183"/>
    <n v="257139"/>
    <s v="P"/>
    <s v="30YD Containers"/>
    <n v="5"/>
    <m/>
    <m/>
    <m/>
    <n v="0"/>
    <m/>
    <m/>
    <s v="30 YD RO Box"/>
    <d v="2008-11-03T00:00:00"/>
    <d v="2008-11-03T00:00:00"/>
    <m/>
    <n v="700"/>
    <n v="14050"/>
    <n v="701.55"/>
    <n v="14056"/>
    <n v="701.55"/>
    <n v="0"/>
    <n v="0"/>
    <n v="54260"/>
    <n v="0"/>
    <s v="A"/>
    <s v="LeMay Enterprises"/>
    <m/>
    <m/>
    <s v="Internal"/>
    <s v="A"/>
    <s v="SL"/>
    <d v="2021-07-31T00:00:00"/>
    <s v="WCNX"/>
    <n v="0"/>
    <n v="701.55"/>
    <m/>
    <x v="7"/>
    <n v="11"/>
    <n v="2008"/>
    <n v="2015"/>
    <n v="2015.9166666666667"/>
    <n v="8.3517857142857128"/>
    <n v="100.22142857142856"/>
    <n v="0"/>
    <n v="701.55"/>
    <n v="701.55"/>
    <n v="0"/>
    <m/>
  </r>
  <r>
    <n v="2183"/>
    <n v="257138"/>
    <s v="P"/>
    <s v="1YD Containers"/>
    <n v="6"/>
    <m/>
    <m/>
    <m/>
    <n v="0"/>
    <m/>
    <m/>
    <s v="1 YD FEL/REL/SL Metal"/>
    <d v="2008-11-03T00:00:00"/>
    <d v="2008-11-03T00:00:00"/>
    <m/>
    <n v="700"/>
    <n v="14050"/>
    <n v="411.72"/>
    <n v="14056"/>
    <n v="411.72"/>
    <n v="0"/>
    <n v="0"/>
    <n v="54260"/>
    <n v="0"/>
    <s v="A"/>
    <s v="LeMay Enterprises"/>
    <m/>
    <m/>
    <s v="Internal"/>
    <s v="A"/>
    <s v="SL"/>
    <d v="2021-07-31T00:00:00"/>
    <s v="WCNX"/>
    <n v="0"/>
    <n v="411.72"/>
    <m/>
    <x v="7"/>
    <n v="11"/>
    <n v="2008"/>
    <n v="2015"/>
    <n v="2015.9166666666667"/>
    <n v="4.9014285714285721"/>
    <n v="58.817142857142869"/>
    <n v="0"/>
    <n v="411.72"/>
    <n v="411.72"/>
    <n v="0"/>
    <m/>
  </r>
  <r>
    <n v="2183"/>
    <n v="256603"/>
    <s v="P"/>
    <s v="1 Yard Commercial Containers"/>
    <n v="34"/>
    <m/>
    <m/>
    <m/>
    <n v="0"/>
    <m/>
    <m/>
    <s v="1 YD FEL/REL/SL Metal"/>
    <d v="2008-11-03T00:00:00"/>
    <d v="2008-11-03T00:00:00"/>
    <m/>
    <n v="1200"/>
    <n v="14050"/>
    <n v="3230"/>
    <n v="14056"/>
    <n v="3230"/>
    <n v="0"/>
    <n v="0"/>
    <n v="54260"/>
    <n v="0"/>
    <s v="A"/>
    <s v="LeMay Enterprises"/>
    <m/>
    <m/>
    <s v="Internal"/>
    <s v="A"/>
    <s v="SL"/>
    <d v="2021-07-31T00:00:00"/>
    <s v="WCNX"/>
    <n v="0"/>
    <n v="3230"/>
    <m/>
    <x v="7"/>
    <n v="11"/>
    <n v="2008"/>
    <n v="2020"/>
    <n v="2020.9166666666667"/>
    <n v="22.430555555555557"/>
    <n v="269.16666666666669"/>
    <n v="0"/>
    <n v="3230"/>
    <n v="3230"/>
    <n v="0"/>
    <m/>
  </r>
  <r>
    <n v="2183"/>
    <n v="256602"/>
    <s v="P"/>
    <s v="1 Yard Commercial Containers"/>
    <n v="7"/>
    <m/>
    <m/>
    <m/>
    <n v="0"/>
    <m/>
    <m/>
    <s v="1 YD FEL/REL/SL Metal"/>
    <d v="2008-11-03T00:00:00"/>
    <d v="2008-11-03T00:00:00"/>
    <m/>
    <n v="1200"/>
    <n v="14050"/>
    <n v="665"/>
    <n v="14056"/>
    <n v="665"/>
    <n v="0"/>
    <n v="0"/>
    <n v="54260"/>
    <n v="0"/>
    <s v="A"/>
    <s v="LeMay Enterprises"/>
    <m/>
    <m/>
    <s v="Internal"/>
    <s v="A"/>
    <s v="SL"/>
    <d v="2021-07-31T00:00:00"/>
    <s v="WCNX"/>
    <n v="0"/>
    <n v="665"/>
    <m/>
    <x v="7"/>
    <n v="11"/>
    <n v="2008"/>
    <n v="2020"/>
    <n v="2020.9166666666667"/>
    <n v="4.6180555555555554"/>
    <n v="55.416666666666664"/>
    <n v="0"/>
    <n v="665"/>
    <n v="665"/>
    <n v="0"/>
    <m/>
  </r>
  <r>
    <n v="2183"/>
    <n v="256601"/>
    <s v="P"/>
    <s v="2 yard rear load containers"/>
    <n v="4"/>
    <m/>
    <n v="0"/>
    <m/>
    <n v="0"/>
    <s v="CAPITAL INDUSTRIES, INC."/>
    <m/>
    <s v="2 YD FEL/REL/SL Metal"/>
    <d v="2007-08-16T00:00:00"/>
    <d v="2007-08-16T00:00:00"/>
    <s v="07-2144-005"/>
    <n v="1200"/>
    <n v="14050"/>
    <n v="1894.86"/>
    <n v="14056"/>
    <n v="1894.86"/>
    <n v="0"/>
    <n v="0"/>
    <n v="54260"/>
    <n v="0"/>
    <s v="P"/>
    <m/>
    <n v="25785"/>
    <m/>
    <s v="Internal"/>
    <s v="A"/>
    <s v="SL"/>
    <d v="2021-07-31T00:00:00"/>
    <s v="WCNX"/>
    <n v="0"/>
    <n v="1894.86"/>
    <m/>
    <x v="7"/>
    <n v="8"/>
    <n v="2007"/>
    <n v="2019"/>
    <n v="2019.6666666666667"/>
    <n v="13.15875"/>
    <n v="157.905"/>
    <n v="0"/>
    <n v="1894.86"/>
    <n v="1894.86"/>
    <n v="0"/>
    <m/>
  </r>
  <r>
    <n v="2183"/>
    <n v="256600"/>
    <s v="P"/>
    <s v="2 yard rear load containers"/>
    <n v="12"/>
    <m/>
    <n v="0"/>
    <m/>
    <n v="0"/>
    <s v="CAPITAL INDUSTRIES, INC."/>
    <m/>
    <s v="2 YD FEL/REL/SL Metal"/>
    <d v="2007-08-16T00:00:00"/>
    <d v="2007-08-16T00:00:00"/>
    <s v="07-2144-005"/>
    <n v="1200"/>
    <n v="14050"/>
    <n v="5684.58"/>
    <n v="14056"/>
    <n v="5684.58"/>
    <n v="0"/>
    <n v="0"/>
    <n v="54260"/>
    <n v="0"/>
    <s v="P"/>
    <m/>
    <n v="25765"/>
    <m/>
    <s v="Internal"/>
    <s v="A"/>
    <s v="SL"/>
    <d v="2021-07-31T00:00:00"/>
    <s v="WCNX"/>
    <n v="0"/>
    <n v="5684.58"/>
    <m/>
    <x v="7"/>
    <n v="8"/>
    <n v="2007"/>
    <n v="2019"/>
    <n v="2019.6666666666667"/>
    <n v="39.47625"/>
    <n v="473.71500000000003"/>
    <n v="0"/>
    <n v="5684.58"/>
    <n v="5684.58"/>
    <n v="0"/>
    <m/>
  </r>
  <r>
    <n v="2183"/>
    <n v="256599"/>
    <s v="P"/>
    <s v="1.5YD FEL"/>
    <n v="10"/>
    <m/>
    <n v="0"/>
    <m/>
    <n v="0"/>
    <s v="CAPITAL INDUSTRIES, INC."/>
    <m/>
    <s v="1.5 YD FEL/REL/SL Metal"/>
    <d v="2006-08-24T00:00:00"/>
    <d v="2006-08-24T00:00:00"/>
    <s v="06-2144-007"/>
    <n v="1200"/>
    <n v="14050"/>
    <n v="4515.2"/>
    <n v="14056"/>
    <n v="4515.2"/>
    <n v="0"/>
    <n v="0"/>
    <n v="54260"/>
    <n v="0"/>
    <s v="P"/>
    <m/>
    <n v="14556"/>
    <m/>
    <s v="Internal"/>
    <s v="A"/>
    <s v="SL"/>
    <d v="2021-07-31T00:00:00"/>
    <s v="WCNX"/>
    <n v="0"/>
    <n v="4515.2"/>
    <m/>
    <x v="7"/>
    <n v="8"/>
    <n v="2006"/>
    <n v="2018"/>
    <n v="2018.6666666666667"/>
    <n v="31.355555555555554"/>
    <n v="376.26666666666665"/>
    <n v="0"/>
    <n v="4515.2"/>
    <n v="4515.2"/>
    <n v="0"/>
    <m/>
  </r>
  <r>
    <n v="2183"/>
    <n v="256598"/>
    <s v="P"/>
    <s v="1.5 Yd RL Gavl. Containers"/>
    <n v="12"/>
    <m/>
    <m/>
    <m/>
    <n v="0"/>
    <s v="CAPITAL INDUSTRIES, INC."/>
    <m/>
    <s v="1.5 YD FEL/REL/SL Metal"/>
    <d v="2005-08-31T00:00:00"/>
    <d v="2005-08-31T00:00:00"/>
    <n v="52144002"/>
    <n v="1200"/>
    <n v="14050"/>
    <n v="6780"/>
    <n v="14056"/>
    <n v="6780"/>
    <n v="0"/>
    <n v="0"/>
    <n v="54260"/>
    <n v="0"/>
    <s v="P"/>
    <n v="0"/>
    <n v="2038"/>
    <m/>
    <s v="Internal"/>
    <s v="A"/>
    <s v="SL"/>
    <d v="2021-07-31T00:00:00"/>
    <s v="WCNX"/>
    <n v="0"/>
    <n v="6780"/>
    <m/>
    <x v="7"/>
    <n v="8"/>
    <n v="2005"/>
    <n v="2017"/>
    <n v="2017.6666666666667"/>
    <n v="47.083333333333336"/>
    <n v="565"/>
    <n v="0"/>
    <n v="6780"/>
    <n v="6780"/>
    <n v="0"/>
    <m/>
  </r>
  <r>
    <n v="2183"/>
    <n v="255878"/>
    <s v="P"/>
    <s v="95 Gallon Plastic Refuse Totes"/>
    <n v="702"/>
    <m/>
    <m/>
    <m/>
    <n v="0"/>
    <s v="REHRIG PACIFIC COMPANY IN"/>
    <m/>
    <s v="Non-Container Audit"/>
    <d v="2021-07-12T00:00:00"/>
    <d v="2021-07-12T00:00:00"/>
    <s v="2183-21-0015-1"/>
    <n v="700"/>
    <n v="14050"/>
    <n v="40388.49"/>
    <n v="14056"/>
    <n v="2404.08"/>
    <n v="37984.409999999996"/>
    <n v="2404.08"/>
    <n v="54260"/>
    <n v="480.82"/>
    <s v="P"/>
    <m/>
    <n v="50180289"/>
    <m/>
    <s v="Internal"/>
    <s v="A"/>
    <s v="SL"/>
    <m/>
    <s v="WCNX"/>
    <n v="0"/>
    <n v="0"/>
    <m/>
    <x v="2"/>
    <n v="7"/>
    <n v="2021"/>
    <n v="2028"/>
    <n v="2028.5833333333333"/>
    <n v="480.81535714285707"/>
    <n v="5769.784285714285"/>
    <n v="5769.784285714285"/>
    <n v="0"/>
    <n v="5769.784285714285"/>
    <n v="34618.705714285716"/>
    <m/>
  </r>
  <r>
    <n v="2183"/>
    <n v="255410"/>
    <s v="P"/>
    <s v="2022 Peterbilt ASL Truck"/>
    <m/>
    <m/>
    <s v="3BPDLK0X8NF111051"/>
    <m/>
    <n v="2022"/>
    <m/>
    <m/>
    <s v="Automated Sideload"/>
    <d v="2021-07-20T00:00:00"/>
    <d v="2021-07-20T00:00:00"/>
    <s v="2183-21-0006"/>
    <n v="1000"/>
    <n v="14040"/>
    <n v="369905.83"/>
    <n v="14046"/>
    <n v="12330.19"/>
    <n v="357575.64"/>
    <n v="12330.19"/>
    <n v="51260"/>
    <n v="3082.55"/>
    <s v="P"/>
    <m/>
    <m/>
    <m/>
    <s v="Internal"/>
    <s v="A"/>
    <s v="SL"/>
    <m/>
    <s v="WCNX"/>
    <n v="0"/>
    <n v="0"/>
    <n v="3718"/>
    <x v="6"/>
    <n v="7"/>
    <n v="2021"/>
    <n v="2031"/>
    <n v="2031.5833333333333"/>
    <n v="3082.5485833333332"/>
    <n v="36990.582999999999"/>
    <n v="36990.582999999999"/>
    <n v="0"/>
    <n v="36990.582999999999"/>
    <n v="332915.24700000003"/>
    <m/>
  </r>
  <r>
    <n v="2183"/>
    <n v="255160"/>
    <s v="P"/>
    <s v="95 Gallon Plastic YardwasteTotes"/>
    <n v="702"/>
    <m/>
    <m/>
    <m/>
    <n v="0"/>
    <s v="REHRIG PACIFIC COMPANY IN"/>
    <m/>
    <s v="Non-Container Audit"/>
    <d v="2021-07-09T00:00:00"/>
    <d v="2021-07-09T00:00:00"/>
    <s v="2183-21-0015-1"/>
    <n v="700"/>
    <n v="14050"/>
    <n v="40388.49"/>
    <n v="14056"/>
    <n v="2404.08"/>
    <n v="37984.409999999996"/>
    <n v="2404.08"/>
    <n v="54260"/>
    <n v="480.82"/>
    <s v="P"/>
    <m/>
    <n v="50180462"/>
    <m/>
    <s v="Internal"/>
    <s v="A"/>
    <s v="SL"/>
    <m/>
    <s v="WCNX"/>
    <n v="0"/>
    <n v="0"/>
    <m/>
    <x v="4"/>
    <n v="7"/>
    <n v="2021"/>
    <n v="2028"/>
    <n v="2028.5833333333333"/>
    <n v="480.81535714285707"/>
    <n v="5769.784285714285"/>
    <n v="5769.784285714285"/>
    <n v="0"/>
    <n v="5769.784285714285"/>
    <n v="34618.705714285716"/>
    <m/>
  </r>
  <r>
    <n v="2183"/>
    <n v="254292"/>
    <s v="P"/>
    <s v="2YD Metal REL Container"/>
    <n v="25"/>
    <m/>
    <m/>
    <m/>
    <n v="0"/>
    <s v="CAPITAL INDUSTRIES INC"/>
    <m/>
    <s v="2 YD REL Container"/>
    <d v="2021-06-10T00:00:00"/>
    <d v="2021-06-10T00:00:00"/>
    <s v="2183-21-0013-1"/>
    <n v="1200"/>
    <n v="14050"/>
    <n v="17777.5"/>
    <n v="14056"/>
    <n v="740.73"/>
    <n v="17036.77"/>
    <n v="740.73"/>
    <n v="54260"/>
    <n v="123.46"/>
    <s v="P"/>
    <m/>
    <n v="167089"/>
    <m/>
    <s v="Internal"/>
    <s v="A"/>
    <s v="SL"/>
    <m/>
    <s v="WCNX"/>
    <n v="0"/>
    <n v="0"/>
    <m/>
    <x v="5"/>
    <n v="6"/>
    <n v="2021"/>
    <n v="2033"/>
    <n v="2033.5"/>
    <n v="123.4548611111111"/>
    <n v="1481.4583333333333"/>
    <n v="1481.4583333333333"/>
    <n v="0"/>
    <n v="1481.4583333333333"/>
    <n v="16296.041666666666"/>
    <m/>
  </r>
  <r>
    <n v="2183"/>
    <n v="254291"/>
    <s v="P"/>
    <s v="1 Yd Metal REL Containers"/>
    <n v="1"/>
    <m/>
    <m/>
    <m/>
    <n v="0"/>
    <s v="CAPITAL INDUSTRIES INC"/>
    <m/>
    <s v="1 YD REL Container"/>
    <d v="2021-06-10T00:00:00"/>
    <d v="2021-06-10T00:00:00"/>
    <s v="2183-21-0013-1"/>
    <n v="1200"/>
    <n v="14050"/>
    <n v="667.34"/>
    <n v="14056"/>
    <n v="27.81"/>
    <n v="639.53000000000009"/>
    <n v="27.81"/>
    <n v="54260"/>
    <n v="4.6399999999999997"/>
    <s v="P"/>
    <m/>
    <n v="167130"/>
    <m/>
    <s v="Internal"/>
    <s v="A"/>
    <s v="SL"/>
    <m/>
    <s v="WCNX"/>
    <n v="0"/>
    <n v="0"/>
    <m/>
    <x v="5"/>
    <n v="6"/>
    <n v="2021"/>
    <n v="2033"/>
    <n v="2033.5"/>
    <n v="4.6343055555555557"/>
    <n v="55.611666666666665"/>
    <n v="55.611666666666665"/>
    <n v="0"/>
    <n v="55.611666666666665"/>
    <n v="611.72833333333335"/>
    <m/>
  </r>
  <r>
    <n v="2183"/>
    <n v="254290"/>
    <s v="P"/>
    <s v="1 Yd Metal REL Containers"/>
    <n v="24"/>
    <m/>
    <m/>
    <m/>
    <n v="0"/>
    <s v="CAPITAL INDUSTRIES INC"/>
    <m/>
    <s v="1 YD REL Container"/>
    <d v="2021-06-07T00:00:00"/>
    <d v="2021-06-07T00:00:00"/>
    <s v="2183-21-0013-1"/>
    <n v="1200"/>
    <n v="14050"/>
    <n v="16016.16"/>
    <n v="14056"/>
    <n v="667.34"/>
    <n v="15348.82"/>
    <n v="667.34"/>
    <n v="54260"/>
    <n v="111.23"/>
    <s v="P"/>
    <m/>
    <n v="167123"/>
    <m/>
    <s v="Internal"/>
    <s v="A"/>
    <s v="SL"/>
    <m/>
    <s v="WCNX"/>
    <n v="0"/>
    <n v="0"/>
    <m/>
    <x v="5"/>
    <n v="6"/>
    <n v="2021"/>
    <n v="2033"/>
    <n v="2033.5"/>
    <n v="111.22333333333334"/>
    <n v="1334.68"/>
    <n v="1334.68"/>
    <n v="0"/>
    <n v="1334.68"/>
    <n v="14681.48"/>
    <m/>
  </r>
  <r>
    <n v="2183"/>
    <n v="254289"/>
    <s v="P"/>
    <s v="1.5 Yd Metal REL Containers"/>
    <n v="20"/>
    <m/>
    <m/>
    <m/>
    <n v="0"/>
    <s v="CAPITAL INDUSTRIES INC"/>
    <m/>
    <s v="1.5 YD REL Container"/>
    <d v="2021-06-10T00:00:00"/>
    <d v="2021-06-10T00:00:00"/>
    <s v="2183-21-0013-1"/>
    <n v="1200"/>
    <n v="14050"/>
    <n v="13675"/>
    <n v="14056"/>
    <n v="569.79"/>
    <n v="13105.21"/>
    <n v="569.79"/>
    <n v="54260"/>
    <n v="94.96"/>
    <s v="P"/>
    <m/>
    <n v="167088"/>
    <m/>
    <s v="Internal"/>
    <s v="A"/>
    <s v="SL"/>
    <m/>
    <s v="WCNX"/>
    <n v="0"/>
    <n v="0"/>
    <m/>
    <x v="5"/>
    <n v="6"/>
    <n v="2021"/>
    <n v="2033"/>
    <n v="2033.5"/>
    <n v="94.965277777777771"/>
    <n v="1139.5833333333333"/>
    <n v="1139.5833333333333"/>
    <n v="0"/>
    <n v="1139.5833333333333"/>
    <n v="12535.416666666666"/>
    <m/>
  </r>
  <r>
    <n v="2183"/>
    <n v="253972"/>
    <n v="249940"/>
    <s v="Decals &amp; License"/>
    <m/>
    <m/>
    <m/>
    <m/>
    <n v="2021"/>
    <m/>
    <m/>
    <s v="Non-Rolling Stock"/>
    <d v="2021-04-02T00:00:00"/>
    <d v="2021-04-02T00:00:00"/>
    <s v="2183-21-0003"/>
    <n v="1000"/>
    <n v="14040"/>
    <n v="1595.85"/>
    <n v="14046"/>
    <n v="106.39"/>
    <n v="1489.4599999999998"/>
    <n v="106.39"/>
    <n v="51260"/>
    <n v="13.3"/>
    <s v="P"/>
    <m/>
    <m/>
    <m/>
    <s v="Internal"/>
    <s v="A"/>
    <s v="SL"/>
    <m/>
    <s v="WCNX"/>
    <n v="0"/>
    <n v="0"/>
    <n v="3704"/>
    <x v="6"/>
    <n v="4"/>
    <n v="2021"/>
    <n v="2031"/>
    <n v="2031.3333333333333"/>
    <n v="13.298749999999998"/>
    <n v="159.58499999999998"/>
    <n v="159.58499999999998"/>
    <n v="0"/>
    <n v="159.58499999999998"/>
    <n v="1436.2649999999999"/>
    <m/>
  </r>
  <r>
    <n v="2183"/>
    <n v="253467"/>
    <s v="P"/>
    <s v="5 YD Container"/>
    <n v="258"/>
    <m/>
    <m/>
    <m/>
    <n v="0"/>
    <m/>
    <m/>
    <m/>
    <d v="2008-11-03T00:00:00"/>
    <d v="2008-11-03T00:00:00"/>
    <m/>
    <n v="700"/>
    <n v="14050"/>
    <n v="25800"/>
    <n v="14056"/>
    <n v="25800"/>
    <n v="0"/>
    <n v="0"/>
    <n v="54260"/>
    <n v="0"/>
    <s v="A"/>
    <s v="LeMay Enterprises"/>
    <m/>
    <m/>
    <s v="Internal"/>
    <s v="A"/>
    <s v="SL"/>
    <d v="2021-05-31T00:00:00"/>
    <s v="WCNX"/>
    <n v="0"/>
    <n v="25800"/>
    <m/>
    <x v="7"/>
    <n v="11"/>
    <n v="2008"/>
    <n v="2015"/>
    <n v="2015.9166666666667"/>
    <n v="307.14285714285717"/>
    <n v="3685.7142857142862"/>
    <n v="0"/>
    <n v="25800"/>
    <n v="25800"/>
    <n v="0"/>
    <m/>
  </r>
  <r>
    <n v="2183"/>
    <n v="253466"/>
    <s v="P"/>
    <s v="4 YD Container"/>
    <n v="97"/>
    <m/>
    <m/>
    <m/>
    <n v="0"/>
    <m/>
    <m/>
    <m/>
    <d v="2008-11-03T00:00:00"/>
    <d v="2008-11-03T00:00:00"/>
    <m/>
    <n v="700"/>
    <n v="14050"/>
    <n v="9700"/>
    <n v="14056"/>
    <n v="9700"/>
    <n v="0"/>
    <n v="0"/>
    <n v="54260"/>
    <n v="0"/>
    <s v="A"/>
    <s v="LeMay Enterprises"/>
    <m/>
    <m/>
    <s v="Internal"/>
    <s v="A"/>
    <s v="SL"/>
    <d v="2021-05-31T00:00:00"/>
    <s v="WCNX"/>
    <n v="0"/>
    <n v="9700"/>
    <m/>
    <x v="7"/>
    <n v="11"/>
    <n v="2008"/>
    <n v="2015"/>
    <n v="2015.9166666666667"/>
    <n v="115.47619047619048"/>
    <n v="1385.7142857142858"/>
    <n v="0"/>
    <n v="9700"/>
    <n v="9700"/>
    <n v="0"/>
    <m/>
  </r>
  <r>
    <n v="2183"/>
    <n v="253465"/>
    <s v="P"/>
    <s v="3 YD Container"/>
    <n v="209"/>
    <m/>
    <m/>
    <m/>
    <n v="0"/>
    <m/>
    <m/>
    <m/>
    <d v="2008-11-03T00:00:00"/>
    <d v="2008-11-03T00:00:00"/>
    <m/>
    <n v="700"/>
    <n v="14050"/>
    <n v="20900"/>
    <n v="14056"/>
    <n v="20900"/>
    <n v="0"/>
    <n v="0"/>
    <n v="54260"/>
    <n v="0"/>
    <s v="A"/>
    <s v="LeMay Enterprises"/>
    <m/>
    <m/>
    <s v="Internal"/>
    <s v="A"/>
    <s v="SL"/>
    <d v="2021-05-31T00:00:00"/>
    <s v="WCNX"/>
    <n v="0"/>
    <n v="20900"/>
    <m/>
    <x v="7"/>
    <n v="11"/>
    <n v="2008"/>
    <n v="2015"/>
    <n v="2015.9166666666667"/>
    <n v="248.80952380952382"/>
    <n v="2985.7142857142858"/>
    <n v="0"/>
    <n v="20900"/>
    <n v="20900"/>
    <n v="0"/>
    <m/>
  </r>
  <r>
    <n v="2183"/>
    <n v="253464"/>
    <s v="P"/>
    <s v="22 YD Storage Containers"/>
    <n v="7"/>
    <m/>
    <m/>
    <m/>
    <n v="0"/>
    <m/>
    <m/>
    <m/>
    <d v="2008-11-03T00:00:00"/>
    <d v="2008-11-03T00:00:00"/>
    <m/>
    <n v="700"/>
    <n v="14050"/>
    <n v="700"/>
    <n v="14056"/>
    <n v="700"/>
    <n v="0"/>
    <n v="0"/>
    <n v="54260"/>
    <n v="0"/>
    <s v="A"/>
    <s v="LeMay Enterprises"/>
    <m/>
    <m/>
    <s v="Internal"/>
    <s v="A"/>
    <s v="SL"/>
    <d v="2021-05-31T00:00:00"/>
    <s v="WCNX"/>
    <n v="0"/>
    <n v="700"/>
    <m/>
    <x v="7"/>
    <n v="11"/>
    <n v="2008"/>
    <n v="2015"/>
    <n v="2015.9166666666667"/>
    <n v="8.3333333333333339"/>
    <n v="100"/>
    <n v="0"/>
    <n v="700"/>
    <n v="700"/>
    <n v="0"/>
    <m/>
  </r>
  <r>
    <n v="2183"/>
    <n v="253463"/>
    <s v="P"/>
    <s v="2 YD Container"/>
    <n v="680"/>
    <m/>
    <m/>
    <m/>
    <n v="0"/>
    <m/>
    <m/>
    <m/>
    <d v="2008-11-03T00:00:00"/>
    <d v="2008-11-03T00:00:00"/>
    <m/>
    <n v="700"/>
    <n v="14050"/>
    <n v="68000"/>
    <n v="14056"/>
    <n v="68000"/>
    <n v="0"/>
    <n v="0"/>
    <n v="54260"/>
    <n v="0"/>
    <s v="A"/>
    <s v="LeMay Enterprises"/>
    <m/>
    <m/>
    <s v="Internal"/>
    <s v="A"/>
    <s v="SL"/>
    <d v="2021-05-31T00:00:00"/>
    <s v="WCNX"/>
    <n v="0"/>
    <n v="68000"/>
    <m/>
    <x v="7"/>
    <n v="11"/>
    <n v="2008"/>
    <n v="2015"/>
    <n v="2015.9166666666667"/>
    <n v="809.52380952380952"/>
    <n v="9714.2857142857138"/>
    <n v="0"/>
    <n v="68000"/>
    <n v="68000"/>
    <n v="0"/>
    <m/>
  </r>
  <r>
    <n v="2183"/>
    <n v="253462"/>
    <s v="P"/>
    <s v="1.5 YD RO Container"/>
    <n v="2"/>
    <m/>
    <m/>
    <m/>
    <n v="0"/>
    <m/>
    <m/>
    <m/>
    <d v="2008-11-03T00:00:00"/>
    <d v="2008-11-03T00:00:00"/>
    <m/>
    <n v="700"/>
    <n v="14050"/>
    <n v="200"/>
    <n v="14056"/>
    <n v="200"/>
    <n v="0"/>
    <n v="0"/>
    <n v="54260"/>
    <n v="0"/>
    <s v="A"/>
    <s v="LeMay Enterprises"/>
    <m/>
    <m/>
    <s v="Internal"/>
    <s v="A"/>
    <s v="SL"/>
    <d v="2021-05-31T00:00:00"/>
    <s v="WCNX"/>
    <n v="0"/>
    <n v="200"/>
    <m/>
    <x v="7"/>
    <n v="11"/>
    <n v="2008"/>
    <n v="2015"/>
    <n v="2015.9166666666667"/>
    <n v="2.3809523809523809"/>
    <n v="28.571428571428569"/>
    <n v="0"/>
    <n v="200"/>
    <n v="200"/>
    <n v="0"/>
    <m/>
  </r>
  <r>
    <n v="2183"/>
    <n v="253461"/>
    <s v="P"/>
    <s v="1.5 YD Container"/>
    <n v="121"/>
    <m/>
    <m/>
    <m/>
    <n v="0"/>
    <m/>
    <m/>
    <m/>
    <d v="2008-11-03T00:00:00"/>
    <d v="2008-11-03T00:00:00"/>
    <m/>
    <n v="700"/>
    <n v="14050"/>
    <n v="12100"/>
    <n v="14056"/>
    <n v="12100"/>
    <n v="0"/>
    <n v="0"/>
    <n v="54260"/>
    <n v="0"/>
    <s v="A"/>
    <s v="LeMay Enterprises"/>
    <m/>
    <m/>
    <s v="Internal"/>
    <s v="A"/>
    <s v="SL"/>
    <d v="2021-05-31T00:00:00"/>
    <s v="WCNX"/>
    <n v="0"/>
    <n v="12100"/>
    <m/>
    <x v="7"/>
    <n v="11"/>
    <n v="2008"/>
    <n v="2015"/>
    <n v="2015.9166666666667"/>
    <n v="144.04761904761907"/>
    <n v="1728.5714285714289"/>
    <n v="0"/>
    <n v="12100"/>
    <n v="12100"/>
    <n v="0"/>
    <m/>
  </r>
  <r>
    <n v="2183"/>
    <n v="253460"/>
    <s v="P"/>
    <s v="1 YD Container"/>
    <n v="429"/>
    <m/>
    <m/>
    <m/>
    <n v="0"/>
    <m/>
    <m/>
    <m/>
    <d v="2008-11-03T00:00:00"/>
    <d v="2008-11-03T00:00:00"/>
    <m/>
    <n v="700"/>
    <n v="14050"/>
    <n v="42900"/>
    <n v="14056"/>
    <n v="42900"/>
    <n v="0"/>
    <n v="0"/>
    <n v="54260"/>
    <n v="0"/>
    <s v="A"/>
    <s v="LeMay Enterprises"/>
    <m/>
    <m/>
    <s v="Internal"/>
    <s v="A"/>
    <s v="SL"/>
    <d v="2021-05-31T00:00:00"/>
    <s v="WCNX"/>
    <n v="0"/>
    <n v="42900"/>
    <m/>
    <x v="7"/>
    <n v="11"/>
    <n v="2008"/>
    <n v="2015"/>
    <n v="2015.9166666666667"/>
    <n v="510.71428571428572"/>
    <n v="6128.5714285714284"/>
    <n v="0"/>
    <n v="42900"/>
    <n v="42900"/>
    <n v="0"/>
    <m/>
  </r>
  <r>
    <n v="2183"/>
    <n v="253161"/>
    <s v="P"/>
    <s v="95 Gallon Recycle Totes"/>
    <n v="702"/>
    <m/>
    <m/>
    <s v="94-3283464"/>
    <n v="0"/>
    <s v="REHRIG PACIFIC COMPANY IN"/>
    <m/>
    <s v="Non-Container Audit"/>
    <d v="2021-06-07T00:00:00"/>
    <d v="2021-06-07T00:00:00"/>
    <s v="2183-21-0012-1"/>
    <n v="700"/>
    <n v="14050"/>
    <n v="42116.46"/>
    <n v="14056"/>
    <n v="3008.32"/>
    <n v="39108.14"/>
    <n v="3008.32"/>
    <n v="54260"/>
    <n v="501.38"/>
    <s v="P"/>
    <m/>
    <n v="501737572"/>
    <m/>
    <s v="Internal"/>
    <s v="A"/>
    <s v="SL"/>
    <m/>
    <s v="WCNX"/>
    <n v="0"/>
    <n v="0"/>
    <m/>
    <x v="3"/>
    <n v="6"/>
    <n v="2021"/>
    <n v="2028"/>
    <n v="2028.5"/>
    <n v="501.38642857142855"/>
    <n v="6016.6371428571429"/>
    <n v="6016.6371428571429"/>
    <n v="0"/>
    <n v="6016.6371428571429"/>
    <n v="36099.822857142855"/>
    <m/>
  </r>
  <r>
    <n v="2183"/>
    <n v="253110"/>
    <n v="251931"/>
    <s v="Resi Truck 3705 Decals"/>
    <m/>
    <m/>
    <m/>
    <m/>
    <n v="2021"/>
    <m/>
    <m/>
    <s v="Non-Rolling Stock"/>
    <d v="2021-05-01T00:00:00"/>
    <d v="2021-05-01T00:00:00"/>
    <s v="2183-21-0004"/>
    <n v="1000"/>
    <n v="14040"/>
    <n v="869.73"/>
    <n v="14046"/>
    <n v="50.73"/>
    <n v="819"/>
    <n v="50.73"/>
    <n v="51260"/>
    <n v="7.24"/>
    <s v="P"/>
    <m/>
    <m/>
    <m/>
    <s v="Internal"/>
    <s v="A"/>
    <s v="SL"/>
    <m/>
    <s v="WCNX"/>
    <n v="0"/>
    <n v="0"/>
    <n v="3705"/>
    <x v="6"/>
    <n v="5"/>
    <n v="2021"/>
    <n v="2031"/>
    <n v="2031.4166666666667"/>
    <n v="7.2477499999999999"/>
    <n v="86.972999999999999"/>
    <n v="86.972999999999999"/>
    <n v="0"/>
    <n v="86.972999999999999"/>
    <n v="782.75700000000006"/>
    <m/>
  </r>
  <r>
    <n v="2183"/>
    <n v="252620"/>
    <s v="P"/>
    <s v="65 Gallon Refuse Totes"/>
    <n v="936"/>
    <m/>
    <m/>
    <m/>
    <n v="0"/>
    <s v="REHRIG PACIFIC COMPANY IN"/>
    <m/>
    <s v="Non-Container Audit"/>
    <d v="2021-05-17T00:00:00"/>
    <d v="2021-05-17T00:00:00"/>
    <s v="2183-21-0012-1"/>
    <n v="700"/>
    <n v="14050"/>
    <n v="50349.29"/>
    <n v="14056"/>
    <n v="3596.38"/>
    <n v="46752.91"/>
    <n v="3596.38"/>
    <n v="54260"/>
    <n v="599.39"/>
    <s v="P"/>
    <m/>
    <n v="50169726"/>
    <m/>
    <s v="Internal"/>
    <s v="A"/>
    <s v="SL"/>
    <m/>
    <s v="WCNX"/>
    <n v="0"/>
    <n v="0"/>
    <m/>
    <x v="2"/>
    <n v="5"/>
    <n v="2021"/>
    <n v="2028"/>
    <n v="2028.4166666666667"/>
    <n v="599.39630952380946"/>
    <n v="7192.7557142857131"/>
    <n v="7192.7557142857131"/>
    <n v="0"/>
    <n v="7192.7557142857131"/>
    <n v="43156.53428571429"/>
    <m/>
  </r>
  <r>
    <n v="2183"/>
    <n v="252491"/>
    <n v="249940"/>
    <s v="Drive Cam"/>
    <m/>
    <m/>
    <m/>
    <m/>
    <n v="2021"/>
    <m/>
    <m/>
    <s v="Non-Rolling Stock"/>
    <d v="2021-04-02T00:00:00"/>
    <d v="2021-04-02T00:00:00"/>
    <s v="2183-21-0003"/>
    <n v="500"/>
    <n v="14040"/>
    <n v="596.24"/>
    <n v="14046"/>
    <n v="79.5"/>
    <n v="516.74"/>
    <n v="79.5"/>
    <n v="51260"/>
    <n v="9.94"/>
    <s v="P"/>
    <m/>
    <m/>
    <m/>
    <s v="Internal"/>
    <s v="A"/>
    <s v="SL"/>
    <m/>
    <s v="WCNX"/>
    <n v="0"/>
    <n v="0"/>
    <n v="3704"/>
    <x v="6"/>
    <n v="4"/>
    <n v="2021"/>
    <n v="2026"/>
    <n v="2026.3333333333333"/>
    <n v="9.9373333333333331"/>
    <n v="119.24799999999999"/>
    <n v="119.24799999999999"/>
    <n v="0"/>
    <n v="119.24799999999999"/>
    <n v="476.99200000000002"/>
    <m/>
  </r>
  <r>
    <n v="2183"/>
    <n v="251932"/>
    <n v="251931"/>
    <s v="2021 Peterbilt ASL Truck- Body"/>
    <m/>
    <m/>
    <s v="3BPDLK0XXMF110112"/>
    <m/>
    <n v="2021"/>
    <m/>
    <m/>
    <s v="Non-Rolling Stock"/>
    <d v="2021-05-01T00:00:00"/>
    <d v="2021-05-01T00:00:00"/>
    <s v="2183-21-0004"/>
    <n v="1000"/>
    <n v="14040"/>
    <n v="180547"/>
    <n v="14046"/>
    <n v="10531.91"/>
    <n v="170015.09"/>
    <n v="10531.91"/>
    <n v="51260"/>
    <n v="1504.56"/>
    <s v="P"/>
    <m/>
    <m/>
    <m/>
    <s v="Internal"/>
    <s v="A"/>
    <s v="SL"/>
    <m/>
    <s v="WCNX"/>
    <n v="0"/>
    <n v="0"/>
    <n v="3705"/>
    <x v="6"/>
    <n v="5"/>
    <n v="2021"/>
    <n v="2031"/>
    <n v="2031.4166666666667"/>
    <n v="1504.5583333333334"/>
    <n v="18054.7"/>
    <n v="18054.7"/>
    <n v="0"/>
    <n v="18054.7"/>
    <n v="162492.29999999999"/>
    <m/>
  </r>
  <r>
    <n v="2183"/>
    <n v="251931"/>
    <s v="P"/>
    <s v="2021 Peterbilt ASL Truck- Chassis"/>
    <m/>
    <m/>
    <s v="3BPDLK0XXMF110112"/>
    <m/>
    <n v="2021"/>
    <m/>
    <m/>
    <s v="Automated Sideload"/>
    <d v="2021-05-01T00:00:00"/>
    <d v="2021-05-01T00:00:00"/>
    <s v="2183-20-0023"/>
    <n v="1000"/>
    <n v="14040"/>
    <n v="184139.1"/>
    <n v="14046"/>
    <n v="10741.44"/>
    <n v="173397.66"/>
    <n v="10741.44"/>
    <n v="51260"/>
    <n v="1534.49"/>
    <s v="P"/>
    <m/>
    <m/>
    <m/>
    <s v="Internal"/>
    <s v="A"/>
    <s v="SL"/>
    <m/>
    <s v="WCNX"/>
    <n v="0"/>
    <n v="0"/>
    <n v="3705"/>
    <x v="6"/>
    <n v="5"/>
    <n v="2021"/>
    <n v="2031"/>
    <n v="2031.4166666666667"/>
    <n v="1534.4925000000001"/>
    <n v="18413.91"/>
    <n v="18413.91"/>
    <n v="0"/>
    <n v="18413.91"/>
    <n v="165725.19"/>
    <m/>
  </r>
  <r>
    <n v="2183"/>
    <n v="250273"/>
    <s v="P"/>
    <s v="95 Gallon Yardwaste Totes"/>
    <n v="702"/>
    <m/>
    <m/>
    <m/>
    <n v="0"/>
    <s v="REHRIG PACIFIC COMPANY IN"/>
    <m/>
    <s v="Non-Container Audit"/>
    <d v="2021-03-31T00:00:00"/>
    <d v="2021-03-31T00:00:00"/>
    <s v="2183-21-0012-1"/>
    <n v="700"/>
    <n v="14050"/>
    <n v="36924.870000000003"/>
    <n v="14056"/>
    <n v="3516.66"/>
    <n v="33408.210000000006"/>
    <n v="3516.66"/>
    <n v="54260"/>
    <n v="439.58"/>
    <s v="P"/>
    <m/>
    <n v="50160569"/>
    <m/>
    <s v="Internal"/>
    <s v="A"/>
    <s v="SL"/>
    <m/>
    <s v="WCNX"/>
    <n v="0"/>
    <n v="0"/>
    <m/>
    <x v="4"/>
    <n v="3"/>
    <n v="2021"/>
    <n v="2028"/>
    <n v="2028.25"/>
    <n v="439.58178571428579"/>
    <n v="5274.9814285714292"/>
    <n v="5274.9814285714292"/>
    <n v="0"/>
    <n v="5274.9814285714292"/>
    <n v="31649.888571428572"/>
    <m/>
  </r>
  <r>
    <n v="2183"/>
    <n v="250272"/>
    <s v="P"/>
    <s v="95 Gallon Refuse Totes"/>
    <n v="702"/>
    <m/>
    <m/>
    <m/>
    <n v="0"/>
    <s v="REHRIG PACIFIC COMPANY IN"/>
    <m/>
    <s v="Non-Container Audit"/>
    <d v="2021-03-31T00:00:00"/>
    <d v="2021-03-31T00:00:00"/>
    <s v="2183-21-0012-1"/>
    <n v="700"/>
    <n v="14050"/>
    <n v="36924.86"/>
    <n v="14056"/>
    <n v="3516.66"/>
    <n v="33408.199999999997"/>
    <n v="3516.66"/>
    <n v="54260"/>
    <n v="439.58"/>
    <s v="P"/>
    <m/>
    <n v="50160569"/>
    <m/>
    <s v="Internal"/>
    <s v="A"/>
    <s v="SL"/>
    <m/>
    <s v="WCNX"/>
    <n v="0"/>
    <n v="0"/>
    <m/>
    <x v="2"/>
    <n v="3"/>
    <n v="2021"/>
    <n v="2028"/>
    <n v="2028.25"/>
    <n v="439.58166666666671"/>
    <n v="5274.9800000000005"/>
    <n v="5274.9800000000005"/>
    <n v="0"/>
    <n v="5274.9800000000005"/>
    <n v="31649.88"/>
    <m/>
  </r>
  <r>
    <n v="2183"/>
    <n v="249941"/>
    <n v="249940"/>
    <s v="2021 Peterbilt ASL Truck- Body"/>
    <m/>
    <m/>
    <s v="3BPDLK0XXMF110109"/>
    <m/>
    <n v="2021"/>
    <m/>
    <m/>
    <s v="Non-Rolling Stock"/>
    <d v="2021-04-02T00:00:00"/>
    <d v="2021-04-02T00:00:00"/>
    <s v="2183-21-0003"/>
    <n v="1000"/>
    <n v="14040"/>
    <n v="184138.36"/>
    <n v="14046"/>
    <n v="12275.89"/>
    <n v="171862.46999999997"/>
    <n v="12275.89"/>
    <n v="51260"/>
    <n v="1534.48"/>
    <s v="P"/>
    <m/>
    <m/>
    <m/>
    <s v="Internal"/>
    <s v="A"/>
    <s v="SL"/>
    <m/>
    <s v="WCNX"/>
    <n v="0"/>
    <n v="0"/>
    <n v="3704"/>
    <x v="6"/>
    <n v="4"/>
    <n v="2021"/>
    <n v="2031"/>
    <n v="2031.3333333333333"/>
    <n v="1534.4863333333333"/>
    <n v="18413.835999999999"/>
    <n v="18413.835999999999"/>
    <n v="0"/>
    <n v="18413.835999999999"/>
    <n v="165724.52399999998"/>
    <m/>
  </r>
  <r>
    <n v="2183"/>
    <n v="249940"/>
    <s v="P"/>
    <s v="2021 Peterbilt ASL Truck- Chassis"/>
    <m/>
    <m/>
    <s v="3BPDLK0XXMF110109"/>
    <m/>
    <n v="2021"/>
    <m/>
    <m/>
    <s v="Automated Sideload"/>
    <d v="2021-04-02T00:00:00"/>
    <d v="2021-04-02T00:00:00"/>
    <s v="2183-20-0024"/>
    <n v="1000"/>
    <n v="14040"/>
    <n v="184139.1"/>
    <n v="14046"/>
    <n v="12275.93"/>
    <n v="171863.17"/>
    <n v="12275.93"/>
    <n v="51260"/>
    <n v="1534.49"/>
    <s v="P"/>
    <m/>
    <m/>
    <m/>
    <s v="Internal"/>
    <s v="A"/>
    <s v="SL"/>
    <m/>
    <s v="WCNX"/>
    <n v="0"/>
    <n v="0"/>
    <n v="3704"/>
    <x v="6"/>
    <n v="4"/>
    <n v="2021"/>
    <n v="2031"/>
    <n v="2031.3333333333333"/>
    <n v="1534.4925000000001"/>
    <n v="18413.91"/>
    <n v="18413.91"/>
    <n v="0"/>
    <n v="18413.91"/>
    <n v="165725.19"/>
    <m/>
  </r>
  <r>
    <n v="2183"/>
    <n v="249589"/>
    <n v="243666"/>
    <s v="REL Truck 1088 Decals"/>
    <m/>
    <m/>
    <m/>
    <m/>
    <n v="0"/>
    <s v="Larsen Sign Co."/>
    <m/>
    <s v="Non-Rolling Stock"/>
    <d v="2021-01-01T00:00:00"/>
    <d v="2021-01-01T00:00:00"/>
    <s v="2183-20-0028-1"/>
    <n v="1000"/>
    <n v="14040"/>
    <n v="738.45"/>
    <n v="14046"/>
    <n v="67.7"/>
    <n v="670.75"/>
    <n v="67.7"/>
    <n v="51260"/>
    <n v="6.16"/>
    <s v="P"/>
    <m/>
    <n v="28033"/>
    <m/>
    <s v="Internal"/>
    <s v="A"/>
    <s v="SL"/>
    <m/>
    <s v="WCNX"/>
    <n v="0"/>
    <n v="0"/>
    <n v="1088"/>
    <x v="8"/>
    <n v="1"/>
    <n v="2021"/>
    <n v="2031"/>
    <n v="2031.0833333333333"/>
    <n v="6.1537499999999996"/>
    <n v="73.844999999999999"/>
    <n v="73.844999999999999"/>
    <n v="0"/>
    <n v="73.844999999999999"/>
    <n v="664.60500000000002"/>
    <m/>
  </r>
  <r>
    <n v="2183"/>
    <n v="249588"/>
    <n v="242814"/>
    <s v="Glass Truck 5051 Decals"/>
    <m/>
    <m/>
    <m/>
    <m/>
    <n v="0"/>
    <s v="Larsen Sign Co."/>
    <m/>
    <s v="Non-Rolling Stock"/>
    <d v="2021-01-01T00:00:00"/>
    <d v="2021-01-01T00:00:00"/>
    <s v="2183-20-0026-1"/>
    <n v="1000"/>
    <n v="14040"/>
    <n v="705.63"/>
    <n v="14046"/>
    <n v="64.680000000000007"/>
    <n v="640.95000000000005"/>
    <n v="64.680000000000007"/>
    <n v="51260"/>
    <n v="5.88"/>
    <s v="P"/>
    <m/>
    <n v="28032"/>
    <m/>
    <s v="Internal"/>
    <s v="A"/>
    <s v="SL"/>
    <m/>
    <s v="WCNX"/>
    <n v="0"/>
    <n v="0"/>
    <n v="5051"/>
    <x v="9"/>
    <n v="1"/>
    <n v="2021"/>
    <n v="2031"/>
    <n v="2031.0833333333333"/>
    <n v="5.8802500000000002"/>
    <n v="70.563000000000002"/>
    <n v="70.563000000000002"/>
    <n v="0"/>
    <n v="70.563000000000002"/>
    <n v="635.06700000000001"/>
    <m/>
  </r>
  <r>
    <n v="2183"/>
    <n v="247406"/>
    <n v="219336"/>
    <s v="Tommie Vaugh Rebate"/>
    <m/>
    <m/>
    <m/>
    <m/>
    <n v="0"/>
    <m/>
    <m/>
    <s v="Non-Rolling Stock"/>
    <d v="2021-02-01T00:00:00"/>
    <d v="2021-02-01T00:00:00"/>
    <s v="2183-19-0017"/>
    <n v="806"/>
    <n v="14040"/>
    <n v="-300"/>
    <n v="14046"/>
    <n v="-29.4"/>
    <n v="-270.60000000000002"/>
    <n v="-29.4"/>
    <n v="51260"/>
    <n v="-2.94"/>
    <s v="P"/>
    <m/>
    <m/>
    <m/>
    <s v="Internal"/>
    <s v="A"/>
    <s v="SL"/>
    <m/>
    <s v="WCNX"/>
    <n v="0"/>
    <n v="0"/>
    <n v="6060"/>
    <x v="0"/>
    <n v="2"/>
    <n v="2021"/>
    <n v="2029.06"/>
    <n v="2029.2266666666667"/>
    <n v="-3.1017369727047144"/>
    <n v="-37.220843672456574"/>
    <n v="-37.220843672456574"/>
    <n v="0"/>
    <n v="-37.220843672456574"/>
    <n v="-262.77915632754343"/>
    <m/>
  </r>
  <r>
    <n v="2183"/>
    <n v="245845"/>
    <s v="P"/>
    <s v="95 Gallon Yardwaste Totes"/>
    <n v="702"/>
    <m/>
    <m/>
    <m/>
    <n v="0"/>
    <s v="REHRIG PACIFIC COMPANY IN"/>
    <m/>
    <s v="Non-Container Audit"/>
    <d v="2021-01-11T00:00:00"/>
    <d v="2021-01-11T00:00:00"/>
    <s v="2183-21-0012-1"/>
    <n v="700"/>
    <n v="14050"/>
    <n v="32670.21"/>
    <n v="14056"/>
    <n v="4278.2299999999996"/>
    <n v="28391.98"/>
    <n v="4278.2299999999996"/>
    <n v="54260"/>
    <n v="388.93"/>
    <s v="P"/>
    <m/>
    <n v="50145152"/>
    <m/>
    <s v="Internal"/>
    <s v="A"/>
    <s v="SL"/>
    <m/>
    <s v="WCNX"/>
    <n v="0"/>
    <n v="0"/>
    <m/>
    <x v="4"/>
    <n v="1"/>
    <n v="2021"/>
    <n v="2028"/>
    <n v="2028.0833333333333"/>
    <n v="388.93107142857139"/>
    <n v="4667.1728571428566"/>
    <n v="4667.1728571428566"/>
    <n v="0"/>
    <n v="4667.1728571428566"/>
    <n v="28003.037142857142"/>
    <m/>
  </r>
  <r>
    <n v="2183"/>
    <n v="245844"/>
    <s v="P"/>
    <s v="95 Gallon Recycle Totes"/>
    <n v="702"/>
    <m/>
    <m/>
    <m/>
    <n v="0"/>
    <s v="REHRIG PACIFIC COMPANY IN"/>
    <m/>
    <s v="Non-Container Audit"/>
    <d v="2021-01-11T00:00:00"/>
    <d v="2021-01-11T00:00:00"/>
    <s v="2183-21-0012-1"/>
    <n v="700"/>
    <n v="14050"/>
    <n v="32670.21"/>
    <n v="14056"/>
    <n v="4278.2299999999996"/>
    <n v="28391.98"/>
    <n v="4278.2299999999996"/>
    <n v="54260"/>
    <n v="388.93"/>
    <s v="P"/>
    <m/>
    <n v="50145152"/>
    <m/>
    <s v="Internal"/>
    <s v="A"/>
    <s v="SL"/>
    <m/>
    <s v="WCNX"/>
    <n v="0"/>
    <n v="0"/>
    <m/>
    <x v="3"/>
    <n v="1"/>
    <n v="2021"/>
    <n v="2028"/>
    <n v="2028.0833333333333"/>
    <n v="388.93107142857139"/>
    <n v="4667.1728571428566"/>
    <n v="4667.1728571428566"/>
    <n v="0"/>
    <n v="4667.1728571428566"/>
    <n v="28003.037142857142"/>
    <m/>
  </r>
  <r>
    <n v="2183"/>
    <n v="245709"/>
    <n v="242814"/>
    <s v="Truck 5051 Radio"/>
    <m/>
    <m/>
    <m/>
    <m/>
    <n v="0"/>
    <s v="WHISLER COMMUNICATIONS"/>
    <m/>
    <s v="Non-Rolling Stock"/>
    <d v="2021-01-01T00:00:00"/>
    <d v="2021-01-01T00:00:00"/>
    <s v="2183-20-0026-1"/>
    <n v="500"/>
    <n v="14040"/>
    <n v="784.07"/>
    <n v="14046"/>
    <n v="143.74"/>
    <n v="640.33000000000004"/>
    <n v="143.74"/>
    <n v="51260"/>
    <n v="13.06"/>
    <s v="P"/>
    <m/>
    <n v="70354"/>
    <m/>
    <s v="Internal"/>
    <s v="A"/>
    <s v="SL"/>
    <m/>
    <s v="WCNX"/>
    <n v="0"/>
    <n v="0"/>
    <n v="5051"/>
    <x v="9"/>
    <n v="1"/>
    <n v="2021"/>
    <n v="2026"/>
    <n v="2026.0833333333333"/>
    <n v="13.067833333333335"/>
    <n v="156.81400000000002"/>
    <n v="156.81400000000002"/>
    <n v="0"/>
    <n v="156.81400000000002"/>
    <n v="627.2560000000000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F14" firstHeaderRow="0" firstDataRow="1" firstDataCol="1"/>
  <pivotFields count="48">
    <pivotField showAll="0"/>
    <pivotField showAll="0"/>
    <pivotField showAll="0"/>
    <pivotField showAll="0"/>
    <pivotField showAll="0"/>
    <pivotField showAll="0"/>
    <pivotField showAll="0"/>
    <pivotField showAll="0"/>
    <pivotField showAll="0"/>
    <pivotField showAll="0"/>
    <pivotField showAll="0"/>
    <pivotField showAll="0"/>
    <pivotField numFmtId="171" showAll="0"/>
    <pivotField numFmtId="171" showAll="0"/>
    <pivotField showAll="0"/>
    <pivotField showAll="0"/>
    <pivotField showAll="0"/>
    <pivotField dataField="1" numFmtId="43" showAll="0"/>
    <pivotField showAll="0"/>
    <pivotField numFmtId="43" showAll="0"/>
    <pivotField numFmtId="43" showAll="0"/>
    <pivotField numFmtId="1" showAll="0"/>
    <pivotField showAll="0"/>
    <pivotField numFmtId="43"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4">
        <item x="1"/>
        <item m="1" x="10"/>
        <item x="8"/>
        <item x="2"/>
        <item x="5"/>
        <item x="7"/>
        <item x="3"/>
        <item x="6"/>
        <item m="1" x="11"/>
        <item m="1" x="12"/>
        <item x="9"/>
        <item x="0"/>
        <item x="4"/>
        <item t="default"/>
      </items>
    </pivotField>
    <pivotField showAll="0"/>
    <pivotField showAll="0"/>
    <pivotField showAll="0"/>
    <pivotField numFmtId="167" showAll="0"/>
    <pivotField numFmtId="168" showAll="0"/>
    <pivotField numFmtId="168" showAll="0"/>
    <pivotField dataField="1" numFmtId="168" showAll="0"/>
    <pivotField dataField="1" numFmtId="168" showAll="0"/>
    <pivotField dataField="1" numFmtId="168" showAll="0"/>
    <pivotField dataField="1" numFmtId="168" showAll="0"/>
    <pivotField showAll="0"/>
  </pivotFields>
  <rowFields count="1">
    <field x="36"/>
  </rowFields>
  <rowItems count="11">
    <i>
      <x/>
    </i>
    <i>
      <x v="2"/>
    </i>
    <i>
      <x v="3"/>
    </i>
    <i>
      <x v="4"/>
    </i>
    <i>
      <x v="5"/>
    </i>
    <i>
      <x v="6"/>
    </i>
    <i>
      <x v="7"/>
    </i>
    <i>
      <x v="10"/>
    </i>
    <i>
      <x v="11"/>
    </i>
    <i>
      <x v="12"/>
    </i>
    <i t="grand">
      <x/>
    </i>
  </rowItems>
  <colFields count="1">
    <field x="-2"/>
  </colFields>
  <colItems count="5">
    <i>
      <x/>
    </i>
    <i i="1">
      <x v="1"/>
    </i>
    <i i="2">
      <x v="2"/>
    </i>
    <i i="3">
      <x v="3"/>
    </i>
    <i i="4">
      <x v="4"/>
    </i>
  </colItems>
  <dataFields count="5">
    <dataField name="Sum of Cost" fld="17" baseField="0" baseItem="0"/>
    <dataField name="Sum of Test Year Depreciation" fld="43" baseField="0" baseItem="0"/>
    <dataField name="Sum of BOY Accum" fld="44" baseField="0" baseItem="0"/>
    <dataField name="Sum of EOY Accum" fld="45" baseField="0" baseItem="0"/>
    <dataField name="Sum of EOY Average Investment" fld="46" baseField="0" baseItem="0"/>
  </dataFields>
  <formats count="8">
    <format dxfId="37">
      <pivotArea outline="0" collapsedLevelsAreSubtotals="1" fieldPosition="0"/>
    </format>
    <format dxfId="36">
      <pivotArea dataOnly="0" labelOnly="1" outline="0" fieldPosition="0">
        <references count="1">
          <reference field="4294967294" count="5">
            <x v="0"/>
            <x v="1"/>
            <x v="2"/>
            <x v="3"/>
            <x v="4"/>
          </reference>
        </references>
      </pivotArea>
    </format>
    <format dxfId="35">
      <pivotArea outline="0" collapsedLevelsAreSubtotals="1" fieldPosition="0"/>
    </format>
    <format dxfId="34">
      <pivotArea dataOnly="0" labelOnly="1" outline="0" fieldPosition="0">
        <references count="1">
          <reference field="4294967294" count="5">
            <x v="0"/>
            <x v="1"/>
            <x v="2"/>
            <x v="3"/>
            <x v="4"/>
          </reference>
        </references>
      </pivotArea>
    </format>
    <format dxfId="33">
      <pivotArea outline="0" collapsedLevelsAreSubtotals="1" fieldPosition="0"/>
    </format>
    <format dxfId="32">
      <pivotArea dataOnly="0" labelOnly="1" outline="0" fieldPosition="0">
        <references count="1">
          <reference field="4294967294" count="5">
            <x v="0"/>
            <x v="1"/>
            <x v="2"/>
            <x v="3"/>
            <x v="4"/>
          </reference>
        </references>
      </pivotArea>
    </format>
    <format dxfId="31">
      <pivotArea collapsedLevelsAreSubtotals="1" fieldPosition="0">
        <references count="1">
          <reference field="36" count="1">
            <x v="8"/>
          </reference>
        </references>
      </pivotArea>
    </format>
    <format dxfId="30">
      <pivotArea dataOnly="0" labelOnly="1" fieldPosition="0">
        <references count="1">
          <reference field="36"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0:B41" firstHeaderRow="1" firstDataRow="1" firstDataCol="1"/>
  <pivotFields count="48">
    <pivotField showAll="0"/>
    <pivotField showAll="0"/>
    <pivotField showAll="0"/>
    <pivotField showAll="0"/>
    <pivotField showAll="0"/>
    <pivotField showAll="0"/>
    <pivotField showAll="0"/>
    <pivotField showAll="0"/>
    <pivotField showAll="0"/>
    <pivotField showAll="0"/>
    <pivotField showAll="0"/>
    <pivotField showAll="0"/>
    <pivotField numFmtId="171" showAll="0"/>
    <pivotField showAll="0"/>
    <pivotField axis="axisRow" multipleItemSelectionAllowed="1" showAll="0">
      <items count="287">
        <item h="1" x="22"/>
        <item h="1" x="183"/>
        <item h="1" x="20"/>
        <item h="1" x="21"/>
        <item h="1" x="265"/>
        <item h="1" x="184"/>
        <item h="1" x="1"/>
        <item h="1" x="0"/>
        <item h="1" x="5"/>
        <item h="1" x="195"/>
        <item h="1" x="181"/>
        <item h="1" x="65"/>
        <item h="1" x="66"/>
        <item h="1" x="263"/>
        <item h="1" x="273"/>
        <item h="1" x="272"/>
        <item h="1" x="267"/>
        <item h="1" x="271"/>
        <item h="1" x="266"/>
        <item h="1" x="270"/>
        <item h="1" x="264"/>
        <item h="1" x="269"/>
        <item h="1" x="259"/>
        <item h="1" x="268"/>
        <item h="1" x="258"/>
        <item h="1" x="262"/>
        <item h="1" x="261"/>
        <item h="1" x="260"/>
        <item h="1" x="253"/>
        <item h="1" x="252"/>
        <item h="1" x="256"/>
        <item h="1" x="255"/>
        <item h="1" x="254"/>
        <item h="1" x="185"/>
        <item h="1" x="251"/>
        <item h="1" x="249"/>
        <item h="1" x="250"/>
        <item h="1" x="232"/>
        <item h="1" x="226"/>
        <item h="1" x="247"/>
        <item h="1" x="246"/>
        <item h="1" x="245"/>
        <item h="1" x="244"/>
        <item h="1" x="241"/>
        <item h="1" x="240"/>
        <item h="1" x="239"/>
        <item h="1" x="238"/>
        <item h="1" x="231"/>
        <item h="1" x="230"/>
        <item h="1" x="227"/>
        <item h="1" x="243"/>
        <item h="1" x="233"/>
        <item h="1" x="228"/>
        <item h="1" x="237"/>
        <item h="1" x="235"/>
        <item h="1" x="234"/>
        <item h="1" x="236"/>
        <item h="1" x="242"/>
        <item h="1" x="225"/>
        <item h="1" x="229"/>
        <item h="1" x="219"/>
        <item h="1" x="223"/>
        <item h="1" x="220"/>
        <item h="1" x="221"/>
        <item h="1" x="214"/>
        <item h="1" x="213"/>
        <item h="1" x="215"/>
        <item h="1" x="217"/>
        <item h="1" x="216"/>
        <item h="1" x="203"/>
        <item h="1" x="202"/>
        <item h="1" x="201"/>
        <item h="1" x="207"/>
        <item h="1" x="210"/>
        <item h="1" x="208"/>
        <item h="1" x="209"/>
        <item h="1" x="224"/>
        <item h="1" x="222"/>
        <item h="1" x="218"/>
        <item h="1" x="211"/>
        <item h="1" x="212"/>
        <item h="1" x="198"/>
        <item h="1" x="204"/>
        <item h="1" x="205"/>
        <item h="1" x="206"/>
        <item h="1" x="200"/>
        <item h="1" x="199"/>
        <item h="1" x="171"/>
        <item h="1" x="172"/>
        <item h="1" x="196"/>
        <item h="1" x="179"/>
        <item h="1" x="177"/>
        <item h="1" x="178"/>
        <item h="1" x="169"/>
        <item h="1" x="173"/>
        <item h="1" x="174"/>
        <item h="1" x="176"/>
        <item h="1" x="175"/>
        <item h="1" x="168"/>
        <item h="1" x="170"/>
        <item h="1" x="146"/>
        <item h="1" x="145"/>
        <item h="1" x="155"/>
        <item h="1" x="164"/>
        <item h="1" x="167"/>
        <item h="1" x="166"/>
        <item h="1" x="165"/>
        <item h="1" x="163"/>
        <item h="1" x="161"/>
        <item h="1" x="162"/>
        <item h="1" x="158"/>
        <item h="1" x="160"/>
        <item h="1" x="159"/>
        <item h="1" x="157"/>
        <item h="1" x="153"/>
        <item h="1" x="156"/>
        <item h="1" x="154"/>
        <item h="1" x="152"/>
        <item h="1" x="151"/>
        <item h="1" x="150"/>
        <item h="1" x="149"/>
        <item h="1" x="148"/>
        <item h="1" x="143"/>
        <item h="1" x="147"/>
        <item h="1" x="144"/>
        <item h="1" x="128"/>
        <item h="1" x="131"/>
        <item h="1" x="129"/>
        <item h="1" x="134"/>
        <item h="1" x="126"/>
        <item x="17"/>
        <item h="1" x="137"/>
        <item h="1" x="138"/>
        <item h="1" x="142"/>
        <item h="1" x="140"/>
        <item h="1" x="141"/>
        <item h="1" x="139"/>
        <item h="1" x="135"/>
        <item h="1" x="136"/>
        <item h="1" x="133"/>
        <item h="1" x="132"/>
        <item h="1" x="127"/>
        <item h="1" x="124"/>
        <item h="1" x="130"/>
        <item h="1" x="125"/>
        <item x="16"/>
        <item h="1" x="113"/>
        <item h="1" x="112"/>
        <item h="1" x="111"/>
        <item h="1" x="107"/>
        <item h="1" x="103"/>
        <item h="1" x="123"/>
        <item h="1" x="122"/>
        <item h="1" x="121"/>
        <item h="1" x="116"/>
        <item h="1" x="115"/>
        <item h="1" x="106"/>
        <item h="1" x="120"/>
        <item h="1" x="118"/>
        <item h="1" x="119"/>
        <item h="1" x="114"/>
        <item h="1" x="105"/>
        <item h="1" x="117"/>
        <item h="1" x="109"/>
        <item h="1" x="110"/>
        <item h="1" x="108"/>
        <item h="1" x="101"/>
        <item h="1" x="94"/>
        <item h="1" x="99"/>
        <item h="1" x="89"/>
        <item h="1" x="93"/>
        <item h="1" x="85"/>
        <item h="1" x="92"/>
        <item h="1" x="95"/>
        <item h="1" x="96"/>
        <item x="15"/>
        <item h="1" x="88"/>
        <item h="1" x="104"/>
        <item h="1" x="102"/>
        <item h="1" x="91"/>
        <item h="1" x="90"/>
        <item h="1" x="100"/>
        <item h="1" x="98"/>
        <item h="1" x="86"/>
        <item h="1" x="97"/>
        <item h="1" x="87"/>
        <item h="1" x="84"/>
        <item x="14"/>
        <item h="1" x="72"/>
        <item h="1" x="76"/>
        <item h="1" x="53"/>
        <item h="1" x="62"/>
        <item h="1" x="52"/>
        <item h="1" x="54"/>
        <item h="1" x="75"/>
        <item h="1" x="58"/>
        <item h="1" x="74"/>
        <item h="1" x="60"/>
        <item h="1" x="73"/>
        <item h="1" x="57"/>
        <item h="1" x="80"/>
        <item h="1" x="31"/>
        <item h="1" x="64"/>
        <item h="1" x="63"/>
        <item h="1" x="67"/>
        <item h="1" x="56"/>
        <item h="1" x="61"/>
        <item h="1" x="59"/>
        <item h="1" x="83"/>
        <item h="1" x="78"/>
        <item h="1" x="82"/>
        <item h="1" x="81"/>
        <item h="1" x="51"/>
        <item h="1" x="79"/>
        <item h="1" x="77"/>
        <item h="1" x="68"/>
        <item h="1" x="71"/>
        <item h="1" x="55"/>
        <item h="1" x="48"/>
        <item h="1" x="47"/>
        <item x="18"/>
        <item h="1" x="43"/>
        <item h="1" x="41"/>
        <item h="1" x="27"/>
        <item h="1" x="28"/>
        <item h="1" x="39"/>
        <item h="1" x="36"/>
        <item h="1" x="35"/>
        <item h="1" x="30"/>
        <item h="1" x="45"/>
        <item h="1" x="40"/>
        <item h="1" x="33"/>
        <item h="1" x="29"/>
        <item h="1" x="46"/>
        <item h="1" x="50"/>
        <item h="1" x="49"/>
        <item h="1" x="42"/>
        <item h="1" x="44"/>
        <item h="1" x="34"/>
        <item h="1" x="32"/>
        <item h="1" x="38"/>
        <item x="8"/>
        <item x="4"/>
        <item h="1" x="25"/>
        <item h="1" x="12"/>
        <item h="1" x="13"/>
        <item h="1" x="11"/>
        <item h="1" x="23"/>
        <item h="1" x="10"/>
        <item h="1" x="26"/>
        <item h="1" x="24"/>
        <item h="1" x="9"/>
        <item h="1" x="3"/>
        <item x="7"/>
        <item x="2"/>
        <item x="6"/>
        <item h="1" x="285"/>
        <item h="1" x="284"/>
        <item h="1" x="282"/>
        <item h="1" x="283"/>
        <item h="1" x="281"/>
        <item h="1" x="278"/>
        <item h="1" x="193"/>
        <item h="1" x="280"/>
        <item h="1" x="276"/>
        <item h="1" x="279"/>
        <item h="1" x="275"/>
        <item h="1" x="274"/>
        <item h="1" x="257"/>
        <item h="1" x="189"/>
        <item h="1" x="188"/>
        <item h="1" x="186"/>
        <item h="1" x="187"/>
        <item h="1" x="192"/>
        <item h="1" x="191"/>
        <item h="1" x="180"/>
        <item h="1" x="194"/>
        <item h="1" x="277"/>
        <item h="1" x="190"/>
        <item h="1" x="197"/>
        <item h="1" x="248"/>
        <item h="1" x="69"/>
        <item h="1" x="70"/>
        <item h="1" x="37"/>
        <item h="1" x="182"/>
        <item h="1" x="19"/>
        <item t="default"/>
      </items>
    </pivotField>
    <pivotField showAll="0"/>
    <pivotField showAll="0"/>
    <pivotField dataField="1" numFmtId="43" showAll="0"/>
    <pivotField showAll="0"/>
    <pivotField numFmtId="43" showAll="0"/>
    <pivotField numFmtId="43" showAll="0"/>
    <pivotField numFmtId="1" showAll="0"/>
    <pivotField showAll="0"/>
    <pivotField numFmtId="4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11">
    <i>
      <x v="130"/>
    </i>
    <i>
      <x v="145"/>
    </i>
    <i>
      <x v="175"/>
    </i>
    <i>
      <x v="187"/>
    </i>
    <i>
      <x v="220"/>
    </i>
    <i>
      <x v="241"/>
    </i>
    <i>
      <x v="242"/>
    </i>
    <i>
      <x v="253"/>
    </i>
    <i>
      <x v="254"/>
    </i>
    <i>
      <x v="255"/>
    </i>
    <i t="grand">
      <x/>
    </i>
  </rowItems>
  <colItems count="1">
    <i/>
  </colItems>
  <dataFields count="1">
    <dataField name="Sum of Cost" fld="17" baseField="0" baseItem="0" numFmtId="43"/>
  </dataFields>
  <formats count="15">
    <format dxfId="52">
      <pivotArea outline="0" collapsedLevelsAreSubtotals="1" fieldPosition="0"/>
    </format>
    <format dxfId="51">
      <pivotArea collapsedLevelsAreSubtotals="1" fieldPosition="0">
        <references count="1">
          <reference field="14" count="2">
            <x v="253"/>
            <x v="254"/>
          </reference>
        </references>
      </pivotArea>
    </format>
    <format dxfId="50">
      <pivotArea dataOnly="0" labelOnly="1" fieldPosition="0">
        <references count="1">
          <reference field="14" count="2">
            <x v="253"/>
            <x v="254"/>
          </reference>
        </references>
      </pivotArea>
    </format>
    <format dxfId="49">
      <pivotArea collapsedLevelsAreSubtotals="1" fieldPosition="0">
        <references count="1">
          <reference field="14" count="1">
            <x v="255"/>
          </reference>
        </references>
      </pivotArea>
    </format>
    <format dxfId="48">
      <pivotArea dataOnly="0" labelOnly="1" fieldPosition="0">
        <references count="1">
          <reference field="14" count="1">
            <x v="255"/>
          </reference>
        </references>
      </pivotArea>
    </format>
    <format dxfId="47">
      <pivotArea collapsedLevelsAreSubtotals="1" fieldPosition="0">
        <references count="1">
          <reference field="14" count="2">
            <x v="130"/>
            <x v="220"/>
          </reference>
        </references>
      </pivotArea>
    </format>
    <format dxfId="46">
      <pivotArea dataOnly="0" labelOnly="1" fieldPosition="0">
        <references count="1">
          <reference field="14" count="2">
            <x v="130"/>
            <x v="220"/>
          </reference>
        </references>
      </pivotArea>
    </format>
    <format dxfId="45">
      <pivotArea collapsedLevelsAreSubtotals="1" fieldPosition="0">
        <references count="1">
          <reference field="14" count="2">
            <x v="130"/>
            <x v="220"/>
          </reference>
        </references>
      </pivotArea>
    </format>
    <format dxfId="44">
      <pivotArea dataOnly="0" labelOnly="1" fieldPosition="0">
        <references count="1">
          <reference field="14" count="2">
            <x v="130"/>
            <x v="220"/>
          </reference>
        </references>
      </pivotArea>
    </format>
    <format dxfId="43">
      <pivotArea collapsedLevelsAreSubtotals="1" fieldPosition="0">
        <references count="1">
          <reference field="14" count="2">
            <x v="241"/>
            <x v="242"/>
          </reference>
        </references>
      </pivotArea>
    </format>
    <format dxfId="42">
      <pivotArea dataOnly="0" labelOnly="1" fieldPosition="0">
        <references count="1">
          <reference field="14" count="2">
            <x v="241"/>
            <x v="242"/>
          </reference>
        </references>
      </pivotArea>
    </format>
    <format dxfId="41">
      <pivotArea dataOnly="0" fieldPosition="0">
        <references count="1">
          <reference field="14" count="1">
            <x v="175"/>
          </reference>
        </references>
      </pivotArea>
    </format>
    <format dxfId="40">
      <pivotArea dataOnly="0" fieldPosition="0">
        <references count="1">
          <reference field="14" count="1">
            <x v="187"/>
          </reference>
        </references>
      </pivotArea>
    </format>
    <format dxfId="39">
      <pivotArea collapsedLevelsAreSubtotals="1" fieldPosition="0">
        <references count="1">
          <reference field="14" count="1">
            <x v="145"/>
          </reference>
        </references>
      </pivotArea>
    </format>
    <format dxfId="38">
      <pivotArea dataOnly="0" labelOnly="1" fieldPosition="0">
        <references count="1">
          <reference field="14" count="1">
            <x v="14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0.bin"/><Relationship Id="rId1" Type="http://schemas.openxmlformats.org/officeDocument/2006/relationships/hyperlink" Target="file://sacinf05/DistShares/Fixed%20Assets/2013" TargetMode="External"/><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showGridLines="0" view="pageBreakPreview" zoomScale="60" zoomScaleNormal="85" workbookViewId="0">
      <selection activeCell="F74" sqref="F74"/>
    </sheetView>
  </sheetViews>
  <sheetFormatPr defaultColWidth="11.42578125" defaultRowHeight="12.75"/>
  <cols>
    <col min="1" max="1" width="24.140625" customWidth="1"/>
    <col min="2" max="2" width="14.28515625" bestFit="1" customWidth="1"/>
    <col min="3" max="3" width="12.7109375" bestFit="1" customWidth="1"/>
    <col min="4" max="4" width="14.28515625" bestFit="1" customWidth="1"/>
    <col min="5" max="5" width="13.140625" bestFit="1" customWidth="1"/>
    <col min="6" max="8" width="14.28515625" bestFit="1" customWidth="1"/>
    <col min="9" max="9" width="11.42578125" customWidth="1"/>
    <col min="10" max="10" width="23" bestFit="1" customWidth="1"/>
    <col min="11" max="11" width="13.140625" bestFit="1" customWidth="1"/>
    <col min="12" max="12" width="8.42578125" bestFit="1" customWidth="1"/>
    <col min="13" max="13" width="13.140625" bestFit="1" customWidth="1"/>
    <col min="14" max="14" width="11.5703125" bestFit="1" customWidth="1"/>
    <col min="15" max="16" width="12.42578125" bestFit="1" customWidth="1"/>
    <col min="17" max="17" width="13.140625" bestFit="1" customWidth="1"/>
    <col min="19" max="19" width="23" bestFit="1" customWidth="1"/>
    <col min="20" max="20" width="13.85546875" bestFit="1" customWidth="1"/>
    <col min="21" max="21" width="8.42578125" bestFit="1" customWidth="1"/>
    <col min="22" max="22" width="10.5703125" bestFit="1" customWidth="1"/>
    <col min="23" max="23" width="10" bestFit="1" customWidth="1"/>
    <col min="24" max="25" width="12.42578125" bestFit="1" customWidth="1"/>
    <col min="26" max="26" width="11.7109375" bestFit="1" customWidth="1"/>
    <col min="28" max="28" width="23" bestFit="1" customWidth="1"/>
    <col min="29" max="29" width="11.5703125" bestFit="1" customWidth="1"/>
    <col min="30" max="30" width="8.42578125" bestFit="1" customWidth="1"/>
    <col min="31" max="31" width="11.5703125" bestFit="1" customWidth="1"/>
    <col min="32" max="32" width="10.5703125" bestFit="1" customWidth="1"/>
    <col min="33" max="34" width="12.42578125" bestFit="1" customWidth="1"/>
    <col min="35" max="35" width="11.7109375" bestFit="1" customWidth="1"/>
  </cols>
  <sheetData>
    <row r="1" spans="1:35">
      <c r="A1" s="2" t="s">
        <v>428</v>
      </c>
    </row>
    <row r="2" spans="1:35">
      <c r="A2" s="2" t="s">
        <v>456</v>
      </c>
    </row>
    <row r="3" spans="1:35">
      <c r="A3" s="2" t="s">
        <v>383</v>
      </c>
    </row>
    <row r="4" spans="1:35" s="129" customFormat="1" ht="13.5" thickBot="1">
      <c r="A4" s="2"/>
    </row>
    <row r="5" spans="1:35" ht="13.5" thickBot="1">
      <c r="A5" s="471" t="s">
        <v>914</v>
      </c>
      <c r="B5" s="472"/>
      <c r="C5" s="472"/>
      <c r="D5" s="472"/>
      <c r="E5" s="472"/>
      <c r="F5" s="472"/>
      <c r="G5" s="472"/>
      <c r="H5" s="473"/>
      <c r="J5" s="471" t="s">
        <v>921</v>
      </c>
      <c r="K5" s="472"/>
      <c r="L5" s="472"/>
      <c r="M5" s="472"/>
      <c r="N5" s="472"/>
      <c r="O5" s="472"/>
      <c r="P5" s="472"/>
      <c r="Q5" s="473"/>
      <c r="S5" s="471" t="s">
        <v>922</v>
      </c>
      <c r="T5" s="472"/>
      <c r="U5" s="472"/>
      <c r="V5" s="472"/>
      <c r="W5" s="472"/>
      <c r="X5" s="472"/>
      <c r="Y5" s="472"/>
      <c r="Z5" s="473"/>
      <c r="AB5" s="471" t="s">
        <v>923</v>
      </c>
      <c r="AC5" s="472"/>
      <c r="AD5" s="472"/>
      <c r="AE5" s="472"/>
      <c r="AF5" s="472"/>
      <c r="AG5" s="472"/>
      <c r="AH5" s="472"/>
      <c r="AI5" s="473"/>
    </row>
    <row r="6" spans="1:35">
      <c r="A6" s="10"/>
      <c r="B6" s="11"/>
      <c r="C6" s="11"/>
      <c r="D6" s="11"/>
      <c r="E6" s="11"/>
      <c r="F6" s="11" t="s">
        <v>188</v>
      </c>
      <c r="G6" s="11" t="s">
        <v>43</v>
      </c>
      <c r="H6" s="12" t="s">
        <v>55</v>
      </c>
      <c r="J6" s="10"/>
      <c r="K6" s="11"/>
      <c r="L6" s="11"/>
      <c r="M6" s="11"/>
      <c r="N6" s="11"/>
      <c r="O6" s="11" t="s">
        <v>188</v>
      </c>
      <c r="P6" s="11" t="s">
        <v>43</v>
      </c>
      <c r="Q6" s="12" t="s">
        <v>55</v>
      </c>
      <c r="S6" s="10"/>
      <c r="T6" s="11"/>
      <c r="U6" s="11"/>
      <c r="V6" s="11"/>
      <c r="W6" s="11"/>
      <c r="X6" s="11" t="s">
        <v>188</v>
      </c>
      <c r="Y6" s="11" t="s">
        <v>43</v>
      </c>
      <c r="Z6" s="12" t="s">
        <v>55</v>
      </c>
      <c r="AB6" s="10"/>
      <c r="AC6" s="11"/>
      <c r="AD6" s="11"/>
      <c r="AE6" s="11"/>
      <c r="AF6" s="11"/>
      <c r="AG6" s="11" t="s">
        <v>188</v>
      </c>
      <c r="AH6" s="11" t="s">
        <v>43</v>
      </c>
      <c r="AI6" s="12" t="s">
        <v>55</v>
      </c>
    </row>
    <row r="7" spans="1:35">
      <c r="A7" s="13" t="s">
        <v>115</v>
      </c>
      <c r="B7" s="14" t="s">
        <v>173</v>
      </c>
      <c r="C7" s="14" t="s">
        <v>47</v>
      </c>
      <c r="D7" s="14" t="s">
        <v>62</v>
      </c>
      <c r="E7" s="14" t="s">
        <v>268</v>
      </c>
      <c r="F7" s="14" t="s">
        <v>101</v>
      </c>
      <c r="G7" s="14" t="s">
        <v>101</v>
      </c>
      <c r="H7" s="15" t="s">
        <v>6</v>
      </c>
      <c r="J7" s="13" t="s">
        <v>115</v>
      </c>
      <c r="K7" s="14" t="s">
        <v>173</v>
      </c>
      <c r="L7" s="14" t="s">
        <v>47</v>
      </c>
      <c r="M7" s="14" t="s">
        <v>62</v>
      </c>
      <c r="N7" s="14" t="s">
        <v>268</v>
      </c>
      <c r="O7" s="14" t="s">
        <v>101</v>
      </c>
      <c r="P7" s="14" t="s">
        <v>101</v>
      </c>
      <c r="Q7" s="15" t="s">
        <v>6</v>
      </c>
      <c r="S7" s="13" t="s">
        <v>115</v>
      </c>
      <c r="T7" s="14" t="s">
        <v>173</v>
      </c>
      <c r="U7" s="14" t="s">
        <v>47</v>
      </c>
      <c r="V7" s="14" t="s">
        <v>62</v>
      </c>
      <c r="W7" s="14" t="s">
        <v>268</v>
      </c>
      <c r="X7" s="14" t="s">
        <v>101</v>
      </c>
      <c r="Y7" s="14" t="s">
        <v>101</v>
      </c>
      <c r="Z7" s="15" t="s">
        <v>6</v>
      </c>
      <c r="AB7" s="13" t="s">
        <v>115</v>
      </c>
      <c r="AC7" s="14" t="s">
        <v>173</v>
      </c>
      <c r="AD7" s="14" t="s">
        <v>47</v>
      </c>
      <c r="AE7" s="14" t="s">
        <v>62</v>
      </c>
      <c r="AF7" s="14" t="s">
        <v>268</v>
      </c>
      <c r="AG7" s="14" t="s">
        <v>101</v>
      </c>
      <c r="AH7" s="14" t="s">
        <v>101</v>
      </c>
      <c r="AI7" s="15" t="s">
        <v>6</v>
      </c>
    </row>
    <row r="8" spans="1:35">
      <c r="A8" s="16"/>
      <c r="B8" s="8"/>
      <c r="C8" s="8"/>
      <c r="D8" s="8" t="s">
        <v>173</v>
      </c>
      <c r="E8" s="8" t="s">
        <v>62</v>
      </c>
      <c r="F8" s="9">
        <v>44136</v>
      </c>
      <c r="G8" s="9">
        <v>44500</v>
      </c>
      <c r="H8" s="17">
        <f>G8</f>
        <v>44500</v>
      </c>
      <c r="J8" s="16"/>
      <c r="K8" s="8"/>
      <c r="L8" s="8"/>
      <c r="M8" s="8" t="s">
        <v>173</v>
      </c>
      <c r="N8" s="8" t="s">
        <v>62</v>
      </c>
      <c r="O8" s="9">
        <v>44136</v>
      </c>
      <c r="P8" s="9">
        <v>44500</v>
      </c>
      <c r="Q8" s="17">
        <f>P8</f>
        <v>44500</v>
      </c>
      <c r="S8" s="16"/>
      <c r="T8" s="8"/>
      <c r="U8" s="8"/>
      <c r="V8" s="8" t="s">
        <v>173</v>
      </c>
      <c r="W8" s="8" t="s">
        <v>62</v>
      </c>
      <c r="X8" s="9">
        <v>44136</v>
      </c>
      <c r="Y8" s="9">
        <v>44500</v>
      </c>
      <c r="Z8" s="17">
        <f>Y8</f>
        <v>44500</v>
      </c>
      <c r="AB8" s="16"/>
      <c r="AC8" s="8"/>
      <c r="AD8" s="8"/>
      <c r="AE8" s="8" t="s">
        <v>173</v>
      </c>
      <c r="AF8" s="8" t="s">
        <v>62</v>
      </c>
      <c r="AG8" s="9">
        <v>44136</v>
      </c>
      <c r="AH8" s="9">
        <v>44500</v>
      </c>
      <c r="AI8" s="17">
        <f>AH8</f>
        <v>44500</v>
      </c>
    </row>
    <row r="9" spans="1:35">
      <c r="A9" s="18" t="s">
        <v>5</v>
      </c>
      <c r="B9" s="19"/>
      <c r="C9" s="19"/>
      <c r="D9" s="19"/>
      <c r="E9" s="19"/>
      <c r="F9" s="19"/>
      <c r="G9" s="19"/>
      <c r="H9" s="20"/>
      <c r="J9" s="18" t="s">
        <v>5</v>
      </c>
      <c r="K9" s="19"/>
      <c r="L9" s="19"/>
      <c r="M9" s="19"/>
      <c r="N9" s="19"/>
      <c r="O9" s="19"/>
      <c r="P9" s="19"/>
      <c r="Q9" s="20"/>
      <c r="S9" s="18" t="s">
        <v>5</v>
      </c>
      <c r="T9" s="19"/>
      <c r="U9" s="19"/>
      <c r="V9" s="19"/>
      <c r="W9" s="19"/>
      <c r="X9" s="19"/>
      <c r="Y9" s="19"/>
      <c r="Z9" s="20"/>
      <c r="AB9" s="18" t="s">
        <v>5</v>
      </c>
      <c r="AC9" s="19"/>
      <c r="AD9" s="19"/>
      <c r="AE9" s="19"/>
      <c r="AF9" s="19"/>
      <c r="AG9" s="19"/>
      <c r="AH9" s="19"/>
      <c r="AI9" s="20"/>
    </row>
    <row r="10" spans="1:35">
      <c r="A10" s="18" t="s">
        <v>147</v>
      </c>
      <c r="B10" s="46">
        <f>'Trucks 2183'!L81</f>
        <v>9972368.7827333324</v>
      </c>
      <c r="C10" s="46">
        <f>B10-D10</f>
        <v>0</v>
      </c>
      <c r="D10" s="46">
        <f>'Trucks 2183'!M81</f>
        <v>9972368.7827333324</v>
      </c>
      <c r="E10" s="46">
        <f>'Trucks 2183'!P81</f>
        <v>912572.85452592606</v>
      </c>
      <c r="F10" s="46">
        <f>'Trucks 2183'!Q81</f>
        <v>3752417.2595666666</v>
      </c>
      <c r="G10" s="46">
        <f>'Trucks 2183'!R81</f>
        <v>4664990.114092594</v>
      </c>
      <c r="H10" s="47">
        <f>'Trucks 2183'!S81</f>
        <v>5275193.5224851845</v>
      </c>
      <c r="J10" s="18" t="s">
        <v>147</v>
      </c>
      <c r="K10" s="389">
        <f>+'Depreciation Pivot 2021'!B18+'Depreciation Pivot 2021'!B23</f>
        <v>1114260.71</v>
      </c>
      <c r="L10" s="389">
        <f>K10-M10</f>
        <v>0</v>
      </c>
      <c r="M10" s="389">
        <f>+K10</f>
        <v>1114260.71</v>
      </c>
      <c r="N10" s="389">
        <f>+'Depreciation Pivot 2021'!C18+'Depreciation Pivot 2021'!C23</f>
        <v>111644.149</v>
      </c>
      <c r="O10" s="389">
        <f>+'Depreciation Pivot 2021'!D18+'Depreciation Pivot 2021'!D23</f>
        <v>0</v>
      </c>
      <c r="P10" s="389">
        <f>+'Depreciation Pivot 2021'!E18+'Depreciation Pivot 2021'!E23</f>
        <v>111644.149</v>
      </c>
      <c r="Q10" s="390">
        <f>+'Depreciation Pivot 2021'!F18+'Depreciation Pivot 2021'!F23</f>
        <v>1002616.561</v>
      </c>
      <c r="R10" s="341"/>
      <c r="S10" s="18" t="s">
        <v>147</v>
      </c>
      <c r="T10" s="46">
        <f>+'2022 Bud Capital Input 2183'!M66+'2022 Bud Capital Input 2183'!M67+'2022 Bud Capital Input 2183'!M72</f>
        <v>3309250</v>
      </c>
      <c r="U10" s="46">
        <f>T10-V10</f>
        <v>0</v>
      </c>
      <c r="V10" s="46">
        <f>+T10</f>
        <v>3309250</v>
      </c>
      <c r="W10" s="46">
        <f>+'2022 Bud Capital Input 2183'!O66+'2022 Bud Capital Input 2183'!O67+'2022 Bud Capital Input 2183'!O72</f>
        <v>330925</v>
      </c>
      <c r="X10" s="46">
        <v>0</v>
      </c>
      <c r="Y10" s="46">
        <f>+'2022 Bud Capital Input 2183'!P66+'2022 Bud Capital Input 2183'!P67+'2022 Bud Capital Input 2183'!P72</f>
        <v>330925</v>
      </c>
      <c r="Z10" s="47">
        <f>+'2022 Bud Capital Input 2183'!Q66+'2022 Bud Capital Input 2183'!Q67+'2022 Bud Capital Input 2183'!Q72</f>
        <v>2978325</v>
      </c>
      <c r="AB10" s="18" t="s">
        <v>147</v>
      </c>
      <c r="AC10" s="46">
        <f>+B10+K10+T10</f>
        <v>14395879.492733333</v>
      </c>
      <c r="AD10" s="46">
        <f>AC10-AE10</f>
        <v>0</v>
      </c>
      <c r="AE10" s="46">
        <f>+D10+M10+V10</f>
        <v>14395879.492733333</v>
      </c>
      <c r="AF10" s="46">
        <f t="shared" ref="AF10:AI10" si="0">+E10+N10+W10</f>
        <v>1355142.003525926</v>
      </c>
      <c r="AG10" s="46">
        <f t="shared" si="0"/>
        <v>3752417.2595666666</v>
      </c>
      <c r="AH10" s="46">
        <f t="shared" si="0"/>
        <v>5107559.2630925942</v>
      </c>
      <c r="AI10" s="47">
        <f t="shared" si="0"/>
        <v>9256135.0834851842</v>
      </c>
    </row>
    <row r="11" spans="1:35">
      <c r="A11" s="18"/>
      <c r="B11" s="46"/>
      <c r="C11" s="46"/>
      <c r="D11" s="46"/>
      <c r="E11" s="46"/>
      <c r="F11" s="46"/>
      <c r="G11" s="46"/>
      <c r="H11" s="47"/>
      <c r="J11" s="18"/>
      <c r="K11" s="46"/>
      <c r="L11" s="46"/>
      <c r="M11" s="46"/>
      <c r="N11" s="46"/>
      <c r="O11" s="46"/>
      <c r="P11" s="46"/>
      <c r="Q11" s="47"/>
      <c r="S11" s="18"/>
      <c r="T11" s="46"/>
      <c r="U11" s="46"/>
      <c r="V11" s="46"/>
      <c r="W11" s="46"/>
      <c r="X11" s="46"/>
      <c r="Y11" s="46"/>
      <c r="Z11" s="47"/>
      <c r="AB11" s="18"/>
      <c r="AC11" s="46"/>
      <c r="AD11" s="46"/>
      <c r="AE11" s="46"/>
      <c r="AF11" s="46"/>
      <c r="AG11" s="46"/>
      <c r="AH11" s="46"/>
      <c r="AI11" s="47"/>
    </row>
    <row r="12" spans="1:35">
      <c r="A12" s="18" t="s">
        <v>287</v>
      </c>
      <c r="B12" s="46">
        <f>'Trucks 2183'!L130</f>
        <v>2760774.3302666666</v>
      </c>
      <c r="C12" s="46">
        <f>B12-D12</f>
        <v>0</v>
      </c>
      <c r="D12" s="46">
        <f>'Trucks 2183'!M130</f>
        <v>2760774.3302666666</v>
      </c>
      <c r="E12" s="46">
        <f>'Trucks 2183'!P130</f>
        <v>188489.46087037041</v>
      </c>
      <c r="F12" s="46">
        <f>'Trucks 2183'!Q130</f>
        <v>1391811.6419333334</v>
      </c>
      <c r="G12" s="46">
        <f>'Trucks 2183'!R130</f>
        <v>1580301.1028037034</v>
      </c>
      <c r="H12" s="47">
        <f>'Trucks 2183'!S130</f>
        <v>1180473.227462963</v>
      </c>
      <c r="J12" s="18" t="s">
        <v>287</v>
      </c>
      <c r="K12" s="46">
        <v>0</v>
      </c>
      <c r="L12" s="46">
        <f>K12-M12</f>
        <v>0</v>
      </c>
      <c r="M12" s="46">
        <v>0</v>
      </c>
      <c r="N12" s="46">
        <v>0</v>
      </c>
      <c r="O12" s="46">
        <v>0</v>
      </c>
      <c r="P12" s="46">
        <v>0</v>
      </c>
      <c r="Q12" s="47">
        <v>0</v>
      </c>
      <c r="S12" s="18" t="s">
        <v>287</v>
      </c>
      <c r="T12" s="46">
        <v>0</v>
      </c>
      <c r="U12" s="46">
        <f>T12-V12</f>
        <v>0</v>
      </c>
      <c r="V12" s="46">
        <v>0</v>
      </c>
      <c r="W12" s="46">
        <v>0</v>
      </c>
      <c r="X12" s="46">
        <v>0</v>
      </c>
      <c r="Y12" s="46">
        <v>0</v>
      </c>
      <c r="Z12" s="47">
        <v>0</v>
      </c>
      <c r="AB12" s="18" t="s">
        <v>287</v>
      </c>
      <c r="AC12" s="46">
        <f>+B12+K12+T12</f>
        <v>2760774.3302666666</v>
      </c>
      <c r="AD12" s="46">
        <f>AC12-AE12</f>
        <v>0</v>
      </c>
      <c r="AE12" s="46">
        <f>+D12+M12+V12</f>
        <v>2760774.3302666666</v>
      </c>
      <c r="AF12" s="46">
        <f t="shared" ref="AF12" si="1">+E12+N12+W12</f>
        <v>188489.46087037041</v>
      </c>
      <c r="AG12" s="46">
        <f t="shared" ref="AG12" si="2">+F12+O12+X12</f>
        <v>1391811.6419333334</v>
      </c>
      <c r="AH12" s="46">
        <f t="shared" ref="AH12" si="3">+G12+P12+Y12</f>
        <v>1580301.1028037034</v>
      </c>
      <c r="AI12" s="47">
        <f t="shared" ref="AI12" si="4">+H12+Q12+Z12</f>
        <v>1180473.227462963</v>
      </c>
    </row>
    <row r="13" spans="1:35">
      <c r="A13" s="18"/>
      <c r="B13" s="46"/>
      <c r="C13" s="46"/>
      <c r="D13" s="46"/>
      <c r="E13" s="46"/>
      <c r="F13" s="46"/>
      <c r="G13" s="46"/>
      <c r="H13" s="47"/>
      <c r="J13" s="18"/>
      <c r="K13" s="46"/>
      <c r="L13" s="46"/>
      <c r="M13" s="46"/>
      <c r="N13" s="46"/>
      <c r="O13" s="46"/>
      <c r="P13" s="46"/>
      <c r="Q13" s="47"/>
      <c r="S13" s="18"/>
      <c r="T13" s="46"/>
      <c r="U13" s="46"/>
      <c r="V13" s="46"/>
      <c r="W13" s="46"/>
      <c r="X13" s="46"/>
      <c r="Y13" s="46"/>
      <c r="Z13" s="47"/>
      <c r="AB13" s="18"/>
      <c r="AC13" s="46"/>
      <c r="AD13" s="46"/>
      <c r="AE13" s="46"/>
      <c r="AF13" s="46"/>
      <c r="AG13" s="46"/>
      <c r="AH13" s="46"/>
      <c r="AI13" s="47"/>
    </row>
    <row r="14" spans="1:35">
      <c r="A14" s="18" t="s">
        <v>22</v>
      </c>
      <c r="B14" s="46">
        <f>'Trucks 2183'!L162</f>
        <v>3548946.9678666666</v>
      </c>
      <c r="C14" s="46">
        <f>B14-D14</f>
        <v>0</v>
      </c>
      <c r="D14" s="46">
        <f>'Trucks 2183'!M162</f>
        <v>3548946.9678666666</v>
      </c>
      <c r="E14" s="46">
        <f>'Trucks 2183'!P162</f>
        <v>266850.39324444439</v>
      </c>
      <c r="F14" s="46">
        <f>'Trucks 2183'!Q162</f>
        <v>2353148.4171555554</v>
      </c>
      <c r="G14" s="46">
        <f>'Trucks 2183'!R162</f>
        <v>2619998.8103999994</v>
      </c>
      <c r="H14" s="47">
        <f>'Trucks 2183'!S162</f>
        <v>720487.13191111106</v>
      </c>
      <c r="J14" s="18" t="s">
        <v>22</v>
      </c>
      <c r="K14" s="46">
        <f>+'Depreciation Pivot 2021'!B24</f>
        <v>1489.7</v>
      </c>
      <c r="L14" s="46">
        <f>K14-M14</f>
        <v>0</v>
      </c>
      <c r="M14" s="46">
        <f>+K14</f>
        <v>1489.7</v>
      </c>
      <c r="N14" s="46">
        <f>+'Depreciation Pivot 2021'!C24</f>
        <v>227.37700000000001</v>
      </c>
      <c r="O14" s="46">
        <f>+'Depreciation Pivot 2021'!D24</f>
        <v>0</v>
      </c>
      <c r="P14" s="46">
        <f>+'Depreciation Pivot 2021'!E24</f>
        <v>227.37700000000001</v>
      </c>
      <c r="Q14" s="47">
        <f>+'Depreciation Pivot 2021'!F24</f>
        <v>1262.3230000000001</v>
      </c>
      <c r="S14" s="18" t="s">
        <v>22</v>
      </c>
      <c r="T14" s="46">
        <v>0</v>
      </c>
      <c r="U14" s="46">
        <f>T14-V14</f>
        <v>0</v>
      </c>
      <c r="V14" s="46">
        <v>0</v>
      </c>
      <c r="W14" s="46">
        <v>0</v>
      </c>
      <c r="X14" s="46">
        <v>0</v>
      </c>
      <c r="Y14" s="46">
        <v>0</v>
      </c>
      <c r="Z14" s="47">
        <v>0</v>
      </c>
      <c r="AB14" s="18" t="s">
        <v>22</v>
      </c>
      <c r="AC14" s="46">
        <f>+B14+K14+T14</f>
        <v>3550436.6678666668</v>
      </c>
      <c r="AD14" s="46">
        <f>AC14-AE14</f>
        <v>0</v>
      </c>
      <c r="AE14" s="46">
        <f>+D14+M14+V14</f>
        <v>3550436.6678666668</v>
      </c>
      <c r="AF14" s="46">
        <f t="shared" ref="AF14" si="5">+E14+N14+W14</f>
        <v>267077.77024444437</v>
      </c>
      <c r="AG14" s="46">
        <f t="shared" ref="AG14" si="6">+F14+O14+X14</f>
        <v>2353148.4171555554</v>
      </c>
      <c r="AH14" s="46">
        <f t="shared" ref="AH14" si="7">+G14+P14+Y14</f>
        <v>2620226.1873999992</v>
      </c>
      <c r="AI14" s="47">
        <f t="shared" ref="AI14" si="8">+H14+Q14+Z14</f>
        <v>721749.45491111104</v>
      </c>
    </row>
    <row r="15" spans="1:35">
      <c r="A15" s="18"/>
      <c r="B15" s="46"/>
      <c r="C15" s="46"/>
      <c r="D15" s="46"/>
      <c r="E15" s="46"/>
      <c r="F15" s="46"/>
      <c r="G15" s="46"/>
      <c r="H15" s="47"/>
      <c r="J15" s="18"/>
      <c r="K15" s="46"/>
      <c r="L15" s="46"/>
      <c r="M15" s="46"/>
      <c r="N15" s="46"/>
      <c r="O15" s="46"/>
      <c r="P15" s="46"/>
      <c r="Q15" s="47"/>
      <c r="S15" s="18"/>
      <c r="T15" s="46"/>
      <c r="U15" s="46"/>
      <c r="V15" s="46"/>
      <c r="W15" s="46"/>
      <c r="X15" s="46"/>
      <c r="Y15" s="46"/>
      <c r="Z15" s="47"/>
      <c r="AB15" s="18"/>
      <c r="AC15" s="46"/>
      <c r="AD15" s="46"/>
      <c r="AE15" s="46"/>
      <c r="AF15" s="46"/>
      <c r="AG15" s="46"/>
      <c r="AH15" s="46"/>
      <c r="AI15" s="47"/>
    </row>
    <row r="16" spans="1:35">
      <c r="A16" s="18" t="s">
        <v>157</v>
      </c>
      <c r="B16" s="46">
        <f>'Trucks 2183'!L178</f>
        <v>1160470.0884000002</v>
      </c>
      <c r="C16" s="46">
        <f>B16-D16</f>
        <v>0</v>
      </c>
      <c r="D16" s="46">
        <f>'Trucks 2183'!M178</f>
        <v>1160470.0884000002</v>
      </c>
      <c r="E16" s="46">
        <f>'Trucks 2183'!P178</f>
        <v>50893.569888888895</v>
      </c>
      <c r="F16" s="46">
        <f>'Trucks 2183'!Q178</f>
        <v>1014388.6164000002</v>
      </c>
      <c r="G16" s="46">
        <f>'Trucks 2183'!R178</f>
        <v>1065282.186288889</v>
      </c>
      <c r="H16" s="47">
        <f>'Trucks 2183'!S178</f>
        <v>71208.015592592594</v>
      </c>
      <c r="J16" s="18" t="s">
        <v>157</v>
      </c>
      <c r="K16" s="46">
        <v>0</v>
      </c>
      <c r="L16" s="46">
        <f>K16-M16</f>
        <v>0</v>
      </c>
      <c r="M16" s="46">
        <v>0</v>
      </c>
      <c r="N16" s="46">
        <v>0</v>
      </c>
      <c r="O16" s="46">
        <v>0</v>
      </c>
      <c r="P16" s="46">
        <v>0</v>
      </c>
      <c r="Q16" s="47">
        <v>0</v>
      </c>
      <c r="S16" s="18" t="s">
        <v>157</v>
      </c>
      <c r="T16" s="46">
        <v>0</v>
      </c>
      <c r="U16" s="46">
        <f>T16-V16</f>
        <v>0</v>
      </c>
      <c r="V16" s="46">
        <v>0</v>
      </c>
      <c r="W16" s="46">
        <v>0</v>
      </c>
      <c r="X16" s="46">
        <v>0</v>
      </c>
      <c r="Y16" s="46">
        <v>0</v>
      </c>
      <c r="Z16" s="47">
        <v>0</v>
      </c>
      <c r="AB16" s="18" t="s">
        <v>157</v>
      </c>
      <c r="AC16" s="46">
        <f>+B16+K16+T16</f>
        <v>1160470.0884000002</v>
      </c>
      <c r="AD16" s="46">
        <f>AC16-AE16</f>
        <v>0</v>
      </c>
      <c r="AE16" s="46">
        <f>+D16+M16+V16</f>
        <v>1160470.0884000002</v>
      </c>
      <c r="AF16" s="46">
        <f t="shared" ref="AF16" si="9">+E16+N16+W16</f>
        <v>50893.569888888895</v>
      </c>
      <c r="AG16" s="46">
        <f t="shared" ref="AG16" si="10">+F16+O16+X16</f>
        <v>1014388.6164000002</v>
      </c>
      <c r="AH16" s="46">
        <f t="shared" ref="AH16" si="11">+G16+P16+Y16</f>
        <v>1065282.186288889</v>
      </c>
      <c r="AI16" s="47">
        <f t="shared" ref="AI16" si="12">+H16+Q16+Z16</f>
        <v>71208.015592592594</v>
      </c>
    </row>
    <row r="17" spans="1:35">
      <c r="A17" s="18"/>
      <c r="B17" s="46"/>
      <c r="C17" s="46"/>
      <c r="D17" s="46"/>
      <c r="E17" s="46"/>
      <c r="F17" s="46"/>
      <c r="G17" s="46"/>
      <c r="H17" s="47"/>
      <c r="J17" s="18"/>
      <c r="K17" s="46"/>
      <c r="L17" s="46"/>
      <c r="M17" s="46"/>
      <c r="N17" s="46"/>
      <c r="O17" s="46"/>
      <c r="P17" s="46"/>
      <c r="Q17" s="47"/>
      <c r="S17" s="18"/>
      <c r="T17" s="46"/>
      <c r="U17" s="46"/>
      <c r="V17" s="46"/>
      <c r="W17" s="46"/>
      <c r="X17" s="46"/>
      <c r="Y17" s="46"/>
      <c r="Z17" s="47"/>
      <c r="AB17" s="18"/>
      <c r="AC17" s="46"/>
      <c r="AD17" s="46"/>
      <c r="AE17" s="46"/>
      <c r="AF17" s="46"/>
      <c r="AG17" s="46"/>
      <c r="AH17" s="46"/>
      <c r="AI17" s="47"/>
    </row>
    <row r="18" spans="1:35">
      <c r="A18" s="18" t="s">
        <v>554</v>
      </c>
      <c r="B18" s="46">
        <f>'Trucks 2183'!L204</f>
        <v>1560807.2713333331</v>
      </c>
      <c r="C18" s="46">
        <f>B18-D18</f>
        <v>0</v>
      </c>
      <c r="D18" s="46">
        <f>'Trucks 2183'!M204</f>
        <v>1560807.2713333331</v>
      </c>
      <c r="E18" s="46">
        <f>'Trucks 2183'!P204</f>
        <v>70770.700499999992</v>
      </c>
      <c r="F18" s="46">
        <f>'Trucks 2183'!Q204</f>
        <v>1282199.9936666666</v>
      </c>
      <c r="G18" s="46">
        <f>'Trucks 2183'!R204</f>
        <v>1352970.6941666668</v>
      </c>
      <c r="H18" s="47">
        <f>'Trucks 2183'!S204</f>
        <v>207836.57716666663</v>
      </c>
      <c r="J18" s="18" t="s">
        <v>554</v>
      </c>
      <c r="K18" s="46">
        <v>0</v>
      </c>
      <c r="L18" s="46">
        <f>K18-M18</f>
        <v>0</v>
      </c>
      <c r="M18" s="46">
        <v>0</v>
      </c>
      <c r="N18" s="46">
        <v>0</v>
      </c>
      <c r="O18" s="46">
        <v>0</v>
      </c>
      <c r="P18" s="46">
        <v>0</v>
      </c>
      <c r="Q18" s="47">
        <v>0</v>
      </c>
      <c r="S18" s="18" t="s">
        <v>554</v>
      </c>
      <c r="T18" s="46">
        <v>0</v>
      </c>
      <c r="U18" s="46">
        <f>T18-V18</f>
        <v>0</v>
      </c>
      <c r="V18" s="46">
        <v>0</v>
      </c>
      <c r="W18" s="46">
        <v>0</v>
      </c>
      <c r="X18" s="46">
        <v>0</v>
      </c>
      <c r="Y18" s="46">
        <v>0</v>
      </c>
      <c r="Z18" s="47">
        <v>0</v>
      </c>
      <c r="AB18" s="18" t="s">
        <v>554</v>
      </c>
      <c r="AC18" s="46">
        <f>+B18+K18+T18</f>
        <v>1560807.2713333331</v>
      </c>
      <c r="AD18" s="46">
        <f>AC18-AE18</f>
        <v>0</v>
      </c>
      <c r="AE18" s="46">
        <f>+D18+M18+V18</f>
        <v>1560807.2713333331</v>
      </c>
      <c r="AF18" s="46">
        <f t="shared" ref="AF18" si="13">+E18+N18+W18</f>
        <v>70770.700499999992</v>
      </c>
      <c r="AG18" s="46">
        <f t="shared" ref="AG18" si="14">+F18+O18+X18</f>
        <v>1282199.9936666666</v>
      </c>
      <c r="AH18" s="46">
        <f t="shared" ref="AH18" si="15">+G18+P18+Y18</f>
        <v>1352970.6941666668</v>
      </c>
      <c r="AI18" s="47">
        <f t="shared" ref="AI18" si="16">+H18+Q18+Z18</f>
        <v>207836.57716666663</v>
      </c>
    </row>
    <row r="19" spans="1:35">
      <c r="A19" s="18"/>
      <c r="B19" s="46"/>
      <c r="C19" s="46"/>
      <c r="D19" s="46"/>
      <c r="E19" s="46"/>
      <c r="F19" s="46"/>
      <c r="G19" s="46"/>
      <c r="H19" s="47"/>
      <c r="J19" s="18"/>
      <c r="K19" s="46"/>
      <c r="L19" s="46"/>
      <c r="M19" s="46"/>
      <c r="N19" s="46"/>
      <c r="O19" s="46"/>
      <c r="P19" s="46"/>
      <c r="Q19" s="47"/>
      <c r="S19" s="18"/>
      <c r="T19" s="46"/>
      <c r="U19" s="46"/>
      <c r="V19" s="46"/>
      <c r="W19" s="46"/>
      <c r="X19" s="46"/>
      <c r="Y19" s="46"/>
      <c r="Z19" s="47"/>
      <c r="AB19" s="18"/>
      <c r="AC19" s="46"/>
      <c r="AD19" s="46"/>
      <c r="AE19" s="46"/>
      <c r="AF19" s="46"/>
      <c r="AG19" s="46"/>
      <c r="AH19" s="46"/>
      <c r="AI19" s="47"/>
    </row>
    <row r="20" spans="1:35">
      <c r="A20" s="13" t="s">
        <v>271</v>
      </c>
      <c r="B20" s="48">
        <f t="shared" ref="B20:H20" si="17">SUM(B10:B19)</f>
        <v>19003367.440599997</v>
      </c>
      <c r="C20" s="48">
        <f t="shared" si="17"/>
        <v>0</v>
      </c>
      <c r="D20" s="48">
        <f t="shared" si="17"/>
        <v>19003367.440599997</v>
      </c>
      <c r="E20" s="48">
        <f t="shared" si="17"/>
        <v>1489576.9790296298</v>
      </c>
      <c r="F20" s="48">
        <f t="shared" si="17"/>
        <v>9793965.9287222214</v>
      </c>
      <c r="G20" s="48">
        <f t="shared" si="17"/>
        <v>11283542.907751855</v>
      </c>
      <c r="H20" s="49">
        <f t="shared" si="17"/>
        <v>7455198.4746185178</v>
      </c>
      <c r="I20" s="55"/>
      <c r="J20" s="13" t="s">
        <v>271</v>
      </c>
      <c r="K20" s="48">
        <f t="shared" ref="K20:Q20" si="18">SUM(K10:K19)</f>
        <v>1115750.4099999999</v>
      </c>
      <c r="L20" s="48">
        <f t="shared" si="18"/>
        <v>0</v>
      </c>
      <c r="M20" s="48">
        <f t="shared" si="18"/>
        <v>1115750.4099999999</v>
      </c>
      <c r="N20" s="48">
        <f t="shared" si="18"/>
        <v>111871.526</v>
      </c>
      <c r="O20" s="48">
        <f t="shared" si="18"/>
        <v>0</v>
      </c>
      <c r="P20" s="48">
        <f t="shared" si="18"/>
        <v>111871.526</v>
      </c>
      <c r="Q20" s="49">
        <f t="shared" si="18"/>
        <v>1003878.884</v>
      </c>
      <c r="S20" s="13" t="s">
        <v>271</v>
      </c>
      <c r="T20" s="48">
        <f t="shared" ref="T20:Z20" si="19">SUM(T10:T19)</f>
        <v>3309250</v>
      </c>
      <c r="U20" s="48">
        <f t="shared" si="19"/>
        <v>0</v>
      </c>
      <c r="V20" s="48">
        <f t="shared" si="19"/>
        <v>3309250</v>
      </c>
      <c r="W20" s="48">
        <f t="shared" si="19"/>
        <v>330925</v>
      </c>
      <c r="X20" s="48">
        <f t="shared" si="19"/>
        <v>0</v>
      </c>
      <c r="Y20" s="48">
        <f t="shared" si="19"/>
        <v>330925</v>
      </c>
      <c r="Z20" s="49">
        <f t="shared" si="19"/>
        <v>2978325</v>
      </c>
      <c r="AB20" s="13" t="s">
        <v>271</v>
      </c>
      <c r="AC20" s="48">
        <f t="shared" ref="AC20:AI20" si="20">SUM(AC10:AC19)</f>
        <v>23428367.850599997</v>
      </c>
      <c r="AD20" s="48">
        <f t="shared" si="20"/>
        <v>0</v>
      </c>
      <c r="AE20" s="48">
        <f t="shared" si="20"/>
        <v>23428367.850599997</v>
      </c>
      <c r="AF20" s="48">
        <f t="shared" si="20"/>
        <v>1932373.5050296297</v>
      </c>
      <c r="AG20" s="48">
        <f t="shared" si="20"/>
        <v>9793965.9287222214</v>
      </c>
      <c r="AH20" s="48">
        <f t="shared" si="20"/>
        <v>11726339.433751855</v>
      </c>
      <c r="AI20" s="49">
        <f t="shared" si="20"/>
        <v>11437402.358618516</v>
      </c>
    </row>
    <row r="21" spans="1:35">
      <c r="A21" s="18"/>
      <c r="B21" s="46">
        <f>+B20-'Trucks 2183'!L206</f>
        <v>0</v>
      </c>
      <c r="C21" s="46"/>
      <c r="D21" s="46"/>
      <c r="E21" s="46"/>
      <c r="F21" s="46"/>
      <c r="G21" s="46"/>
      <c r="H21" s="47"/>
      <c r="J21" s="18"/>
      <c r="K21" s="46"/>
      <c r="L21" s="46"/>
      <c r="M21" s="46"/>
      <c r="N21" s="46"/>
      <c r="O21" s="46"/>
      <c r="P21" s="46"/>
      <c r="Q21" s="47"/>
      <c r="S21" s="18"/>
      <c r="T21" s="46"/>
      <c r="U21" s="46"/>
      <c r="V21" s="46"/>
      <c r="W21" s="46"/>
      <c r="X21" s="46"/>
      <c r="Y21" s="46"/>
      <c r="Z21" s="47"/>
      <c r="AB21" s="18"/>
      <c r="AC21" s="46">
        <f>+T20+K20+B20-AC20</f>
        <v>0</v>
      </c>
      <c r="AD21" s="46"/>
      <c r="AE21" s="46"/>
      <c r="AF21" s="46"/>
      <c r="AG21" s="46"/>
      <c r="AH21" s="46"/>
      <c r="AI21" s="47"/>
    </row>
    <row r="22" spans="1:35">
      <c r="A22" s="18" t="s">
        <v>272</v>
      </c>
      <c r="B22" s="46"/>
      <c r="C22" s="46"/>
      <c r="D22" s="46"/>
      <c r="E22" s="46"/>
      <c r="F22" s="46"/>
      <c r="G22" s="46"/>
      <c r="H22" s="47"/>
      <c r="J22" s="18" t="s">
        <v>272</v>
      </c>
      <c r="K22" s="46"/>
      <c r="L22" s="46"/>
      <c r="M22" s="46"/>
      <c r="N22" s="46"/>
      <c r="O22" s="46"/>
      <c r="P22" s="46"/>
      <c r="Q22" s="47"/>
      <c r="S22" s="18" t="s">
        <v>272</v>
      </c>
      <c r="T22" s="46"/>
      <c r="U22" s="46"/>
      <c r="V22" s="46"/>
      <c r="W22" s="46"/>
      <c r="X22" s="46"/>
      <c r="Y22" s="46"/>
      <c r="Z22" s="47"/>
      <c r="AB22" s="18" t="s">
        <v>272</v>
      </c>
      <c r="AC22" s="46"/>
      <c r="AD22" s="46"/>
      <c r="AE22" s="46"/>
      <c r="AF22" s="46"/>
      <c r="AG22" s="46"/>
      <c r="AH22" s="46"/>
      <c r="AI22" s="47"/>
    </row>
    <row r="23" spans="1:35">
      <c r="A23" s="45" t="s">
        <v>2193</v>
      </c>
      <c r="B23" s="46">
        <f>'Containers 2183'!K191</f>
        <v>1470729.9200000004</v>
      </c>
      <c r="C23" s="46">
        <f>B23-D23</f>
        <v>0</v>
      </c>
      <c r="D23" s="46">
        <f>'Containers 2183'!L191</f>
        <v>1470729.9200000004</v>
      </c>
      <c r="E23" s="46">
        <f>'Containers 2183'!O191</f>
        <v>54716.095000000016</v>
      </c>
      <c r="F23" s="46">
        <f>'Containers 2183'!P191</f>
        <v>1014043.3566666661</v>
      </c>
      <c r="G23" s="46">
        <f>'Containers 2183'!Q191</f>
        <v>1068759.4516666662</v>
      </c>
      <c r="H23" s="47">
        <f>'Containers 2183'!R191</f>
        <v>401970.46833333327</v>
      </c>
      <c r="J23" s="45" t="s">
        <v>2193</v>
      </c>
      <c r="K23" s="46">
        <f>+'Depreciation Pivot 2021'!B20</f>
        <v>112324.28</v>
      </c>
      <c r="L23" s="46">
        <f>K23-M23</f>
        <v>0</v>
      </c>
      <c r="M23" s="46">
        <f>+K23</f>
        <v>112324.28</v>
      </c>
      <c r="N23" s="46">
        <f>+'Depreciation Pivot 2021'!C20</f>
        <v>9360.3566666666666</v>
      </c>
      <c r="O23" s="46">
        <f>+'Depreciation Pivot 2021'!D20</f>
        <v>0</v>
      </c>
      <c r="P23" s="46">
        <f>+'Depreciation Pivot 2021'!E20</f>
        <v>9360.3566666666666</v>
      </c>
      <c r="Q23" s="47">
        <f>+'Depreciation Pivot 2021'!F20</f>
        <v>102963.92333333334</v>
      </c>
      <c r="S23" s="45" t="s">
        <v>2193</v>
      </c>
      <c r="T23" s="46">
        <v>0</v>
      </c>
      <c r="U23" s="46">
        <f>T23-V23</f>
        <v>0</v>
      </c>
      <c r="V23" s="46">
        <v>0</v>
      </c>
      <c r="W23" s="46">
        <v>0</v>
      </c>
      <c r="X23" s="46">
        <v>0</v>
      </c>
      <c r="Y23" s="46">
        <v>0</v>
      </c>
      <c r="Z23" s="47">
        <v>0</v>
      </c>
      <c r="AB23" s="45" t="s">
        <v>2193</v>
      </c>
      <c r="AC23" s="46">
        <f>+B23+K23+T23</f>
        <v>1583054.2000000004</v>
      </c>
      <c r="AD23" s="46">
        <f>AC23-AE23</f>
        <v>0</v>
      </c>
      <c r="AE23" s="46">
        <f>+D23+M23+V23</f>
        <v>1583054.2000000004</v>
      </c>
      <c r="AF23" s="46">
        <f t="shared" ref="AF23" si="21">+E23+N23+W23</f>
        <v>64076.451666666682</v>
      </c>
      <c r="AG23" s="46">
        <f t="shared" ref="AG23" si="22">+F23+O23+X23</f>
        <v>1014043.3566666661</v>
      </c>
      <c r="AH23" s="46">
        <f t="shared" ref="AH23" si="23">+G23+P23+Y23</f>
        <v>1078119.8083333329</v>
      </c>
      <c r="AI23" s="47">
        <f t="shared" ref="AI23" si="24">+H23+Q23+Z23</f>
        <v>504934.3916666666</v>
      </c>
    </row>
    <row r="24" spans="1:35">
      <c r="A24" s="18"/>
      <c r="B24" s="46"/>
      <c r="C24" s="46"/>
      <c r="D24" s="46"/>
      <c r="E24" s="46"/>
      <c r="F24" s="46"/>
      <c r="G24" s="46"/>
      <c r="H24" s="47"/>
      <c r="J24" s="18"/>
      <c r="K24" s="46"/>
      <c r="L24" s="46"/>
      <c r="M24" s="46"/>
      <c r="N24" s="46"/>
      <c r="O24" s="46"/>
      <c r="P24" s="46"/>
      <c r="Q24" s="47"/>
      <c r="S24" s="18"/>
      <c r="T24" s="46"/>
      <c r="U24" s="46"/>
      <c r="V24" s="46"/>
      <c r="W24" s="46"/>
      <c r="X24" s="46"/>
      <c r="Y24" s="46"/>
      <c r="Z24" s="47"/>
      <c r="AB24" s="18"/>
      <c r="AC24" s="46"/>
      <c r="AD24" s="46"/>
      <c r="AE24" s="46"/>
      <c r="AF24" s="46"/>
      <c r="AG24" s="46"/>
      <c r="AH24" s="46"/>
      <c r="AI24" s="47"/>
    </row>
    <row r="25" spans="1:35">
      <c r="A25" s="18" t="s">
        <v>423</v>
      </c>
      <c r="B25" s="46">
        <f>'Containers 2183'!K333</f>
        <v>3466511.7199999969</v>
      </c>
      <c r="C25" s="46">
        <f>B25-D25</f>
        <v>0</v>
      </c>
      <c r="D25" s="46">
        <f>'Containers 2183'!L333</f>
        <v>3466511.7199999969</v>
      </c>
      <c r="E25" s="46">
        <f>'Containers 2183'!O333</f>
        <v>232384.70714285722</v>
      </c>
      <c r="F25" s="46">
        <f>'Containers 2183'!P333</f>
        <v>2514418.6471428559</v>
      </c>
      <c r="G25" s="46">
        <f>'Containers 2183'!Q333</f>
        <v>2746803.3542857133</v>
      </c>
      <c r="H25" s="47">
        <f>'Containers 2183'!R333</f>
        <v>719708.36571428576</v>
      </c>
      <c r="J25" s="18" t="s">
        <v>423</v>
      </c>
      <c r="K25" s="46">
        <f>+'Depreciation Pivot 2021'!B19</f>
        <v>262497.35000000003</v>
      </c>
      <c r="L25" s="46">
        <f>K25-M25</f>
        <v>0</v>
      </c>
      <c r="M25" s="46">
        <f>+K25</f>
        <v>262497.35000000003</v>
      </c>
      <c r="N25" s="46">
        <f>+'Depreciation Pivot 2021'!C19</f>
        <v>37499.62142857143</v>
      </c>
      <c r="O25" s="46">
        <f>+'Depreciation Pivot 2021'!D19</f>
        <v>0</v>
      </c>
      <c r="P25" s="46">
        <f>+'Depreciation Pivot 2021'!E19</f>
        <v>37499.62142857143</v>
      </c>
      <c r="Q25" s="47">
        <f>+'Depreciation Pivot 2021'!F19</f>
        <v>224997.7285714286</v>
      </c>
      <c r="S25" s="18" t="s">
        <v>423</v>
      </c>
      <c r="T25" s="46">
        <v>0</v>
      </c>
      <c r="U25" s="46">
        <f>T25-V25</f>
        <v>0</v>
      </c>
      <c r="V25" s="46">
        <v>0</v>
      </c>
      <c r="W25" s="46">
        <v>0</v>
      </c>
      <c r="X25" s="46">
        <v>0</v>
      </c>
      <c r="Y25" s="46">
        <v>0</v>
      </c>
      <c r="Z25" s="47">
        <v>0</v>
      </c>
      <c r="AB25" s="18" t="s">
        <v>423</v>
      </c>
      <c r="AC25" s="46">
        <f>+B25+K25+T25</f>
        <v>3729009.069999997</v>
      </c>
      <c r="AD25" s="46">
        <f>AC25-AE25</f>
        <v>0</v>
      </c>
      <c r="AE25" s="46">
        <f>+D25+M25+V25</f>
        <v>3729009.069999997</v>
      </c>
      <c r="AF25" s="46">
        <f t="shared" ref="AF25" si="25">+E25+N25+W25</f>
        <v>269884.32857142866</v>
      </c>
      <c r="AG25" s="46">
        <f t="shared" ref="AG25" si="26">+F25+O25+X25</f>
        <v>2514418.6471428559</v>
      </c>
      <c r="AH25" s="46">
        <f t="shared" ref="AH25" si="27">+G25+P25+Y25</f>
        <v>2784302.9757142849</v>
      </c>
      <c r="AI25" s="47">
        <f t="shared" ref="AI25" si="28">+H25+Q25+Z25</f>
        <v>944706.09428571432</v>
      </c>
    </row>
    <row r="26" spans="1:35">
      <c r="A26" s="18"/>
      <c r="B26" s="46"/>
      <c r="C26" s="46"/>
      <c r="D26" s="46"/>
      <c r="E26" s="46"/>
      <c r="F26" s="46"/>
      <c r="G26" s="46"/>
      <c r="H26" s="47"/>
      <c r="J26" s="18"/>
      <c r="K26" s="46"/>
      <c r="L26" s="46"/>
      <c r="M26" s="46"/>
      <c r="N26" s="46"/>
      <c r="O26" s="46"/>
      <c r="P26" s="46"/>
      <c r="Q26" s="47"/>
      <c r="S26" s="18"/>
      <c r="T26" s="46"/>
      <c r="U26" s="46"/>
      <c r="V26" s="46"/>
      <c r="W26" s="46"/>
      <c r="X26" s="46"/>
      <c r="Y26" s="46"/>
      <c r="Z26" s="47"/>
      <c r="AB26" s="18"/>
      <c r="AC26" s="46"/>
      <c r="AD26" s="46"/>
      <c r="AE26" s="46"/>
      <c r="AF26" s="46"/>
      <c r="AG26" s="46"/>
      <c r="AH26" s="46"/>
      <c r="AI26" s="47"/>
    </row>
    <row r="27" spans="1:35">
      <c r="A27" s="18" t="s">
        <v>269</v>
      </c>
      <c r="B27" s="46">
        <f>'Containers 2183'!K411</f>
        <v>1980746.9999999998</v>
      </c>
      <c r="C27" s="46">
        <f>B27-D27</f>
        <v>0</v>
      </c>
      <c r="D27" s="46">
        <f>'Containers 2183'!L411</f>
        <v>1980746.9999999998</v>
      </c>
      <c r="E27" s="46">
        <f>'Containers 2183'!O411</f>
        <v>43414.728576786249</v>
      </c>
      <c r="F27" s="46">
        <f>'Containers 2183'!P411</f>
        <v>1618406.874783335</v>
      </c>
      <c r="G27" s="46">
        <f>'Containers 2183'!Q411</f>
        <v>1661821.6033601216</v>
      </c>
      <c r="H27" s="47">
        <f>'Containers 2183'!R411</f>
        <v>318925.39663987828</v>
      </c>
      <c r="J27" s="18" t="s">
        <v>269</v>
      </c>
      <c r="K27" s="46">
        <v>0</v>
      </c>
      <c r="L27" s="46">
        <f>K27-M27</f>
        <v>0</v>
      </c>
      <c r="M27" s="46">
        <v>0</v>
      </c>
      <c r="N27" s="46">
        <v>0</v>
      </c>
      <c r="O27" s="46">
        <v>0</v>
      </c>
      <c r="P27" s="46">
        <v>0</v>
      </c>
      <c r="Q27" s="47">
        <v>0</v>
      </c>
      <c r="S27" s="18" t="s">
        <v>269</v>
      </c>
      <c r="T27" s="46">
        <v>0</v>
      </c>
      <c r="U27" s="46">
        <f>T27-V27</f>
        <v>0</v>
      </c>
      <c r="V27" s="46">
        <v>0</v>
      </c>
      <c r="W27" s="46">
        <v>0</v>
      </c>
      <c r="X27" s="46">
        <v>0</v>
      </c>
      <c r="Y27" s="46">
        <v>0</v>
      </c>
      <c r="Z27" s="47">
        <v>0</v>
      </c>
      <c r="AB27" s="18" t="s">
        <v>269</v>
      </c>
      <c r="AC27" s="46">
        <f>+B27+K27+T27</f>
        <v>1980746.9999999998</v>
      </c>
      <c r="AD27" s="46">
        <f>AC27-AE27</f>
        <v>0</v>
      </c>
      <c r="AE27" s="46">
        <f>+D27+M27+V27</f>
        <v>1980746.9999999998</v>
      </c>
      <c r="AF27" s="46">
        <f t="shared" ref="AF27" si="29">+E27+N27+W27</f>
        <v>43414.728576786249</v>
      </c>
      <c r="AG27" s="46">
        <f t="shared" ref="AG27" si="30">+F27+O27+X27</f>
        <v>1618406.874783335</v>
      </c>
      <c r="AH27" s="46">
        <f t="shared" ref="AH27" si="31">+G27+P27+Y27</f>
        <v>1661821.6033601216</v>
      </c>
      <c r="AI27" s="47">
        <f t="shared" ref="AI27" si="32">+H27+Q27+Z27</f>
        <v>318925.39663987828</v>
      </c>
    </row>
    <row r="28" spans="1:35" ht="26.25">
      <c r="A28" s="18"/>
      <c r="B28" s="46"/>
      <c r="C28" s="46"/>
      <c r="D28" s="46"/>
      <c r="E28" s="46"/>
      <c r="F28" s="46"/>
      <c r="G28" s="46"/>
      <c r="H28" s="47"/>
      <c r="I28" s="142" t="s">
        <v>920</v>
      </c>
      <c r="J28" s="18"/>
      <c r="K28" s="46"/>
      <c r="L28" s="46"/>
      <c r="M28" s="46"/>
      <c r="N28" s="46"/>
      <c r="O28" s="46"/>
      <c r="P28" s="46"/>
      <c r="Q28" s="47"/>
      <c r="R28" s="142" t="s">
        <v>920</v>
      </c>
      <c r="S28" s="18"/>
      <c r="T28" s="46"/>
      <c r="U28" s="46"/>
      <c r="V28" s="46"/>
      <c r="W28" s="46"/>
      <c r="X28" s="46"/>
      <c r="Y28" s="46"/>
      <c r="Z28" s="47"/>
      <c r="AA28" s="142" t="s">
        <v>924</v>
      </c>
      <c r="AB28" s="18"/>
      <c r="AC28" s="46"/>
      <c r="AD28" s="46"/>
      <c r="AE28" s="46"/>
      <c r="AF28" s="46"/>
      <c r="AG28" s="46"/>
      <c r="AH28" s="46"/>
      <c r="AI28" s="47"/>
    </row>
    <row r="29" spans="1:35">
      <c r="A29" s="18" t="s">
        <v>424</v>
      </c>
      <c r="B29" s="46">
        <f>'Containers 2183'!K453</f>
        <v>3555558.1500000008</v>
      </c>
      <c r="C29" s="46">
        <f>B29-D29</f>
        <v>0</v>
      </c>
      <c r="D29" s="46">
        <f>'Containers 2183'!L453</f>
        <v>3555558.1500000008</v>
      </c>
      <c r="E29" s="46">
        <f>'Containers 2183'!O453</f>
        <v>84547.482499999998</v>
      </c>
      <c r="F29" s="46">
        <f>'Containers 2183'!P453</f>
        <v>3188099.9092857148</v>
      </c>
      <c r="G29" s="46">
        <f>'Containers 2183'!Q453</f>
        <v>3272647.3917857138</v>
      </c>
      <c r="H29" s="47">
        <f>'Containers 2183'!R453</f>
        <v>282910.75821428577</v>
      </c>
      <c r="J29" s="18" t="s">
        <v>424</v>
      </c>
      <c r="K29" s="46">
        <f>+'Depreciation Pivot 2021'!B22</f>
        <v>115175.16999999998</v>
      </c>
      <c r="L29" s="46">
        <f>K29-M29</f>
        <v>0</v>
      </c>
      <c r="M29" s="46">
        <f>+K29</f>
        <v>115175.16999999998</v>
      </c>
      <c r="N29" s="46">
        <f>+'Depreciation Pivot 2021'!C22</f>
        <v>16453.595714285715</v>
      </c>
      <c r="O29" s="46">
        <f>+'Depreciation Pivot 2021'!D22</f>
        <v>0</v>
      </c>
      <c r="P29" s="46">
        <f>+'Depreciation Pivot 2021'!E22</f>
        <v>16453.595714285715</v>
      </c>
      <c r="Q29" s="47">
        <f>+'Depreciation Pivot 2021'!F22</f>
        <v>98721.574285714276</v>
      </c>
      <c r="S29" s="18" t="s">
        <v>424</v>
      </c>
      <c r="T29" s="46">
        <v>0</v>
      </c>
      <c r="U29" s="46">
        <f>T29-V29</f>
        <v>0</v>
      </c>
      <c r="V29" s="46">
        <v>0</v>
      </c>
      <c r="W29" s="46">
        <v>0</v>
      </c>
      <c r="X29" s="46">
        <v>0</v>
      </c>
      <c r="Y29" s="46">
        <v>0</v>
      </c>
      <c r="Z29" s="47">
        <v>0</v>
      </c>
      <c r="AB29" s="18" t="s">
        <v>424</v>
      </c>
      <c r="AC29" s="46">
        <f>+B29+K29+T29</f>
        <v>3670733.3200000008</v>
      </c>
      <c r="AD29" s="46">
        <f>AC29-AE29</f>
        <v>0</v>
      </c>
      <c r="AE29" s="46">
        <f>+D29+M29+V29</f>
        <v>3670733.3200000008</v>
      </c>
      <c r="AF29" s="46">
        <f t="shared" ref="AF29" si="33">+E29+N29+W29</f>
        <v>101001.07821428572</v>
      </c>
      <c r="AG29" s="46">
        <f t="shared" ref="AG29" si="34">+F29+O29+X29</f>
        <v>3188099.9092857148</v>
      </c>
      <c r="AH29" s="46">
        <f t="shared" ref="AH29" si="35">+G29+P29+Y29</f>
        <v>3289100.9874999993</v>
      </c>
      <c r="AI29" s="47">
        <f t="shared" ref="AI29" si="36">+H29+Q29+Z29</f>
        <v>381632.33250000002</v>
      </c>
    </row>
    <row r="30" spans="1:35">
      <c r="A30" s="18"/>
      <c r="B30" s="46"/>
      <c r="C30" s="46"/>
      <c r="D30" s="46"/>
      <c r="E30" s="46"/>
      <c r="F30" s="46"/>
      <c r="G30" s="46"/>
      <c r="H30" s="47"/>
      <c r="J30" s="18"/>
      <c r="K30" s="46"/>
      <c r="L30" s="46"/>
      <c r="M30" s="46"/>
      <c r="N30" s="46"/>
      <c r="O30" s="46"/>
      <c r="P30" s="46"/>
      <c r="Q30" s="47"/>
      <c r="S30" s="18"/>
      <c r="T30" s="46"/>
      <c r="U30" s="46"/>
      <c r="V30" s="46"/>
      <c r="W30" s="46"/>
      <c r="X30" s="46"/>
      <c r="Y30" s="46"/>
      <c r="Z30" s="47"/>
      <c r="AB30" s="18"/>
      <c r="AC30" s="46"/>
      <c r="AD30" s="46"/>
      <c r="AE30" s="46"/>
      <c r="AF30" s="46"/>
      <c r="AG30" s="46"/>
      <c r="AH30" s="46"/>
      <c r="AI30" s="47"/>
    </row>
    <row r="31" spans="1:35">
      <c r="A31" s="18" t="s">
        <v>270</v>
      </c>
      <c r="B31" s="46">
        <f>'Containers 2183'!K511</f>
        <v>1275690.42</v>
      </c>
      <c r="C31" s="46">
        <f>B31-D31</f>
        <v>0</v>
      </c>
      <c r="D31" s="46">
        <f>'Containers 2183'!L511</f>
        <v>1275690.42</v>
      </c>
      <c r="E31" s="46">
        <f>'Containers 2183'!O511</f>
        <v>76752.749285714293</v>
      </c>
      <c r="F31" s="46">
        <f>'Containers 2183'!P511</f>
        <v>931343.97857142868</v>
      </c>
      <c r="G31" s="46">
        <f>'Containers 2183'!Q511</f>
        <v>1008096.727857143</v>
      </c>
      <c r="H31" s="47">
        <f>'Containers 2183'!R511</f>
        <v>267593.69214285718</v>
      </c>
      <c r="J31" s="18" t="s">
        <v>270</v>
      </c>
      <c r="K31" s="46">
        <f>+'Depreciation Pivot 2021'!B26</f>
        <v>150372.06</v>
      </c>
      <c r="L31" s="46">
        <f>K31-M31</f>
        <v>0</v>
      </c>
      <c r="M31" s="46">
        <f>+K31</f>
        <v>150372.06</v>
      </c>
      <c r="N31" s="46">
        <f>+'Depreciation Pivot 2021'!C26</f>
        <v>21481.722857142857</v>
      </c>
      <c r="O31" s="46">
        <f>+'Depreciation Pivot 2021'!D26</f>
        <v>0</v>
      </c>
      <c r="P31" s="46">
        <f>+'Depreciation Pivot 2021'!E26</f>
        <v>21481.722857142857</v>
      </c>
      <c r="Q31" s="47">
        <f>+'Depreciation Pivot 2021'!F26</f>
        <v>128890.33714285714</v>
      </c>
      <c r="S31" s="18" t="s">
        <v>270</v>
      </c>
      <c r="T31" s="46">
        <v>0</v>
      </c>
      <c r="U31" s="46">
        <f>T31-V31</f>
        <v>0</v>
      </c>
      <c r="V31" s="46">
        <v>0</v>
      </c>
      <c r="W31" s="46">
        <v>0</v>
      </c>
      <c r="X31" s="46">
        <v>0</v>
      </c>
      <c r="Y31" s="46">
        <v>0</v>
      </c>
      <c r="Z31" s="47">
        <v>0</v>
      </c>
      <c r="AB31" s="18" t="s">
        <v>270</v>
      </c>
      <c r="AC31" s="46">
        <f>+B31+K31+T31</f>
        <v>1426062.48</v>
      </c>
      <c r="AD31" s="46">
        <f>AC31-AE31</f>
        <v>0</v>
      </c>
      <c r="AE31" s="46">
        <f>+D31+M31+V31</f>
        <v>1426062.48</v>
      </c>
      <c r="AF31" s="46">
        <f t="shared" ref="AF31" si="37">+E31+N31+W31</f>
        <v>98234.47214285715</v>
      </c>
      <c r="AG31" s="46">
        <f t="shared" ref="AG31" si="38">+F31+O31+X31</f>
        <v>931343.97857142868</v>
      </c>
      <c r="AH31" s="46">
        <f t="shared" ref="AH31" si="39">+G31+P31+Y31</f>
        <v>1029578.450714286</v>
      </c>
      <c r="AI31" s="47">
        <f t="shared" ref="AI31" si="40">+H31+Q31+Z31</f>
        <v>396484.02928571432</v>
      </c>
    </row>
    <row r="32" spans="1:35" s="140" customFormat="1">
      <c r="A32" s="18"/>
      <c r="B32" s="46"/>
      <c r="C32" s="46"/>
      <c r="D32" s="46"/>
      <c r="E32" s="46"/>
      <c r="F32" s="46"/>
      <c r="G32" s="46"/>
      <c r="H32" s="47"/>
      <c r="J32" s="18"/>
      <c r="K32" s="46"/>
      <c r="L32" s="46"/>
      <c r="M32" s="46"/>
      <c r="N32" s="46"/>
      <c r="O32" s="46"/>
      <c r="P32" s="46"/>
      <c r="Q32" s="47"/>
      <c r="S32" s="18"/>
      <c r="T32" s="46"/>
      <c r="U32" s="46"/>
      <c r="V32" s="46"/>
      <c r="W32" s="46"/>
      <c r="X32" s="46"/>
      <c r="Y32" s="46"/>
      <c r="Z32" s="47"/>
      <c r="AB32" s="18"/>
      <c r="AC32" s="46"/>
      <c r="AD32" s="46"/>
      <c r="AE32" s="46"/>
      <c r="AF32" s="46"/>
      <c r="AG32" s="46"/>
      <c r="AH32" s="46"/>
      <c r="AI32" s="47"/>
    </row>
    <row r="33" spans="1:35" s="140" customFormat="1">
      <c r="A33" s="45" t="s">
        <v>2330</v>
      </c>
      <c r="B33" s="46">
        <v>0</v>
      </c>
      <c r="C33" s="46">
        <f>B33-D33</f>
        <v>0</v>
      </c>
      <c r="D33" s="46">
        <v>0</v>
      </c>
      <c r="E33" s="46">
        <v>0</v>
      </c>
      <c r="F33" s="46">
        <v>0</v>
      </c>
      <c r="G33" s="46">
        <v>0</v>
      </c>
      <c r="H33" s="47">
        <v>0</v>
      </c>
      <c r="J33" s="45" t="s">
        <v>2330</v>
      </c>
      <c r="K33" s="46">
        <v>0</v>
      </c>
      <c r="L33" s="46">
        <f>K33-M33</f>
        <v>0</v>
      </c>
      <c r="M33" s="46">
        <v>0</v>
      </c>
      <c r="N33" s="46">
        <v>0</v>
      </c>
      <c r="O33" s="46">
        <v>0</v>
      </c>
      <c r="P33" s="46">
        <v>0</v>
      </c>
      <c r="Q33" s="47">
        <v>0</v>
      </c>
      <c r="S33" s="45" t="s">
        <v>2330</v>
      </c>
      <c r="T33" s="46">
        <f>+'2022 Bud Capital Input 2183'!M68</f>
        <v>555000</v>
      </c>
      <c r="U33" s="46">
        <f>T33-V33</f>
        <v>0</v>
      </c>
      <c r="V33" s="46">
        <f>+T33</f>
        <v>555000</v>
      </c>
      <c r="W33" s="46">
        <f>+'2022 Bud Capital Input 2183'!O68</f>
        <v>65294.117647058825</v>
      </c>
      <c r="X33" s="46">
        <v>0</v>
      </c>
      <c r="Y33" s="46">
        <f>+'2022 Bud Capital Input 2183'!P68</f>
        <v>65294.117647058825</v>
      </c>
      <c r="Z33" s="47">
        <f>+'2022 Bud Capital Input 2183'!Q68</f>
        <v>489705.8823529412</v>
      </c>
      <c r="AB33" s="45" t="s">
        <v>2330</v>
      </c>
      <c r="AC33" s="46">
        <f>+B33+K33+T33</f>
        <v>555000</v>
      </c>
      <c r="AD33" s="46">
        <f>AC33-AE33</f>
        <v>0</v>
      </c>
      <c r="AE33" s="46">
        <f>+D33+M33+V33</f>
        <v>555000</v>
      </c>
      <c r="AF33" s="46">
        <f t="shared" ref="AF33" si="41">+E33+N33+W33</f>
        <v>65294.117647058825</v>
      </c>
      <c r="AG33" s="46">
        <f t="shared" ref="AG33" si="42">+F33+O33+X33</f>
        <v>0</v>
      </c>
      <c r="AH33" s="46">
        <f t="shared" ref="AH33" si="43">+G33+P33+Y33</f>
        <v>65294.117647058825</v>
      </c>
      <c r="AI33" s="47">
        <f t="shared" ref="AI33" si="44">+H33+Q33+Z33</f>
        <v>489705.8823529412</v>
      </c>
    </row>
    <row r="34" spans="1:35">
      <c r="A34" s="18"/>
      <c r="B34" s="46"/>
      <c r="C34" s="46"/>
      <c r="D34" s="46"/>
      <c r="E34" s="46"/>
      <c r="F34" s="46"/>
      <c r="G34" s="46"/>
      <c r="H34" s="47"/>
      <c r="J34" s="18"/>
      <c r="K34" s="46"/>
      <c r="L34" s="46"/>
      <c r="M34" s="46"/>
      <c r="N34" s="46"/>
      <c r="O34" s="46"/>
      <c r="P34" s="46"/>
      <c r="Q34" s="47"/>
      <c r="S34" s="18"/>
      <c r="T34" s="46"/>
      <c r="U34" s="46"/>
      <c r="V34" s="46"/>
      <c r="W34" s="46"/>
      <c r="X34" s="46"/>
      <c r="Y34" s="46"/>
      <c r="Z34" s="47"/>
      <c r="AB34" s="18"/>
      <c r="AC34" s="46"/>
      <c r="AD34" s="46"/>
      <c r="AE34" s="46"/>
      <c r="AF34" s="46"/>
      <c r="AG34" s="46"/>
      <c r="AH34" s="46"/>
      <c r="AI34" s="47"/>
    </row>
    <row r="35" spans="1:35">
      <c r="A35" s="13" t="s">
        <v>273</v>
      </c>
      <c r="B35" s="48">
        <f t="shared" ref="B35:H35" si="45">SUM(B23:B34)</f>
        <v>11749237.209999997</v>
      </c>
      <c r="C35" s="48">
        <f t="shared" si="45"/>
        <v>0</v>
      </c>
      <c r="D35" s="48">
        <f t="shared" si="45"/>
        <v>11749237.209999997</v>
      </c>
      <c r="E35" s="48">
        <f t="shared" si="45"/>
        <v>491815.76250535774</v>
      </c>
      <c r="F35" s="48">
        <f t="shared" si="45"/>
        <v>9266312.7664500009</v>
      </c>
      <c r="G35" s="48">
        <f t="shared" si="45"/>
        <v>9758128.528955359</v>
      </c>
      <c r="H35" s="49">
        <f t="shared" si="45"/>
        <v>1991108.6810446403</v>
      </c>
      <c r="J35" s="13" t="s">
        <v>273</v>
      </c>
      <c r="K35" s="48">
        <f t="shared" ref="K35:Q35" si="46">SUM(K23:K34)</f>
        <v>640368.86</v>
      </c>
      <c r="L35" s="48">
        <f t="shared" si="46"/>
        <v>0</v>
      </c>
      <c r="M35" s="48">
        <f t="shared" si="46"/>
        <v>640368.86</v>
      </c>
      <c r="N35" s="48">
        <f t="shared" si="46"/>
        <v>84795.296666666662</v>
      </c>
      <c r="O35" s="48">
        <f t="shared" si="46"/>
        <v>0</v>
      </c>
      <c r="P35" s="48">
        <f t="shared" si="46"/>
        <v>84795.296666666662</v>
      </c>
      <c r="Q35" s="49">
        <f t="shared" si="46"/>
        <v>555573.56333333335</v>
      </c>
      <c r="S35" s="13" t="s">
        <v>273</v>
      </c>
      <c r="T35" s="48">
        <f t="shared" ref="T35:Z35" si="47">SUM(T23:T34)</f>
        <v>555000</v>
      </c>
      <c r="U35" s="48">
        <f t="shared" si="47"/>
        <v>0</v>
      </c>
      <c r="V35" s="48">
        <f t="shared" si="47"/>
        <v>555000</v>
      </c>
      <c r="W35" s="48">
        <f t="shared" si="47"/>
        <v>65294.117647058825</v>
      </c>
      <c r="X35" s="48">
        <f t="shared" si="47"/>
        <v>0</v>
      </c>
      <c r="Y35" s="48">
        <f t="shared" si="47"/>
        <v>65294.117647058825</v>
      </c>
      <c r="Z35" s="49">
        <f t="shared" si="47"/>
        <v>489705.8823529412</v>
      </c>
      <c r="AB35" s="13" t="s">
        <v>273</v>
      </c>
      <c r="AC35" s="48">
        <f t="shared" ref="AC35:AI35" si="48">SUM(AC23:AC34)</f>
        <v>12944606.069999998</v>
      </c>
      <c r="AD35" s="48">
        <f t="shared" si="48"/>
        <v>0</v>
      </c>
      <c r="AE35" s="48">
        <f t="shared" si="48"/>
        <v>12944606.069999998</v>
      </c>
      <c r="AF35" s="48">
        <f t="shared" si="48"/>
        <v>641905.17681908328</v>
      </c>
      <c r="AG35" s="48">
        <f t="shared" si="48"/>
        <v>9266312.7664500009</v>
      </c>
      <c r="AH35" s="48">
        <f t="shared" si="48"/>
        <v>9908217.9432690833</v>
      </c>
      <c r="AI35" s="49">
        <f t="shared" si="48"/>
        <v>3036388.1267309152</v>
      </c>
    </row>
    <row r="36" spans="1:35">
      <c r="A36" s="18"/>
      <c r="B36" s="46">
        <f>+B35-'Containers 2183'!K513</f>
        <v>0</v>
      </c>
      <c r="C36" s="46"/>
      <c r="D36" s="46"/>
      <c r="E36" s="46"/>
      <c r="F36" s="46"/>
      <c r="G36" s="46"/>
      <c r="H36" s="47"/>
      <c r="J36" s="18"/>
      <c r="K36" s="46"/>
      <c r="L36" s="46"/>
      <c r="M36" s="46"/>
      <c r="N36" s="46"/>
      <c r="O36" s="46"/>
      <c r="P36" s="46"/>
      <c r="Q36" s="47"/>
      <c r="S36" s="18"/>
      <c r="T36" s="46"/>
      <c r="U36" s="46"/>
      <c r="V36" s="46"/>
      <c r="W36" s="46"/>
      <c r="X36" s="46"/>
      <c r="Y36" s="46"/>
      <c r="Z36" s="47"/>
      <c r="AB36" s="18"/>
      <c r="AC36" s="46">
        <f>+T35+K35+B35-AC35</f>
        <v>0</v>
      </c>
      <c r="AD36" s="46"/>
      <c r="AE36" s="46"/>
      <c r="AF36" s="46"/>
      <c r="AG36" s="46"/>
      <c r="AH36" s="46"/>
      <c r="AI36" s="47"/>
    </row>
    <row r="37" spans="1:35">
      <c r="A37" s="18" t="s">
        <v>274</v>
      </c>
      <c r="B37" s="46">
        <f>'OTHER EQUIP 2183'!M126</f>
        <v>315370.82</v>
      </c>
      <c r="C37" s="46">
        <f>B37-D37</f>
        <v>0</v>
      </c>
      <c r="D37" s="46">
        <f>'OTHER EQUIP 2183'!N126</f>
        <v>315370.82</v>
      </c>
      <c r="E37" s="46">
        <f>'OTHER EQUIP 2183'!Q126</f>
        <v>41098.242200000001</v>
      </c>
      <c r="F37" s="46">
        <f>'OTHER EQUIP 2183'!R126</f>
        <v>157479.65981111114</v>
      </c>
      <c r="G37" s="46">
        <f>'OTHER EQUIP 2183'!S126</f>
        <v>198577.90201111109</v>
      </c>
      <c r="H37" s="47">
        <f>'OTHER EQUIP 2183'!T126</f>
        <v>116792.91798888889</v>
      </c>
      <c r="J37" s="18" t="s">
        <v>274</v>
      </c>
      <c r="K37" s="46">
        <f>+'Depreciation Pivot 2021'!B25</f>
        <v>14393.62</v>
      </c>
      <c r="L37" s="46">
        <f>K37-M37</f>
        <v>0</v>
      </c>
      <c r="M37" s="46">
        <f>+K37</f>
        <v>14393.62</v>
      </c>
      <c r="N37" s="46">
        <f>+'Depreciation Pivot 2021'!C25</f>
        <v>2820.5791563275429</v>
      </c>
      <c r="O37" s="46">
        <f>+'Depreciation Pivot 2021'!D25</f>
        <v>8007.73</v>
      </c>
      <c r="P37" s="46">
        <f>+'Depreciation Pivot 2021'!E25</f>
        <v>10828.309156327543</v>
      </c>
      <c r="Q37" s="47">
        <f>+'Depreciation Pivot 2021'!F25</f>
        <v>3565.3108436724569</v>
      </c>
      <c r="S37" s="18" t="s">
        <v>274</v>
      </c>
      <c r="T37" s="46">
        <v>0</v>
      </c>
      <c r="U37" s="46">
        <f>T37-V37</f>
        <v>0</v>
      </c>
      <c r="V37" s="46">
        <v>0</v>
      </c>
      <c r="W37" s="46">
        <v>0</v>
      </c>
      <c r="X37" s="46">
        <v>0</v>
      </c>
      <c r="Y37" s="46">
        <v>0</v>
      </c>
      <c r="Z37" s="47">
        <v>0</v>
      </c>
      <c r="AB37" s="18" t="s">
        <v>274</v>
      </c>
      <c r="AC37" s="46">
        <f>+B37+K37+T37</f>
        <v>329764.44</v>
      </c>
      <c r="AD37" s="46">
        <f>AC37-AE37</f>
        <v>0</v>
      </c>
      <c r="AE37" s="46">
        <f>+D37+M37+V37</f>
        <v>329764.44</v>
      </c>
      <c r="AF37" s="46">
        <f t="shared" ref="AF37" si="49">+E37+N37+W37</f>
        <v>43918.821356327542</v>
      </c>
      <c r="AG37" s="46">
        <f t="shared" ref="AG37" si="50">+F37+O37+X37</f>
        <v>165487.38981111115</v>
      </c>
      <c r="AH37" s="46">
        <f t="shared" ref="AH37" si="51">+G37+P37+Y37</f>
        <v>209406.21116743863</v>
      </c>
      <c r="AI37" s="47">
        <f t="shared" ref="AI37" si="52">+H37+Q37+Z37</f>
        <v>120358.22883256135</v>
      </c>
    </row>
    <row r="38" spans="1:35">
      <c r="A38" s="18"/>
      <c r="B38" s="46"/>
      <c r="C38" s="46"/>
      <c r="D38" s="46"/>
      <c r="E38" s="46"/>
      <c r="F38" s="46"/>
      <c r="G38" s="46"/>
      <c r="H38" s="47"/>
      <c r="J38" s="18"/>
      <c r="K38" s="46"/>
      <c r="L38" s="46"/>
      <c r="M38" s="46"/>
      <c r="N38" s="46"/>
      <c r="O38" s="46"/>
      <c r="P38" s="46"/>
      <c r="Q38" s="47"/>
      <c r="S38" s="18"/>
      <c r="T38" s="46"/>
      <c r="U38" s="46"/>
      <c r="V38" s="46"/>
      <c r="W38" s="46"/>
      <c r="X38" s="46"/>
      <c r="Y38" s="46"/>
      <c r="Z38" s="47"/>
      <c r="AB38" s="18"/>
      <c r="AC38" s="46"/>
      <c r="AD38" s="46"/>
      <c r="AE38" s="46"/>
      <c r="AF38" s="46"/>
      <c r="AG38" s="46"/>
      <c r="AH38" s="46"/>
      <c r="AI38" s="47"/>
    </row>
    <row r="39" spans="1:35">
      <c r="A39" s="18" t="s">
        <v>85</v>
      </c>
      <c r="B39" s="46">
        <f>'OTHER EQUIP 2183'!M104</f>
        <v>1607627.8700000006</v>
      </c>
      <c r="C39" s="46">
        <f>B39-D39</f>
        <v>0</v>
      </c>
      <c r="D39" s="46">
        <f>'OTHER EQUIP 2183'!N104</f>
        <v>1607627.8700000006</v>
      </c>
      <c r="E39" s="46">
        <f>'OTHER EQUIP 2183'!Q104</f>
        <v>16588.41482962963</v>
      </c>
      <c r="F39" s="46">
        <f>'OTHER EQUIP 2183'!R104</f>
        <v>1550865.2682925931</v>
      </c>
      <c r="G39" s="46">
        <f>'OTHER EQUIP 2183'!S104</f>
        <v>1567453.683122223</v>
      </c>
      <c r="H39" s="47">
        <f>'OTHER EQUIP 2183'!T104</f>
        <v>40174.186877777771</v>
      </c>
      <c r="J39" s="18" t="s">
        <v>85</v>
      </c>
      <c r="K39" s="46">
        <v>0</v>
      </c>
      <c r="L39" s="46">
        <f>K39-M39</f>
        <v>0</v>
      </c>
      <c r="M39" s="46">
        <v>0</v>
      </c>
      <c r="N39" s="46">
        <v>0</v>
      </c>
      <c r="O39" s="46">
        <v>0</v>
      </c>
      <c r="P39" s="46">
        <v>0</v>
      </c>
      <c r="Q39" s="47">
        <v>0</v>
      </c>
      <c r="S39" s="18" t="s">
        <v>85</v>
      </c>
      <c r="T39" s="46">
        <v>0</v>
      </c>
      <c r="U39" s="46">
        <f>T39-V39</f>
        <v>0</v>
      </c>
      <c r="V39" s="46">
        <v>0</v>
      </c>
      <c r="W39" s="46">
        <v>0</v>
      </c>
      <c r="X39" s="46">
        <v>0</v>
      </c>
      <c r="Y39" s="46">
        <v>0</v>
      </c>
      <c r="Z39" s="47">
        <v>0</v>
      </c>
      <c r="AB39" s="18" t="s">
        <v>85</v>
      </c>
      <c r="AC39" s="46">
        <f>+B39+K39+T39</f>
        <v>1607627.8700000006</v>
      </c>
      <c r="AD39" s="46">
        <f>AC39-AE39</f>
        <v>0</v>
      </c>
      <c r="AE39" s="46">
        <f>+D39+M39+V39</f>
        <v>1607627.8700000006</v>
      </c>
      <c r="AF39" s="46">
        <f t="shared" ref="AF39" si="53">+E39+N39+W39</f>
        <v>16588.41482962963</v>
      </c>
      <c r="AG39" s="46">
        <f t="shared" ref="AG39" si="54">+F39+O39+X39</f>
        <v>1550865.2682925931</v>
      </c>
      <c r="AH39" s="46">
        <f t="shared" ref="AH39" si="55">+G39+P39+Y39</f>
        <v>1567453.683122223</v>
      </c>
      <c r="AI39" s="47">
        <f t="shared" ref="AI39" si="56">+H39+Q39+Z39</f>
        <v>40174.186877777771</v>
      </c>
    </row>
    <row r="40" spans="1:35">
      <c r="A40" s="18"/>
      <c r="B40" s="46"/>
      <c r="C40" s="46"/>
      <c r="D40" s="46"/>
      <c r="E40" s="46"/>
      <c r="F40" s="46"/>
      <c r="G40" s="46"/>
      <c r="H40" s="47"/>
      <c r="J40" s="18"/>
      <c r="K40" s="46"/>
      <c r="L40" s="46"/>
      <c r="M40" s="46"/>
      <c r="N40" s="46"/>
      <c r="O40" s="46"/>
      <c r="P40" s="46"/>
      <c r="Q40" s="47"/>
      <c r="S40" s="18"/>
      <c r="T40" s="46"/>
      <c r="U40" s="46"/>
      <c r="V40" s="46"/>
      <c r="W40" s="46"/>
      <c r="X40" s="46"/>
      <c r="Y40" s="46"/>
      <c r="Z40" s="47"/>
      <c r="AB40" s="18"/>
      <c r="AC40" s="46"/>
      <c r="AD40" s="46"/>
      <c r="AE40" s="46"/>
      <c r="AF40" s="46"/>
      <c r="AG40" s="46"/>
      <c r="AH40" s="46"/>
      <c r="AI40" s="47"/>
    </row>
    <row r="41" spans="1:35">
      <c r="A41" s="18" t="s">
        <v>275</v>
      </c>
      <c r="B41" s="46">
        <f>'OTHER EQUIP 2183'!M154</f>
        <v>360647.39</v>
      </c>
      <c r="C41" s="46">
        <f>B41-D41</f>
        <v>0</v>
      </c>
      <c r="D41" s="46">
        <f>'OTHER EQUIP 2183'!N154</f>
        <v>360647.39</v>
      </c>
      <c r="E41" s="46">
        <f>'OTHER EQUIP 2183'!Q154</f>
        <v>1239.45</v>
      </c>
      <c r="F41" s="46">
        <f>'OTHER EQUIP 2183'!R154</f>
        <v>359110.08999999997</v>
      </c>
      <c r="G41" s="46">
        <f>'OTHER EQUIP 2183'!S154</f>
        <v>360349.54000000004</v>
      </c>
      <c r="H41" s="47">
        <f>'OTHER EQUIP 2183'!T154</f>
        <v>297.85000000000002</v>
      </c>
      <c r="J41" s="18" t="s">
        <v>275</v>
      </c>
      <c r="K41" s="46">
        <v>0</v>
      </c>
      <c r="L41" s="46">
        <f>K41-M41</f>
        <v>0</v>
      </c>
      <c r="M41" s="46">
        <v>0</v>
      </c>
      <c r="N41" s="46">
        <v>0</v>
      </c>
      <c r="O41" s="46">
        <v>0</v>
      </c>
      <c r="P41" s="46">
        <v>0</v>
      </c>
      <c r="Q41" s="47">
        <v>0</v>
      </c>
      <c r="S41" s="18" t="s">
        <v>275</v>
      </c>
      <c r="T41" s="46">
        <v>0</v>
      </c>
      <c r="U41" s="46">
        <f>T41-V41</f>
        <v>0</v>
      </c>
      <c r="V41" s="46">
        <v>0</v>
      </c>
      <c r="W41" s="46">
        <v>0</v>
      </c>
      <c r="X41" s="46">
        <v>0</v>
      </c>
      <c r="Y41" s="46">
        <v>0</v>
      </c>
      <c r="Z41" s="47">
        <v>0</v>
      </c>
      <c r="AB41" s="18" t="s">
        <v>275</v>
      </c>
      <c r="AC41" s="46">
        <f>+B41+K41+T41</f>
        <v>360647.39</v>
      </c>
      <c r="AD41" s="46">
        <f>AC41-AE41</f>
        <v>0</v>
      </c>
      <c r="AE41" s="46">
        <f>+D41+M41+V41</f>
        <v>360647.39</v>
      </c>
      <c r="AF41" s="46">
        <f t="shared" ref="AF41" si="57">+E41+N41+W41</f>
        <v>1239.45</v>
      </c>
      <c r="AG41" s="46">
        <f t="shared" ref="AG41" si="58">+F41+O41+X41</f>
        <v>359110.08999999997</v>
      </c>
      <c r="AH41" s="46">
        <f t="shared" ref="AH41" si="59">+G41+P41+Y41</f>
        <v>360349.54000000004</v>
      </c>
      <c r="AI41" s="47">
        <f t="shared" ref="AI41" si="60">+H41+Q41+Z41</f>
        <v>297.85000000000002</v>
      </c>
    </row>
    <row r="42" spans="1:35">
      <c r="A42" s="18"/>
      <c r="B42" s="46"/>
      <c r="C42" s="46"/>
      <c r="D42" s="46"/>
      <c r="E42" s="46"/>
      <c r="F42" s="46"/>
      <c r="G42" s="46"/>
      <c r="H42" s="47"/>
      <c r="J42" s="18"/>
      <c r="K42" s="46"/>
      <c r="L42" s="46"/>
      <c r="M42" s="46"/>
      <c r="N42" s="46"/>
      <c r="O42" s="46"/>
      <c r="P42" s="46"/>
      <c r="Q42" s="47"/>
      <c r="S42" s="18"/>
      <c r="T42" s="46"/>
      <c r="U42" s="46"/>
      <c r="V42" s="46"/>
      <c r="W42" s="46"/>
      <c r="X42" s="46"/>
      <c r="Y42" s="46"/>
      <c r="Z42" s="47"/>
      <c r="AB42" s="18"/>
      <c r="AC42" s="46"/>
      <c r="AD42" s="46"/>
      <c r="AE42" s="46"/>
      <c r="AF42" s="46"/>
      <c r="AG42" s="46"/>
      <c r="AH42" s="46"/>
      <c r="AI42" s="47"/>
    </row>
    <row r="43" spans="1:35">
      <c r="A43" s="18" t="s">
        <v>21</v>
      </c>
      <c r="B43" s="46">
        <f>'OTHER EQUIP 2183'!M50</f>
        <v>2660769.8699999996</v>
      </c>
      <c r="C43" s="46">
        <f>B43-D43</f>
        <v>0</v>
      </c>
      <c r="D43" s="46">
        <f>'OTHER EQUIP 2183'!N50</f>
        <v>2660769.8699999996</v>
      </c>
      <c r="E43" s="46">
        <f>'OTHER EQUIP 2183'!Q50</f>
        <v>4130.925153846154</v>
      </c>
      <c r="F43" s="46">
        <f>'OTHER EQUIP 2183'!R50</f>
        <v>2634301.6719230772</v>
      </c>
      <c r="G43" s="46">
        <f>'OTHER EQUIP 2183'!S50</f>
        <v>2638432.5970769227</v>
      </c>
      <c r="H43" s="47">
        <f>'OTHER EQUIP 2183'!T50</f>
        <v>22337.272923076918</v>
      </c>
      <c r="J43" s="18" t="s">
        <v>21</v>
      </c>
      <c r="K43" s="46">
        <v>0</v>
      </c>
      <c r="L43" s="46">
        <f>K43-M43</f>
        <v>0</v>
      </c>
      <c r="M43" s="46">
        <v>0</v>
      </c>
      <c r="N43" s="46">
        <v>0</v>
      </c>
      <c r="O43" s="46">
        <v>0</v>
      </c>
      <c r="P43" s="46">
        <v>0</v>
      </c>
      <c r="Q43" s="47">
        <v>0</v>
      </c>
      <c r="S43" s="18" t="s">
        <v>21</v>
      </c>
      <c r="T43" s="46">
        <v>0</v>
      </c>
      <c r="U43" s="46">
        <f>T43-V43</f>
        <v>0</v>
      </c>
      <c r="V43" s="46">
        <f>+T43</f>
        <v>0</v>
      </c>
      <c r="W43" s="46">
        <v>0</v>
      </c>
      <c r="X43" s="46">
        <v>0</v>
      </c>
      <c r="Y43" s="46">
        <v>0</v>
      </c>
      <c r="Z43" s="47">
        <v>0</v>
      </c>
      <c r="AB43" s="18" t="s">
        <v>21</v>
      </c>
      <c r="AC43" s="46">
        <f>+B43+K43+T43</f>
        <v>2660769.8699999996</v>
      </c>
      <c r="AD43" s="46">
        <f>AC43-AE43</f>
        <v>0</v>
      </c>
      <c r="AE43" s="46">
        <f>+D43+M43+V43</f>
        <v>2660769.8699999996</v>
      </c>
      <c r="AF43" s="46">
        <f t="shared" ref="AF43" si="61">+E43+N43+W43</f>
        <v>4130.925153846154</v>
      </c>
      <c r="AG43" s="46">
        <f t="shared" ref="AG43" si="62">+F43+O43+X43</f>
        <v>2634301.6719230772</v>
      </c>
      <c r="AH43" s="46">
        <f t="shared" ref="AH43" si="63">+G43+P43+Y43</f>
        <v>2638432.5970769227</v>
      </c>
      <c r="AI43" s="47">
        <f t="shared" ref="AI43" si="64">+H43+Q43+Z43</f>
        <v>22337.272923076918</v>
      </c>
    </row>
    <row r="44" spans="1:35">
      <c r="A44" s="18"/>
      <c r="B44" s="46"/>
      <c r="C44" s="46"/>
      <c r="D44" s="46"/>
      <c r="E44" s="46"/>
      <c r="F44" s="46"/>
      <c r="G44" s="46"/>
      <c r="H44" s="47"/>
      <c r="J44" s="18"/>
      <c r="K44" s="46"/>
      <c r="L44" s="46"/>
      <c r="M44" s="46"/>
      <c r="N44" s="46"/>
      <c r="O44" s="46"/>
      <c r="P44" s="46"/>
      <c r="Q44" s="47"/>
      <c r="S44" s="18"/>
      <c r="T44" s="46"/>
      <c r="U44" s="46"/>
      <c r="V44" s="46"/>
      <c r="W44" s="46"/>
      <c r="X44" s="46"/>
      <c r="Y44" s="46"/>
      <c r="Z44" s="47"/>
      <c r="AB44" s="18"/>
      <c r="AC44" s="46"/>
      <c r="AD44" s="46"/>
      <c r="AE44" s="46"/>
      <c r="AF44" s="46"/>
      <c r="AG44" s="46"/>
      <c r="AH44" s="46"/>
      <c r="AI44" s="47"/>
    </row>
    <row r="45" spans="1:35">
      <c r="A45" s="45" t="s">
        <v>919</v>
      </c>
      <c r="B45" s="46">
        <f>'OTHER EQUIP 2183'!M15</f>
        <v>157653.60999999999</v>
      </c>
      <c r="C45" s="46">
        <f>B45-D45</f>
        <v>0</v>
      </c>
      <c r="D45" s="46">
        <f>'OTHER EQUIP 2183'!N15</f>
        <v>157653.60999999999</v>
      </c>
      <c r="E45" s="46">
        <f>'OTHER EQUIP 2183'!Q15</f>
        <v>4042.4002564102566</v>
      </c>
      <c r="F45" s="46">
        <f>'OTHER EQUIP 2183'!R15</f>
        <v>84890.405384615384</v>
      </c>
      <c r="G45" s="46">
        <f>'OTHER EQUIP 2183'!S15</f>
        <v>88932.805641025639</v>
      </c>
      <c r="H45" s="47">
        <f>'OTHER EQUIP 2183'!T15</f>
        <v>68720.804358974347</v>
      </c>
      <c r="J45" s="45" t="s">
        <v>919</v>
      </c>
      <c r="K45" s="46">
        <f>+'Depreciation Pivot 2021'!B17</f>
        <v>4317680.29</v>
      </c>
      <c r="L45" s="46">
        <f>K45-M45</f>
        <v>0</v>
      </c>
      <c r="M45" s="46">
        <f>+K45</f>
        <v>4317680.29</v>
      </c>
      <c r="N45" s="46">
        <f>+'Depreciation Pivot 2021'!C17</f>
        <v>234439.96016666666</v>
      </c>
      <c r="O45" s="46">
        <f>+'Depreciation Pivot 2021'!D17</f>
        <v>0</v>
      </c>
      <c r="P45" s="46">
        <f>+'Depreciation Pivot 2021'!E17</f>
        <v>234439.96016666666</v>
      </c>
      <c r="Q45" s="47">
        <f>+'Depreciation Pivot 2021'!F17</f>
        <v>4083240.3298333334</v>
      </c>
      <c r="S45" s="45" t="s">
        <v>919</v>
      </c>
      <c r="T45" s="46">
        <f>+'2022 Bud Capital Input 2183'!M69</f>
        <v>3900</v>
      </c>
      <c r="U45" s="46">
        <f>T45-V45</f>
        <v>0</v>
      </c>
      <c r="V45" s="46">
        <f>+T45</f>
        <v>3900</v>
      </c>
      <c r="W45" s="46">
        <f>+'2022 Bud Capital Input 2183'!O69</f>
        <v>390</v>
      </c>
      <c r="X45" s="46">
        <v>0</v>
      </c>
      <c r="Y45" s="46">
        <f>+'2022 Bud Capital Input 2183'!P69</f>
        <v>390</v>
      </c>
      <c r="Z45" s="47">
        <f>+'2022 Bud Capital Input 2183'!Q69</f>
        <v>3510</v>
      </c>
      <c r="AB45" s="45" t="s">
        <v>919</v>
      </c>
      <c r="AC45" s="46">
        <f>+B45+K45+T45</f>
        <v>4479233.9000000004</v>
      </c>
      <c r="AD45" s="46">
        <f>AC45-AE45</f>
        <v>0</v>
      </c>
      <c r="AE45" s="46">
        <f>+D45+M45+V45</f>
        <v>4479233.9000000004</v>
      </c>
      <c r="AF45" s="46">
        <f t="shared" ref="AF45" si="65">+E45+N45+W45</f>
        <v>238872.36042307693</v>
      </c>
      <c r="AG45" s="46">
        <f t="shared" ref="AG45" si="66">+F45+O45+X45</f>
        <v>84890.405384615384</v>
      </c>
      <c r="AH45" s="46">
        <f t="shared" ref="AH45" si="67">+G45+P45+Y45</f>
        <v>323762.76580769231</v>
      </c>
      <c r="AI45" s="47">
        <f t="shared" ref="AI45" si="68">+H45+Q45+Z45</f>
        <v>4155471.1341923079</v>
      </c>
    </row>
    <row r="46" spans="1:35">
      <c r="A46" s="18"/>
      <c r="B46" s="46"/>
      <c r="C46" s="46"/>
      <c r="D46" s="46"/>
      <c r="E46" s="46"/>
      <c r="F46" s="46"/>
      <c r="G46" s="46"/>
      <c r="H46" s="47"/>
      <c r="J46" s="18"/>
      <c r="K46" s="46"/>
      <c r="L46" s="46"/>
      <c r="M46" s="46"/>
      <c r="N46" s="46"/>
      <c r="O46" s="46"/>
      <c r="P46" s="46"/>
      <c r="Q46" s="47"/>
      <c r="S46" s="18"/>
      <c r="T46" s="46"/>
      <c r="U46" s="46"/>
      <c r="V46" s="46"/>
      <c r="W46" s="46"/>
      <c r="X46" s="46"/>
      <c r="Y46" s="46"/>
      <c r="Z46" s="47"/>
      <c r="AB46" s="18"/>
      <c r="AC46" s="46"/>
      <c r="AD46" s="46"/>
      <c r="AE46" s="46"/>
      <c r="AF46" s="46"/>
      <c r="AG46" s="46"/>
      <c r="AH46" s="46"/>
      <c r="AI46" s="47"/>
    </row>
    <row r="47" spans="1:35" s="140" customFormat="1">
      <c r="A47" s="45" t="s">
        <v>915</v>
      </c>
      <c r="B47" s="46">
        <f>'OTHER EQUIP 2183'!M25</f>
        <v>839517.31</v>
      </c>
      <c r="C47" s="46">
        <f>B47-D47</f>
        <v>0</v>
      </c>
      <c r="D47" s="46">
        <f>'OTHER EQUIP 2183'!N25</f>
        <v>839517.31</v>
      </c>
      <c r="E47" s="46">
        <f>'OTHER EQUIP 2183'!Q25</f>
        <v>21539.982307692309</v>
      </c>
      <c r="F47" s="46">
        <f>'OTHER EQUIP 2183'!R25</f>
        <v>441596.31692307693</v>
      </c>
      <c r="G47" s="46">
        <f>'OTHER EQUIP 2183'!S25</f>
        <v>463136.29923076928</v>
      </c>
      <c r="H47" s="47">
        <f>'OTHER EQUIP 2183'!T25</f>
        <v>376381.01076923072</v>
      </c>
      <c r="J47" s="45" t="s">
        <v>915</v>
      </c>
      <c r="K47" s="46">
        <v>0</v>
      </c>
      <c r="L47" s="46">
        <f>K47-M47</f>
        <v>0</v>
      </c>
      <c r="M47" s="46">
        <v>0</v>
      </c>
      <c r="N47" s="46">
        <v>0</v>
      </c>
      <c r="O47" s="46">
        <v>0</v>
      </c>
      <c r="P47" s="46">
        <v>0</v>
      </c>
      <c r="Q47" s="47">
        <v>0</v>
      </c>
      <c r="S47" s="45" t="s">
        <v>915</v>
      </c>
      <c r="T47" s="46">
        <v>0</v>
      </c>
      <c r="U47" s="46">
        <f>T47-V47</f>
        <v>0</v>
      </c>
      <c r="V47" s="46">
        <v>0</v>
      </c>
      <c r="W47" s="46">
        <v>0</v>
      </c>
      <c r="X47" s="46">
        <v>0</v>
      </c>
      <c r="Y47" s="46">
        <v>0</v>
      </c>
      <c r="Z47" s="47">
        <v>0</v>
      </c>
      <c r="AB47" s="45" t="s">
        <v>915</v>
      </c>
      <c r="AC47" s="46">
        <f>+B47+K47+T47</f>
        <v>839517.31</v>
      </c>
      <c r="AD47" s="46">
        <f>AC47-AE47</f>
        <v>0</v>
      </c>
      <c r="AE47" s="46">
        <f>+D47+M47+V47</f>
        <v>839517.31</v>
      </c>
      <c r="AF47" s="46">
        <f t="shared" ref="AF47" si="69">+E47+N47+W47</f>
        <v>21539.982307692309</v>
      </c>
      <c r="AG47" s="46">
        <f t="shared" ref="AG47" si="70">+F47+O47+X47</f>
        <v>441596.31692307693</v>
      </c>
      <c r="AH47" s="46">
        <f t="shared" ref="AH47" si="71">+G47+P47+Y47</f>
        <v>463136.29923076928</v>
      </c>
      <c r="AI47" s="47">
        <f t="shared" ref="AI47" si="72">+H47+Q47+Z47</f>
        <v>376381.01076923072</v>
      </c>
    </row>
    <row r="48" spans="1:35" s="140" customFormat="1">
      <c r="A48" s="18"/>
      <c r="B48" s="46"/>
      <c r="C48" s="46"/>
      <c r="D48" s="46"/>
      <c r="E48" s="46"/>
      <c r="F48" s="46"/>
      <c r="G48" s="46"/>
      <c r="H48" s="47"/>
      <c r="J48" s="18"/>
      <c r="K48" s="46"/>
      <c r="L48" s="46"/>
      <c r="M48" s="46"/>
      <c r="N48" s="46"/>
      <c r="O48" s="46"/>
      <c r="P48" s="46"/>
      <c r="Q48" s="47"/>
      <c r="S48" s="18"/>
      <c r="T48" s="46"/>
      <c r="U48" s="46"/>
      <c r="V48" s="46"/>
      <c r="W48" s="46"/>
      <c r="X48" s="46"/>
      <c r="Y48" s="46"/>
      <c r="Z48" s="47"/>
      <c r="AB48" s="18"/>
      <c r="AC48" s="46"/>
      <c r="AD48" s="46"/>
      <c r="AE48" s="46"/>
      <c r="AF48" s="46"/>
      <c r="AG48" s="46"/>
      <c r="AH48" s="46"/>
      <c r="AI48" s="47"/>
    </row>
    <row r="49" spans="1:35" s="44" customFormat="1">
      <c r="A49" s="45" t="s">
        <v>804</v>
      </c>
      <c r="B49" s="46">
        <f>+'OTHER EQUIP 2183'!M160</f>
        <v>1282967.4099999999</v>
      </c>
      <c r="C49" s="46">
        <f>B49-D49</f>
        <v>0</v>
      </c>
      <c r="D49" s="46">
        <f>+'OTHER EQUIP 2183'!N160</f>
        <v>1282967.4099999999</v>
      </c>
      <c r="E49" s="46">
        <f>+'OTHER EQUIP 2183'!Q160</f>
        <v>32770.025384615386</v>
      </c>
      <c r="F49" s="46">
        <f>+'OTHER EQUIP 2183'!R160</f>
        <v>693106.95307692315</v>
      </c>
      <c r="G49" s="46">
        <f>+'OTHER EQUIP 2183'!S160</f>
        <v>725876.97846153856</v>
      </c>
      <c r="H49" s="47">
        <f>+'OTHER EQUIP 2183'!T160</f>
        <v>557090.43153846147</v>
      </c>
      <c r="J49" s="45" t="s">
        <v>804</v>
      </c>
      <c r="K49" s="46">
        <v>0</v>
      </c>
      <c r="L49" s="46">
        <f>K49-M49</f>
        <v>0</v>
      </c>
      <c r="M49" s="46">
        <v>0</v>
      </c>
      <c r="N49" s="46">
        <v>0</v>
      </c>
      <c r="O49" s="46">
        <v>0</v>
      </c>
      <c r="P49" s="46">
        <v>0</v>
      </c>
      <c r="Q49" s="47">
        <v>0</v>
      </c>
      <c r="S49" s="45" t="s">
        <v>804</v>
      </c>
      <c r="T49" s="46">
        <v>0</v>
      </c>
      <c r="U49" s="46">
        <f>T49-V49</f>
        <v>0</v>
      </c>
      <c r="V49" s="46">
        <v>0</v>
      </c>
      <c r="W49" s="46">
        <v>0</v>
      </c>
      <c r="X49" s="46">
        <v>0</v>
      </c>
      <c r="Y49" s="46">
        <v>0</v>
      </c>
      <c r="Z49" s="47">
        <v>0</v>
      </c>
      <c r="AB49" s="45" t="s">
        <v>804</v>
      </c>
      <c r="AC49" s="46">
        <f>+B49+K49+T49</f>
        <v>1282967.4099999999</v>
      </c>
      <c r="AD49" s="46">
        <f>AC49-AE49</f>
        <v>0</v>
      </c>
      <c r="AE49" s="46">
        <f>+D49+M49+V49</f>
        <v>1282967.4099999999</v>
      </c>
      <c r="AF49" s="46">
        <f t="shared" ref="AF49" si="73">+E49+N49+W49</f>
        <v>32770.025384615386</v>
      </c>
      <c r="AG49" s="46">
        <f t="shared" ref="AG49" si="74">+F49+O49+X49</f>
        <v>693106.95307692315</v>
      </c>
      <c r="AH49" s="46">
        <f t="shared" ref="AH49" si="75">+G49+P49+Y49</f>
        <v>725876.97846153856</v>
      </c>
      <c r="AI49" s="47">
        <f t="shared" ref="AI49" si="76">+H49+Q49+Z49</f>
        <v>557090.43153846147</v>
      </c>
    </row>
    <row r="50" spans="1:35" s="141" customFormat="1">
      <c r="A50" s="45"/>
      <c r="B50" s="46"/>
      <c r="C50" s="46"/>
      <c r="D50" s="46"/>
      <c r="E50" s="46"/>
      <c r="F50" s="46"/>
      <c r="G50" s="46"/>
      <c r="H50" s="47"/>
      <c r="J50" s="45"/>
      <c r="K50" s="46"/>
      <c r="L50" s="46"/>
      <c r="M50" s="46"/>
      <c r="N50" s="46"/>
      <c r="O50" s="46"/>
      <c r="P50" s="46"/>
      <c r="Q50" s="47"/>
      <c r="S50" s="45"/>
      <c r="T50" s="46"/>
      <c r="U50" s="46"/>
      <c r="V50" s="46"/>
      <c r="W50" s="46"/>
      <c r="X50" s="46"/>
      <c r="Y50" s="46"/>
      <c r="Z50" s="47"/>
      <c r="AB50" s="45"/>
      <c r="AC50" s="46"/>
      <c r="AD50" s="46"/>
      <c r="AE50" s="46"/>
      <c r="AF50" s="46"/>
      <c r="AG50" s="46"/>
      <c r="AH50" s="46"/>
      <c r="AI50" s="47"/>
    </row>
    <row r="51" spans="1:35" s="141" customFormat="1">
      <c r="A51" s="45" t="s">
        <v>2344</v>
      </c>
      <c r="B51" s="46">
        <v>0</v>
      </c>
      <c r="C51" s="46">
        <f>B51-D51</f>
        <v>0</v>
      </c>
      <c r="D51" s="46">
        <v>0</v>
      </c>
      <c r="E51" s="46">
        <v>0</v>
      </c>
      <c r="F51" s="46">
        <v>0</v>
      </c>
      <c r="G51" s="46">
        <v>0</v>
      </c>
      <c r="H51" s="47">
        <v>0</v>
      </c>
      <c r="J51" s="45" t="s">
        <v>2344</v>
      </c>
      <c r="K51" s="46">
        <v>0</v>
      </c>
      <c r="L51" s="46">
        <f>K51-M51</f>
        <v>0</v>
      </c>
      <c r="M51" s="46">
        <v>0</v>
      </c>
      <c r="N51" s="46">
        <v>0</v>
      </c>
      <c r="O51" s="46">
        <v>0</v>
      </c>
      <c r="P51" s="46">
        <v>0</v>
      </c>
      <c r="Q51" s="47">
        <v>0</v>
      </c>
      <c r="S51" s="45" t="s">
        <v>2344</v>
      </c>
      <c r="T51" s="46">
        <f>+'2022 Bud Capital Input 2183'!M70+'2022 Bud Capital Input 2183'!M71</f>
        <v>1106231</v>
      </c>
      <c r="U51" s="46">
        <f>T51-V51</f>
        <v>0</v>
      </c>
      <c r="V51" s="46">
        <f>+T51</f>
        <v>1106231</v>
      </c>
      <c r="W51" s="46">
        <f>+'2022 Bud Capital Input 2183'!O70+'2022 Bud Capital Input 2183'!O71</f>
        <v>108215.91666666667</v>
      </c>
      <c r="X51" s="46">
        <v>0</v>
      </c>
      <c r="Y51" s="46">
        <f>+'2022 Bud Capital Input 2183'!P70+'2022 Bud Capital Input 2183'!P71</f>
        <v>108215.91666666667</v>
      </c>
      <c r="Z51" s="47">
        <f>+'2022 Bud Capital Input 2183'!Q70+'2022 Bud Capital Input 2183'!Q71</f>
        <v>998015.08333333337</v>
      </c>
      <c r="AB51" s="45" t="s">
        <v>2344</v>
      </c>
      <c r="AC51" s="46">
        <f>+B51+K51+T51</f>
        <v>1106231</v>
      </c>
      <c r="AD51" s="46">
        <f>AC51-AE51</f>
        <v>0</v>
      </c>
      <c r="AE51" s="46">
        <f>+D51+M51+V51</f>
        <v>1106231</v>
      </c>
      <c r="AF51" s="46">
        <f t="shared" ref="AF51" si="77">+E51+N51+W51</f>
        <v>108215.91666666667</v>
      </c>
      <c r="AG51" s="46">
        <f t="shared" ref="AG51" si="78">+F51+O51+X51</f>
        <v>0</v>
      </c>
      <c r="AH51" s="46">
        <f t="shared" ref="AH51" si="79">+G51+P51+Y51</f>
        <v>108215.91666666667</v>
      </c>
      <c r="AI51" s="47">
        <f t="shared" ref="AI51" si="80">+H51+Q51+Z51</f>
        <v>998015.08333333337</v>
      </c>
    </row>
    <row r="52" spans="1:35">
      <c r="A52" s="18"/>
      <c r="B52" s="46"/>
      <c r="C52" s="46"/>
      <c r="D52" s="46"/>
      <c r="E52" s="46"/>
      <c r="F52" s="46"/>
      <c r="G52" s="46"/>
      <c r="H52" s="47"/>
      <c r="J52" s="18"/>
      <c r="K52" s="46"/>
      <c r="L52" s="46"/>
      <c r="M52" s="46"/>
      <c r="N52" s="46"/>
      <c r="O52" s="46"/>
      <c r="P52" s="46"/>
      <c r="Q52" s="47"/>
      <c r="S52" s="18"/>
      <c r="T52" s="46"/>
      <c r="U52" s="46"/>
      <c r="V52" s="46"/>
      <c r="W52" s="46"/>
      <c r="X52" s="46"/>
      <c r="Y52" s="46"/>
      <c r="Z52" s="47"/>
      <c r="AB52" s="18"/>
      <c r="AC52" s="46"/>
      <c r="AD52" s="46"/>
      <c r="AE52" s="46"/>
      <c r="AF52" s="46"/>
      <c r="AG52" s="46"/>
      <c r="AH52" s="46"/>
      <c r="AI52" s="47"/>
    </row>
    <row r="53" spans="1:35">
      <c r="A53" s="18" t="s">
        <v>24</v>
      </c>
      <c r="B53" s="46">
        <v>1474904.23</v>
      </c>
      <c r="C53" s="46">
        <f>B53-D53</f>
        <v>0</v>
      </c>
      <c r="D53" s="46">
        <f>B53</f>
        <v>1474904.23</v>
      </c>
      <c r="E53" s="46">
        <v>0</v>
      </c>
      <c r="F53" s="46">
        <v>0</v>
      </c>
      <c r="G53" s="46">
        <v>0</v>
      </c>
      <c r="H53" s="47">
        <f>B53</f>
        <v>1474904.23</v>
      </c>
      <c r="J53" s="18" t="s">
        <v>24</v>
      </c>
      <c r="K53" s="46">
        <v>0</v>
      </c>
      <c r="L53" s="46">
        <f>K53-M53</f>
        <v>0</v>
      </c>
      <c r="M53" s="46">
        <v>0</v>
      </c>
      <c r="N53" s="46">
        <v>0</v>
      </c>
      <c r="O53" s="46">
        <v>0</v>
      </c>
      <c r="P53" s="46">
        <v>0</v>
      </c>
      <c r="Q53" s="47">
        <v>0</v>
      </c>
      <c r="S53" s="18" t="s">
        <v>24</v>
      </c>
      <c r="T53" s="46">
        <v>0</v>
      </c>
      <c r="U53" s="46">
        <f>T53-V53</f>
        <v>0</v>
      </c>
      <c r="V53" s="46">
        <v>0</v>
      </c>
      <c r="W53" s="46">
        <v>0</v>
      </c>
      <c r="X53" s="46">
        <v>0</v>
      </c>
      <c r="Y53" s="46">
        <v>0</v>
      </c>
      <c r="Z53" s="47">
        <v>0</v>
      </c>
      <c r="AB53" s="18" t="s">
        <v>24</v>
      </c>
      <c r="AC53" s="46">
        <f>+B53+K53+T53</f>
        <v>1474904.23</v>
      </c>
      <c r="AD53" s="46">
        <f>AC53-AE53</f>
        <v>0</v>
      </c>
      <c r="AE53" s="46">
        <f>+D53+M53+V53</f>
        <v>1474904.23</v>
      </c>
      <c r="AF53" s="46">
        <f t="shared" ref="AF53" si="81">+E53+N53+W53</f>
        <v>0</v>
      </c>
      <c r="AG53" s="46">
        <f t="shared" ref="AG53" si="82">+F53+O53+X53</f>
        <v>0</v>
      </c>
      <c r="AH53" s="46">
        <f t="shared" ref="AH53" si="83">+G53+P53+Y53</f>
        <v>0</v>
      </c>
      <c r="AI53" s="47">
        <f t="shared" ref="AI53" si="84">+H53+Q53+Z53</f>
        <v>1474904.23</v>
      </c>
    </row>
    <row r="54" spans="1:35">
      <c r="A54" s="18"/>
      <c r="B54" s="46"/>
      <c r="C54" s="46"/>
      <c r="D54" s="46"/>
      <c r="E54" s="46"/>
      <c r="F54" s="46"/>
      <c r="G54" s="46"/>
      <c r="H54" s="47"/>
      <c r="J54" s="18"/>
      <c r="K54" s="46"/>
      <c r="L54" s="46"/>
      <c r="M54" s="46"/>
      <c r="N54" s="46"/>
      <c r="O54" s="46"/>
      <c r="P54" s="46"/>
      <c r="Q54" s="47"/>
      <c r="S54" s="18"/>
      <c r="T54" s="46"/>
      <c r="U54" s="46"/>
      <c r="V54" s="46"/>
      <c r="W54" s="46"/>
      <c r="X54" s="46"/>
      <c r="Y54" s="46"/>
      <c r="Z54" s="47"/>
      <c r="AB54" s="18"/>
      <c r="AC54" s="46"/>
      <c r="AD54" s="46"/>
      <c r="AE54" s="46"/>
      <c r="AF54" s="46"/>
      <c r="AG54" s="46"/>
      <c r="AH54" s="46"/>
      <c r="AI54" s="47"/>
    </row>
    <row r="55" spans="1:35">
      <c r="A55" s="13" t="s">
        <v>382</v>
      </c>
      <c r="B55" s="48">
        <f t="shared" ref="B55:H55" si="85">SUM(B37:B54)</f>
        <v>8699458.5100000016</v>
      </c>
      <c r="C55" s="48">
        <f t="shared" si="85"/>
        <v>0</v>
      </c>
      <c r="D55" s="48">
        <f t="shared" si="85"/>
        <v>8699458.5100000016</v>
      </c>
      <c r="E55" s="48">
        <f t="shared" si="85"/>
        <v>121409.44013219373</v>
      </c>
      <c r="F55" s="48">
        <f t="shared" si="85"/>
        <v>5921350.3654113971</v>
      </c>
      <c r="G55" s="48">
        <f t="shared" si="85"/>
        <v>6042759.8055435894</v>
      </c>
      <c r="H55" s="342">
        <f t="shared" si="85"/>
        <v>2656698.7044564104</v>
      </c>
      <c r="J55" s="13" t="s">
        <v>382</v>
      </c>
      <c r="K55" s="48">
        <f t="shared" ref="K55:Q55" si="86">SUM(K37:K54)</f>
        <v>4332073.91</v>
      </c>
      <c r="L55" s="48">
        <f t="shared" si="86"/>
        <v>0</v>
      </c>
      <c r="M55" s="48">
        <f t="shared" si="86"/>
        <v>4332073.91</v>
      </c>
      <c r="N55" s="48">
        <f t="shared" si="86"/>
        <v>237260.53932299421</v>
      </c>
      <c r="O55" s="48">
        <f t="shared" si="86"/>
        <v>8007.73</v>
      </c>
      <c r="P55" s="48">
        <f t="shared" si="86"/>
        <v>245268.26932299419</v>
      </c>
      <c r="Q55" s="342">
        <f t="shared" si="86"/>
        <v>4086805.640677006</v>
      </c>
      <c r="S55" s="13" t="s">
        <v>382</v>
      </c>
      <c r="T55" s="48">
        <f t="shared" ref="T55:Z55" si="87">SUM(T37:T54)</f>
        <v>1110131</v>
      </c>
      <c r="U55" s="48">
        <f t="shared" si="87"/>
        <v>0</v>
      </c>
      <c r="V55" s="48">
        <f t="shared" si="87"/>
        <v>1110131</v>
      </c>
      <c r="W55" s="48">
        <f t="shared" si="87"/>
        <v>108605.91666666667</v>
      </c>
      <c r="X55" s="48">
        <f t="shared" si="87"/>
        <v>0</v>
      </c>
      <c r="Y55" s="48">
        <f t="shared" si="87"/>
        <v>108605.91666666667</v>
      </c>
      <c r="Z55" s="342">
        <f t="shared" si="87"/>
        <v>1001525.0833333334</v>
      </c>
      <c r="AB55" s="13" t="s">
        <v>382</v>
      </c>
      <c r="AC55" s="48">
        <f t="shared" ref="AC55:AI55" si="88">SUM(AC37:AC54)</f>
        <v>14141663.420000002</v>
      </c>
      <c r="AD55" s="48">
        <f t="shared" si="88"/>
        <v>0</v>
      </c>
      <c r="AE55" s="48">
        <f t="shared" si="88"/>
        <v>14141663.420000002</v>
      </c>
      <c r="AF55" s="48">
        <f t="shared" si="88"/>
        <v>467275.8961218546</v>
      </c>
      <c r="AG55" s="48">
        <f t="shared" si="88"/>
        <v>5929358.0954113966</v>
      </c>
      <c r="AH55" s="48">
        <f t="shared" si="88"/>
        <v>6396633.9915332515</v>
      </c>
      <c r="AI55" s="342">
        <f t="shared" si="88"/>
        <v>7745029.4284667484</v>
      </c>
    </row>
    <row r="56" spans="1:35">
      <c r="A56" s="18"/>
      <c r="B56" s="46"/>
      <c r="C56" s="46"/>
      <c r="D56" s="46"/>
      <c r="E56" s="46"/>
      <c r="F56" s="46"/>
      <c r="G56" s="46"/>
      <c r="H56" s="47"/>
      <c r="J56" s="18"/>
      <c r="K56" s="46"/>
      <c r="L56" s="46"/>
      <c r="M56" s="46"/>
      <c r="N56" s="46"/>
      <c r="O56" s="46"/>
      <c r="P56" s="46"/>
      <c r="Q56" s="47"/>
      <c r="S56" s="18"/>
      <c r="T56" s="46"/>
      <c r="U56" s="46"/>
      <c r="V56" s="46"/>
      <c r="W56" s="46"/>
      <c r="X56" s="46"/>
      <c r="Y56" s="46"/>
      <c r="Z56" s="47"/>
      <c r="AB56" s="18"/>
      <c r="AC56" s="46"/>
      <c r="AD56" s="46"/>
      <c r="AE56" s="46"/>
      <c r="AF56" s="46"/>
      <c r="AG56" s="46"/>
      <c r="AH56" s="46"/>
      <c r="AI56" s="47"/>
    </row>
    <row r="57" spans="1:35" ht="13.5" thickBot="1">
      <c r="A57" s="13" t="s">
        <v>276</v>
      </c>
      <c r="B57" s="32">
        <f t="shared" ref="B57:H57" si="89">B20+B35+B55</f>
        <v>39452063.160599992</v>
      </c>
      <c r="C57" s="32">
        <f t="shared" si="89"/>
        <v>0</v>
      </c>
      <c r="D57" s="32">
        <f t="shared" si="89"/>
        <v>39452063.160599992</v>
      </c>
      <c r="E57" s="32">
        <f t="shared" si="89"/>
        <v>2102802.1816671812</v>
      </c>
      <c r="F57" s="32">
        <f t="shared" si="89"/>
        <v>24981629.060583618</v>
      </c>
      <c r="G57" s="32">
        <f t="shared" si="89"/>
        <v>27084431.242250804</v>
      </c>
      <c r="H57" s="50">
        <f t="shared" si="89"/>
        <v>12103005.86011957</v>
      </c>
      <c r="J57" s="13" t="s">
        <v>276</v>
      </c>
      <c r="K57" s="32">
        <f t="shared" ref="K57:Q57" si="90">K20+K35+K55</f>
        <v>6088193.1799999997</v>
      </c>
      <c r="L57" s="32">
        <f t="shared" si="90"/>
        <v>0</v>
      </c>
      <c r="M57" s="32">
        <f t="shared" si="90"/>
        <v>6088193.1799999997</v>
      </c>
      <c r="N57" s="32">
        <f t="shared" si="90"/>
        <v>433927.36198966089</v>
      </c>
      <c r="O57" s="32">
        <f t="shared" si="90"/>
        <v>8007.73</v>
      </c>
      <c r="P57" s="32">
        <f t="shared" si="90"/>
        <v>441935.09198966087</v>
      </c>
      <c r="Q57" s="50">
        <f t="shared" si="90"/>
        <v>5646258.0880103391</v>
      </c>
      <c r="S57" s="13" t="s">
        <v>276</v>
      </c>
      <c r="T57" s="32">
        <f t="shared" ref="T57:Z57" si="91">T20+T35+T55</f>
        <v>4974381</v>
      </c>
      <c r="U57" s="32">
        <f t="shared" si="91"/>
        <v>0</v>
      </c>
      <c r="V57" s="32">
        <f t="shared" si="91"/>
        <v>4974381</v>
      </c>
      <c r="W57" s="32">
        <f t="shared" si="91"/>
        <v>504825.03431372548</v>
      </c>
      <c r="X57" s="32">
        <f t="shared" si="91"/>
        <v>0</v>
      </c>
      <c r="Y57" s="32">
        <f t="shared" si="91"/>
        <v>504825.03431372548</v>
      </c>
      <c r="Z57" s="50">
        <f t="shared" si="91"/>
        <v>4469555.9656862747</v>
      </c>
      <c r="AB57" s="13" t="s">
        <v>276</v>
      </c>
      <c r="AC57" s="32">
        <f t="shared" ref="AC57:AI57" si="92">AC20+AC35+AC55</f>
        <v>50514637.340599999</v>
      </c>
      <c r="AD57" s="32">
        <f t="shared" si="92"/>
        <v>0</v>
      </c>
      <c r="AE57" s="32">
        <f t="shared" si="92"/>
        <v>50514637.340599999</v>
      </c>
      <c r="AF57" s="32">
        <f t="shared" si="92"/>
        <v>3041554.5779705676</v>
      </c>
      <c r="AG57" s="32">
        <f t="shared" si="92"/>
        <v>24989636.790583618</v>
      </c>
      <c r="AH57" s="32">
        <f t="shared" si="92"/>
        <v>28031191.36855419</v>
      </c>
      <c r="AI57" s="50">
        <f t="shared" si="92"/>
        <v>22218819.91381618</v>
      </c>
    </row>
    <row r="58" spans="1:35" ht="14.25" thickTop="1" thickBot="1">
      <c r="A58" s="22"/>
      <c r="B58" s="23">
        <f>+B57-'Trucks 2183'!L206-'Containers 2183'!K513-'OTHER EQUIP 2183'!M162-B53</f>
        <v>-6.0535967350006104E-9</v>
      </c>
      <c r="C58" s="23"/>
      <c r="D58" s="23">
        <f>D57-'Trucks 2183'!M206-'Containers 2183'!L513-'OTHER EQUIP 2183'!N162-D53</f>
        <v>-6.0535967350006104E-9</v>
      </c>
      <c r="E58" s="23">
        <f>+E57-'Trucks 2183'!P206-'Containers 2183'!O513-'OTHER EQUIP 2183'!Q162</f>
        <v>-1.6007106751203537E-10</v>
      </c>
      <c r="F58" s="23">
        <f>F57-'Trucks 2183'!Q206-'Containers 2183'!P513-'OTHER EQUIP 2183'!R162</f>
        <v>0</v>
      </c>
      <c r="G58" s="23">
        <f>G57-'Trucks 2183'!R206-'Containers 2183'!Q513-'OTHER EQUIP 2183'!S162</f>
        <v>0</v>
      </c>
      <c r="H58" s="24">
        <f>H57-'Trucks 2183'!S206-'Containers 2183'!R513-'OTHER EQUIP 2183'!T162-H53</f>
        <v>2.0954757928848267E-9</v>
      </c>
      <c r="I58" t="s">
        <v>429</v>
      </c>
      <c r="J58" s="22"/>
      <c r="K58" s="23">
        <f>+'Depreciation Pivot 2021'!B27-'Depreciation Pivot 2021'!B21-'Summary 2183'!K57</f>
        <v>0</v>
      </c>
      <c r="L58" s="23"/>
      <c r="M58" s="23"/>
      <c r="N58" s="23">
        <f>+'Depreciation Pivot 2021'!C27-'Summary 2183'!N57</f>
        <v>0</v>
      </c>
      <c r="O58" s="23">
        <f>+'Depreciation Pivot 2021'!D27-'Depreciation Pivot 2021'!D21-'Summary 2183'!O57</f>
        <v>1.0913936421275139E-11</v>
      </c>
      <c r="P58" s="23">
        <f>+'Depreciation Pivot 2021'!E27-'Depreciation Pivot 2021'!E21-'Summary 2183'!P57</f>
        <v>0</v>
      </c>
      <c r="Q58" s="24">
        <f>+'Depreciation Pivot 2021'!F27-'Depreciation Pivot 2021'!F21-'Summary 2183'!Q57</f>
        <v>0</v>
      </c>
      <c r="S58" s="22"/>
      <c r="T58" s="23">
        <f>+'2022 Bud Capital Input 2183'!M73-'Summary 2183'!T57</f>
        <v>0</v>
      </c>
      <c r="U58" s="23"/>
      <c r="V58" s="23"/>
      <c r="W58" s="23">
        <f>+'2022 Bud Capital Input 2183'!O73-'Summary 2183'!W57</f>
        <v>0</v>
      </c>
      <c r="X58" s="23"/>
      <c r="Y58" s="23">
        <f>+'2022 Bud Capital Input 2183'!P73-'Summary 2183'!Y57</f>
        <v>0</v>
      </c>
      <c r="Z58" s="24">
        <f>+'2022 Bud Capital Input 2183'!Q73-'Summary 2183'!Z57</f>
        <v>0</v>
      </c>
      <c r="AB58" s="22"/>
      <c r="AC58" s="23">
        <f>+T57+K57+B57-AC57</f>
        <v>0</v>
      </c>
      <c r="AD58" s="23"/>
      <c r="AE58" s="143">
        <f t="shared" ref="AE58:AI58" si="93">+V57+M57+D57-AE57</f>
        <v>0</v>
      </c>
      <c r="AF58" s="143">
        <f t="shared" si="93"/>
        <v>0</v>
      </c>
      <c r="AG58" s="143">
        <f t="shared" si="93"/>
        <v>0</v>
      </c>
      <c r="AH58" s="143">
        <f t="shared" si="93"/>
        <v>0</v>
      </c>
      <c r="AI58" s="144">
        <f t="shared" si="93"/>
        <v>0</v>
      </c>
    </row>
    <row r="61" spans="1:35">
      <c r="B61" s="31"/>
      <c r="C61" s="31"/>
      <c r="D61" s="31"/>
      <c r="E61" s="31"/>
      <c r="F61" s="31"/>
      <c r="G61" s="31"/>
      <c r="H61" s="31"/>
    </row>
    <row r="62" spans="1:35">
      <c r="B62" s="55"/>
      <c r="D62" s="55"/>
      <c r="E62" s="55"/>
      <c r="F62" s="55"/>
      <c r="G62" s="55"/>
      <c r="H62" s="55"/>
    </row>
  </sheetData>
  <mergeCells count="4">
    <mergeCell ref="A5:H5"/>
    <mergeCell ref="J5:Q5"/>
    <mergeCell ref="S5:Z5"/>
    <mergeCell ref="AB5:AI5"/>
  </mergeCells>
  <phoneticPr fontId="12" type="noConversion"/>
  <printOptions horizontalCentered="1"/>
  <pageMargins left="0.25" right="0.25" top="0.25" bottom="0.25" header="0.5" footer="0.5"/>
  <pageSetup scale="8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CB277"/>
  <sheetViews>
    <sheetView showGridLines="0" view="pageBreakPreview" zoomScale="60" zoomScaleNormal="100" workbookViewId="0">
      <pane xSplit="3" ySplit="11" topLeftCell="D12" activePane="bottomRight" state="frozen"/>
      <selection activeCell="D461" sqref="D461"/>
      <selection pane="topRight" activeCell="D461" sqref="D461"/>
      <selection pane="bottomLeft" activeCell="D461" sqref="D461"/>
      <selection pane="bottomRight" activeCell="AC277" sqref="A1:AC277"/>
    </sheetView>
  </sheetViews>
  <sheetFormatPr defaultColWidth="12.5703125" defaultRowHeight="12.75"/>
  <cols>
    <col min="1" max="2" width="8.42578125" customWidth="1"/>
    <col min="3" max="3" width="7.42578125" bestFit="1" customWidth="1"/>
    <col min="4" max="4" width="36.85546875" customWidth="1"/>
    <col min="5" max="5" width="11" bestFit="1" customWidth="1"/>
    <col min="6" max="6" width="4.28515625" bestFit="1" customWidth="1"/>
    <col min="7" max="7" width="8.140625" bestFit="1" customWidth="1"/>
    <col min="8" max="8" width="2.140625" bestFit="1" customWidth="1"/>
    <col min="9" max="9" width="8" bestFit="1" customWidth="1"/>
    <col min="10" max="10" width="6.42578125" bestFit="1" customWidth="1"/>
    <col min="11" max="11" width="6" bestFit="1" customWidth="1"/>
    <col min="12" max="12" width="6.5703125" customWidth="1"/>
    <col min="13" max="13" width="5.28515625" customWidth="1"/>
    <col min="14" max="14" width="12" bestFit="1" customWidth="1"/>
    <col min="15" max="15" width="9" customWidth="1"/>
    <col min="16" max="16" width="10.85546875" bestFit="1" customWidth="1"/>
    <col min="17" max="17" width="10.85546875" customWidth="1"/>
    <col min="18" max="18" width="9.42578125" bestFit="1" customWidth="1"/>
    <col min="19" max="19" width="9" customWidth="1"/>
    <col min="20" max="20" width="7.85546875" customWidth="1"/>
    <col min="21" max="21" width="5.5703125" customWidth="1"/>
    <col min="22" max="22" width="9.7109375" bestFit="1" customWidth="1"/>
    <col min="23" max="23" width="2.28515625" customWidth="1"/>
    <col min="24" max="25" width="12.5703125" customWidth="1"/>
    <col min="26" max="26" width="7.5703125" customWidth="1"/>
    <col min="27" max="27" width="10.5703125" bestFit="1" customWidth="1"/>
    <col min="28" max="29" width="10.85546875" bestFit="1" customWidth="1"/>
    <col min="30" max="31" width="7.85546875" bestFit="1" customWidth="1"/>
    <col min="32" max="32" width="16" bestFit="1" customWidth="1"/>
    <col min="33" max="34" width="7.85546875" bestFit="1" customWidth="1"/>
    <col min="35" max="35" width="12.5703125" customWidth="1"/>
    <col min="36" max="36" width="13.42578125" bestFit="1" customWidth="1"/>
    <col min="37" max="37" width="3.42578125" customWidth="1"/>
    <col min="38" max="38" width="17.5703125" bestFit="1" customWidth="1"/>
    <col min="39" max="39" width="3.5703125" customWidth="1"/>
    <col min="40" max="40" width="16.28515625" bestFit="1" customWidth="1"/>
    <col min="41" max="41" width="2.85546875" customWidth="1"/>
    <col min="42" max="42" width="18.28515625" bestFit="1" customWidth="1"/>
    <col min="43" max="43" width="3.5703125" customWidth="1"/>
    <col min="44" max="44" width="13.42578125" bestFit="1" customWidth="1"/>
  </cols>
  <sheetData>
    <row r="1" spans="1:80">
      <c r="D1" t="s">
        <v>342</v>
      </c>
    </row>
    <row r="2" spans="1:80">
      <c r="D2" t="s">
        <v>26</v>
      </c>
      <c r="P2">
        <v>11</v>
      </c>
      <c r="Q2" t="s">
        <v>27</v>
      </c>
      <c r="BX2" t="s">
        <v>245</v>
      </c>
    </row>
    <row r="3" spans="1:80">
      <c r="D3">
        <f>'Summary 2183'!H8</f>
        <v>44500</v>
      </c>
      <c r="P3">
        <v>1</v>
      </c>
      <c r="Q3" t="s">
        <v>28</v>
      </c>
      <c r="AE3" t="s">
        <v>29</v>
      </c>
      <c r="AF3" t="s">
        <v>30</v>
      </c>
    </row>
    <row r="4" spans="1:80">
      <c r="P4">
        <v>2017</v>
      </c>
      <c r="Q4" t="s">
        <v>31</v>
      </c>
      <c r="AE4" t="s">
        <v>32</v>
      </c>
      <c r="AF4" t="s">
        <v>33</v>
      </c>
      <c r="BW4">
        <v>1</v>
      </c>
      <c r="BX4" t="s">
        <v>246</v>
      </c>
      <c r="CA4">
        <v>12</v>
      </c>
      <c r="CB4" t="s">
        <v>247</v>
      </c>
    </row>
    <row r="5" spans="1:80">
      <c r="P5">
        <v>2018</v>
      </c>
      <c r="Q5" t="s">
        <v>34</v>
      </c>
      <c r="AE5" t="s">
        <v>35</v>
      </c>
      <c r="AF5" t="s">
        <v>36</v>
      </c>
      <c r="AJ5" s="478" t="s">
        <v>633</v>
      </c>
      <c r="AK5" s="478"/>
      <c r="AL5" s="478"/>
      <c r="AM5" s="478"/>
      <c r="AN5" s="478"/>
      <c r="AO5" s="478"/>
      <c r="AP5" s="478"/>
      <c r="AQ5" s="478"/>
      <c r="AR5" s="478"/>
      <c r="BX5">
        <v>1993</v>
      </c>
      <c r="CA5">
        <v>0</v>
      </c>
      <c r="CB5" t="s">
        <v>248</v>
      </c>
    </row>
    <row r="6" spans="1:80">
      <c r="AE6" t="s">
        <v>37</v>
      </c>
      <c r="AF6" t="s">
        <v>38</v>
      </c>
      <c r="AJ6" s="478"/>
      <c r="AK6" s="478"/>
      <c r="AL6" s="478"/>
      <c r="AM6" s="478"/>
      <c r="AN6" s="478"/>
      <c r="AO6" s="478"/>
      <c r="AP6" s="478"/>
      <c r="AQ6" s="478"/>
      <c r="AR6" s="478"/>
      <c r="CA6">
        <v>93</v>
      </c>
      <c r="CB6" t="s">
        <v>31</v>
      </c>
    </row>
    <row r="7" spans="1:80">
      <c r="AE7" t="s">
        <v>39</v>
      </c>
      <c r="AF7" t="s">
        <v>40</v>
      </c>
      <c r="CA7">
        <v>94</v>
      </c>
      <c r="CB7" t="s">
        <v>249</v>
      </c>
    </row>
    <row r="8" spans="1:80">
      <c r="S8" t="s">
        <v>41</v>
      </c>
      <c r="V8" t="s">
        <v>42</v>
      </c>
      <c r="X8" t="s">
        <v>188</v>
      </c>
      <c r="Y8" t="s">
        <v>44</v>
      </c>
      <c r="AA8" t="s">
        <v>188</v>
      </c>
      <c r="AB8" t="s">
        <v>43</v>
      </c>
      <c r="AN8" t="s">
        <v>634</v>
      </c>
      <c r="AP8" t="s">
        <v>634</v>
      </c>
    </row>
    <row r="9" spans="1:80">
      <c r="C9" t="s">
        <v>45</v>
      </c>
      <c r="E9" t="s">
        <v>46</v>
      </c>
      <c r="G9" t="s">
        <v>47</v>
      </c>
      <c r="I9" t="s">
        <v>45</v>
      </c>
      <c r="K9" t="s">
        <v>48</v>
      </c>
      <c r="L9" t="s">
        <v>45</v>
      </c>
      <c r="N9" t="s">
        <v>45</v>
      </c>
      <c r="O9" t="s">
        <v>49</v>
      </c>
      <c r="P9" t="s">
        <v>45</v>
      </c>
      <c r="R9" t="s">
        <v>50</v>
      </c>
      <c r="S9" t="s">
        <v>48</v>
      </c>
      <c r="T9" t="s">
        <v>42</v>
      </c>
      <c r="U9" t="s">
        <v>51</v>
      </c>
      <c r="V9" t="s">
        <v>44</v>
      </c>
      <c r="X9" t="s">
        <v>251</v>
      </c>
      <c r="Y9" t="s">
        <v>251</v>
      </c>
      <c r="Z9" t="s">
        <v>53</v>
      </c>
      <c r="AA9" t="s">
        <v>54</v>
      </c>
      <c r="AB9" t="s">
        <v>54</v>
      </c>
      <c r="AC9" t="s">
        <v>55</v>
      </c>
      <c r="AJ9" t="s">
        <v>635</v>
      </c>
      <c r="AL9" t="s">
        <v>636</v>
      </c>
      <c r="AN9" t="s">
        <v>637</v>
      </c>
      <c r="AP9" t="s">
        <v>637</v>
      </c>
      <c r="AR9" t="s">
        <v>638</v>
      </c>
    </row>
    <row r="10" spans="1:80">
      <c r="C10" t="s">
        <v>143</v>
      </c>
      <c r="E10" t="s">
        <v>57</v>
      </c>
      <c r="G10" t="s">
        <v>58</v>
      </c>
      <c r="I10" t="s">
        <v>100</v>
      </c>
      <c r="J10" t="s">
        <v>59</v>
      </c>
      <c r="K10" t="s">
        <v>60</v>
      </c>
      <c r="L10" t="s">
        <v>49</v>
      </c>
      <c r="M10" t="s">
        <v>61</v>
      </c>
      <c r="N10" t="s">
        <v>49</v>
      </c>
      <c r="O10" t="s">
        <v>41</v>
      </c>
      <c r="P10" t="s">
        <v>62</v>
      </c>
      <c r="Q10" t="s">
        <v>63</v>
      </c>
      <c r="R10" t="s">
        <v>48</v>
      </c>
      <c r="S10" t="s">
        <v>64</v>
      </c>
      <c r="T10" t="s">
        <v>65</v>
      </c>
      <c r="U10" t="s">
        <v>66</v>
      </c>
      <c r="V10" t="s">
        <v>67</v>
      </c>
      <c r="X10" t="s">
        <v>252</v>
      </c>
      <c r="Y10" t="s">
        <v>252</v>
      </c>
      <c r="Z10" t="s">
        <v>66</v>
      </c>
      <c r="AA10" t="s">
        <v>68</v>
      </c>
      <c r="AB10" t="s">
        <v>68</v>
      </c>
      <c r="AC10" t="s">
        <v>6</v>
      </c>
      <c r="AD10" t="s">
        <v>29</v>
      </c>
      <c r="AE10" t="s">
        <v>69</v>
      </c>
      <c r="AF10" t="s">
        <v>70</v>
      </c>
      <c r="AG10" t="s">
        <v>37</v>
      </c>
      <c r="AH10" t="s">
        <v>39</v>
      </c>
      <c r="AJ10" t="s">
        <v>639</v>
      </c>
      <c r="AL10" t="s">
        <v>640</v>
      </c>
      <c r="AN10" t="s">
        <v>641</v>
      </c>
      <c r="AP10" t="s">
        <v>642</v>
      </c>
      <c r="AR10" t="s">
        <v>6</v>
      </c>
      <c r="BW10">
        <v>2</v>
      </c>
      <c r="BX10" t="s">
        <v>253</v>
      </c>
    </row>
    <row r="11" spans="1:80">
      <c r="A11" t="s">
        <v>71</v>
      </c>
      <c r="B11" t="s">
        <v>384</v>
      </c>
      <c r="C11" t="s">
        <v>72</v>
      </c>
      <c r="D11" t="s">
        <v>254</v>
      </c>
      <c r="E11" t="s">
        <v>48</v>
      </c>
      <c r="F11" t="s">
        <v>74</v>
      </c>
      <c r="G11" t="s">
        <v>51</v>
      </c>
      <c r="H11" t="s">
        <v>99</v>
      </c>
      <c r="I11" t="s">
        <v>75</v>
      </c>
      <c r="J11" t="s">
        <v>76</v>
      </c>
      <c r="K11" t="s">
        <v>62</v>
      </c>
      <c r="L11" t="s">
        <v>173</v>
      </c>
      <c r="M11" t="s">
        <v>99</v>
      </c>
      <c r="N11" t="s">
        <v>173</v>
      </c>
      <c r="O11" t="s">
        <v>99</v>
      </c>
      <c r="P11" t="s">
        <v>173</v>
      </c>
      <c r="Q11" t="s">
        <v>62</v>
      </c>
      <c r="R11" t="s">
        <v>62</v>
      </c>
      <c r="S11" t="s">
        <v>99</v>
      </c>
      <c r="T11" t="s">
        <v>77</v>
      </c>
      <c r="U11" t="s">
        <v>99</v>
      </c>
      <c r="V11" t="s">
        <v>68</v>
      </c>
      <c r="X11">
        <f>'Summary 2183'!F8</f>
        <v>44136</v>
      </c>
      <c r="Y11">
        <f>+D3</f>
        <v>44500</v>
      </c>
      <c r="Z11" t="s">
        <v>51</v>
      </c>
      <c r="AA11">
        <f>+X11</f>
        <v>44136</v>
      </c>
      <c r="AB11">
        <f>+D3</f>
        <v>44500</v>
      </c>
      <c r="AC11">
        <f>AB11</f>
        <v>44500</v>
      </c>
    </row>
    <row r="12" spans="1:80">
      <c r="D12" t="s">
        <v>250</v>
      </c>
    </row>
    <row r="14" spans="1:80">
      <c r="A14" t="s">
        <v>288</v>
      </c>
      <c r="C14">
        <v>5001</v>
      </c>
      <c r="D14" t="s">
        <v>303</v>
      </c>
      <c r="E14">
        <v>1996</v>
      </c>
      <c r="F14">
        <v>1</v>
      </c>
      <c r="G14">
        <v>0.33</v>
      </c>
      <c r="I14" t="s">
        <v>78</v>
      </c>
      <c r="J14">
        <v>5</v>
      </c>
      <c r="K14">
        <f t="shared" ref="K14:K73" si="0">E14+J14</f>
        <v>2001</v>
      </c>
      <c r="N14">
        <v>31208</v>
      </c>
      <c r="P14">
        <f t="shared" ref="P14:P45" si="1">N14-N14*G14</f>
        <v>20909.36</v>
      </c>
      <c r="Q14">
        <f t="shared" ref="Q14:Q45" si="2">P14/J14/12</f>
        <v>348.48933333333338</v>
      </c>
      <c r="R14">
        <f t="shared" ref="R14:R70" si="3">IF(O14&gt;0,0,IF(OR(AD14&gt;AE14,AF14&lt;AG14),0,IF(AND(AF14&gt;=AG14,AF14&lt;=AE14),Q14*((AF14-AG14)*12),IF(AND(AG14&lt;=AD14,AE14&gt;=AD14),((AE14-AD14)*12)*Q14,IF(AF14&gt;AE14,12*Q14,0)))))</f>
        <v>0</v>
      </c>
      <c r="S14">
        <f t="shared" ref="S14:S70" si="4">IF(O14=0,0,IF(AND(AH14&gt;=AG14,AH14&lt;=AF14),((AH14-AG14)*12)*Q14,0))</f>
        <v>0</v>
      </c>
      <c r="T14">
        <f t="shared" ref="T14:T70" si="5">IF(S14&gt;0,S14,R14)</f>
        <v>0</v>
      </c>
      <c r="U14">
        <v>1</v>
      </c>
      <c r="V14">
        <f t="shared" ref="V14:V70" si="6">U14*SUM(R14:S14)</f>
        <v>0</v>
      </c>
      <c r="X14">
        <f t="shared" ref="X14:X70" si="7">IF(AD14&gt;AE14,0,IF(AF14&lt;AG14,P14,IF(AND(AF14&gt;=AG14,AF14&lt;=AE14),(P14-T14),IF(AND(AG14&lt;=AD14,AE14&gt;=AD14),0,IF(AF14&gt;AE14,((AG14-AD14)*12)*Q14,0)))))</f>
        <v>20909.36</v>
      </c>
      <c r="Y14">
        <f t="shared" ref="Y14:Y70" si="8">X14*U14</f>
        <v>20909.36</v>
      </c>
      <c r="Z14">
        <v>1</v>
      </c>
      <c r="AA14">
        <f t="shared" ref="AA14:AA70" si="9">Y14*Z14</f>
        <v>20909.36</v>
      </c>
      <c r="AB14">
        <f t="shared" ref="AB14:AB70" si="10">IF(O14&gt;0,0,AA14+V14*Z14)*Z14</f>
        <v>20909.36</v>
      </c>
      <c r="AC14">
        <f t="shared" ref="AC14:AC70" si="11">IF(O14&gt;0,(N14-AA14)/2,IF(AD14&gt;=AG14,(((N14*U14)*Z14)-AB14)/2,((((N14*U14)*Z14)-AA14)+(((N14*U14)*Z14)-AB14))/2))</f>
        <v>10298.64</v>
      </c>
      <c r="AD14">
        <f t="shared" ref="AD14:AD75" si="12">$E14+(($F14-1)/12)</f>
        <v>1996</v>
      </c>
      <c r="AE14">
        <f t="shared" ref="AE14:AE75" si="13">($P$5+1)-($P$2/12)</f>
        <v>2018.0833333333333</v>
      </c>
      <c r="AF14">
        <f t="shared" ref="AF14:AF75" si="14">$K14+(($F14-1)/12)</f>
        <v>2001</v>
      </c>
      <c r="AG14">
        <f t="shared" ref="AG14:AG75" si="15">$P$4+($P$3/12)</f>
        <v>2017.0833333333333</v>
      </c>
      <c r="AH14">
        <f t="shared" ref="AH14:AH45" si="16">$L14+(($M14-1)/12)</f>
        <v>-8.3333333333333329E-2</v>
      </c>
      <c r="AJ14">
        <f>+IF((AF14-AG14)&gt;3,((N14-P14)/(AF14-AG14)),(N14-P14)/3)</f>
        <v>3432.8799999999997</v>
      </c>
      <c r="AL14">
        <f>+AJ14+V14</f>
        <v>3432.8799999999997</v>
      </c>
      <c r="AN14">
        <f>+IF(AF14&lt;AG14,-AC14,0)</f>
        <v>-10298.64</v>
      </c>
      <c r="AP14">
        <f>IF(AF14&gt;AG14,IF(AJ14&gt;0,IF(O14&gt;0,(N14-AA14)/2,IF(AD14&gt;=AG14,(((N14*U14)*Z14)-(AB14+AJ14))/2,((((N14*U14)*Z14)-AA14)+(((N14*U14)*Z14)-(AB14+AJ14)))/2)),0),0)</f>
        <v>0</v>
      </c>
      <c r="AR14">
        <f>+AC14+AN14+(IF(AP14&gt;0,(AP14-AC14),0))</f>
        <v>0</v>
      </c>
    </row>
    <row r="15" spans="1:80">
      <c r="A15" t="s">
        <v>288</v>
      </c>
      <c r="C15">
        <v>5001</v>
      </c>
      <c r="D15" t="s">
        <v>313</v>
      </c>
      <c r="E15">
        <v>1996</v>
      </c>
      <c r="F15">
        <v>5</v>
      </c>
      <c r="G15">
        <v>0.2</v>
      </c>
      <c r="I15" t="s">
        <v>78</v>
      </c>
      <c r="J15">
        <v>7</v>
      </c>
      <c r="K15">
        <f t="shared" si="0"/>
        <v>2003</v>
      </c>
      <c r="N15">
        <v>1073</v>
      </c>
      <c r="P15">
        <f t="shared" si="1"/>
        <v>858.4</v>
      </c>
      <c r="Q15">
        <f t="shared" si="2"/>
        <v>10.219047619047618</v>
      </c>
      <c r="R15">
        <f t="shared" si="3"/>
        <v>0</v>
      </c>
      <c r="S15">
        <f t="shared" si="4"/>
        <v>0</v>
      </c>
      <c r="T15">
        <f t="shared" si="5"/>
        <v>0</v>
      </c>
      <c r="U15">
        <v>1</v>
      </c>
      <c r="V15">
        <f t="shared" si="6"/>
        <v>0</v>
      </c>
      <c r="X15">
        <f t="shared" si="7"/>
        <v>858.4</v>
      </c>
      <c r="Y15">
        <f t="shared" si="8"/>
        <v>858.4</v>
      </c>
      <c r="Z15">
        <v>1</v>
      </c>
      <c r="AA15">
        <f t="shared" si="9"/>
        <v>858.4</v>
      </c>
      <c r="AB15">
        <f t="shared" si="10"/>
        <v>858.4</v>
      </c>
      <c r="AC15">
        <f t="shared" si="11"/>
        <v>214.60000000000002</v>
      </c>
      <c r="AD15">
        <f t="shared" si="12"/>
        <v>1996.3333333333333</v>
      </c>
      <c r="AE15">
        <f t="shared" si="13"/>
        <v>2018.0833333333333</v>
      </c>
      <c r="AF15">
        <f t="shared" si="14"/>
        <v>2003.3333333333333</v>
      </c>
      <c r="AG15">
        <f t="shared" si="15"/>
        <v>2017.0833333333333</v>
      </c>
      <c r="AH15">
        <f t="shared" si="16"/>
        <v>-8.3333333333333329E-2</v>
      </c>
      <c r="AJ15">
        <f t="shared" ref="AJ15:AJ75" si="17">+IF((AF15-AG15)&gt;3,((N15-P15)/(AF15-AG15)),(N15-P15)/3)</f>
        <v>71.533333333333346</v>
      </c>
      <c r="AL15">
        <f t="shared" ref="AL15:AL75" si="18">+AJ15+V15</f>
        <v>71.533333333333346</v>
      </c>
      <c r="AN15">
        <f t="shared" ref="AN15:AN75" si="19">+IF(AF15&lt;AG15,-AC15,0)</f>
        <v>-214.60000000000002</v>
      </c>
      <c r="AP15">
        <f t="shared" ref="AP15:AP75" si="20">IF(AF15&gt;AG15,IF(AJ15&gt;0,IF(O15&gt;0,(N15-AA15)/2,IF(AD15&gt;=AG15,(((N15*U15)*Z15)-(AB15+AJ15))/2,((((N15*U15)*Z15)-AA15)+(((N15*U15)*Z15)-(AB15+AJ15)))/2)),0),0)</f>
        <v>0</v>
      </c>
      <c r="AR15">
        <f t="shared" ref="AR15:AR75" si="21">+AC15+AN15+(IF(AP15&gt;0,(AP15-AC15),0))</f>
        <v>0</v>
      </c>
    </row>
    <row r="16" spans="1:80">
      <c r="A16" t="s">
        <v>288</v>
      </c>
      <c r="C16">
        <v>4510</v>
      </c>
      <c r="D16" t="s">
        <v>180</v>
      </c>
      <c r="E16">
        <v>1996</v>
      </c>
      <c r="F16">
        <v>11</v>
      </c>
      <c r="G16">
        <v>0.2</v>
      </c>
      <c r="I16" t="s">
        <v>78</v>
      </c>
      <c r="J16">
        <v>7</v>
      </c>
      <c r="K16">
        <f t="shared" si="0"/>
        <v>2003</v>
      </c>
      <c r="N16">
        <v>41217</v>
      </c>
      <c r="P16">
        <f t="shared" si="1"/>
        <v>32973.599999999999</v>
      </c>
      <c r="Q16">
        <f t="shared" si="2"/>
        <v>392.54285714285714</v>
      </c>
      <c r="R16">
        <f t="shared" si="3"/>
        <v>0</v>
      </c>
      <c r="S16">
        <f t="shared" si="4"/>
        <v>0</v>
      </c>
      <c r="T16">
        <f t="shared" si="5"/>
        <v>0</v>
      </c>
      <c r="U16">
        <v>1</v>
      </c>
      <c r="V16">
        <f t="shared" si="6"/>
        <v>0</v>
      </c>
      <c r="X16">
        <f t="shared" si="7"/>
        <v>32973.599999999999</v>
      </c>
      <c r="Y16">
        <f t="shared" si="8"/>
        <v>32973.599999999999</v>
      </c>
      <c r="Z16">
        <v>1</v>
      </c>
      <c r="AA16">
        <f t="shared" si="9"/>
        <v>32973.599999999999</v>
      </c>
      <c r="AB16">
        <f t="shared" si="10"/>
        <v>32973.599999999999</v>
      </c>
      <c r="AC16">
        <f t="shared" si="11"/>
        <v>8243.4000000000015</v>
      </c>
      <c r="AD16">
        <f t="shared" si="12"/>
        <v>1996.8333333333333</v>
      </c>
      <c r="AE16">
        <f t="shared" si="13"/>
        <v>2018.0833333333333</v>
      </c>
      <c r="AF16">
        <f t="shared" si="14"/>
        <v>2003.8333333333333</v>
      </c>
      <c r="AG16">
        <f t="shared" si="15"/>
        <v>2017.0833333333333</v>
      </c>
      <c r="AH16">
        <f t="shared" si="16"/>
        <v>-8.3333333333333329E-2</v>
      </c>
      <c r="AJ16">
        <f t="shared" si="17"/>
        <v>2747.8000000000006</v>
      </c>
      <c r="AL16">
        <f t="shared" si="18"/>
        <v>2747.8000000000006</v>
      </c>
      <c r="AN16">
        <f t="shared" si="19"/>
        <v>-8243.4000000000015</v>
      </c>
      <c r="AP16">
        <f t="shared" si="20"/>
        <v>0</v>
      </c>
      <c r="AR16">
        <f t="shared" si="21"/>
        <v>0</v>
      </c>
    </row>
    <row r="17" spans="1:76">
      <c r="A17" t="s">
        <v>288</v>
      </c>
      <c r="C17">
        <v>4510</v>
      </c>
      <c r="D17" t="s">
        <v>181</v>
      </c>
      <c r="E17">
        <v>1996</v>
      </c>
      <c r="F17">
        <v>11</v>
      </c>
      <c r="G17">
        <v>0.2</v>
      </c>
      <c r="I17" t="s">
        <v>78</v>
      </c>
      <c r="J17">
        <v>7</v>
      </c>
      <c r="K17">
        <f t="shared" si="0"/>
        <v>2003</v>
      </c>
      <c r="N17">
        <v>437</v>
      </c>
      <c r="P17">
        <f t="shared" si="1"/>
        <v>349.6</v>
      </c>
      <c r="Q17">
        <f t="shared" si="2"/>
        <v>4.1619047619047622</v>
      </c>
      <c r="R17">
        <f t="shared" si="3"/>
        <v>0</v>
      </c>
      <c r="S17">
        <f t="shared" si="4"/>
        <v>0</v>
      </c>
      <c r="T17">
        <f t="shared" si="5"/>
        <v>0</v>
      </c>
      <c r="U17">
        <v>1</v>
      </c>
      <c r="V17">
        <f t="shared" si="6"/>
        <v>0</v>
      </c>
      <c r="X17">
        <f t="shared" si="7"/>
        <v>349.6</v>
      </c>
      <c r="Y17">
        <f t="shared" si="8"/>
        <v>349.6</v>
      </c>
      <c r="Z17">
        <v>1</v>
      </c>
      <c r="AA17">
        <f t="shared" si="9"/>
        <v>349.6</v>
      </c>
      <c r="AB17">
        <f t="shared" si="10"/>
        <v>349.6</v>
      </c>
      <c r="AC17">
        <f t="shared" si="11"/>
        <v>87.399999999999977</v>
      </c>
      <c r="AD17">
        <f t="shared" si="12"/>
        <v>1996.8333333333333</v>
      </c>
      <c r="AE17">
        <f t="shared" si="13"/>
        <v>2018.0833333333333</v>
      </c>
      <c r="AF17">
        <f t="shared" si="14"/>
        <v>2003.8333333333333</v>
      </c>
      <c r="AG17">
        <f t="shared" si="15"/>
        <v>2017.0833333333333</v>
      </c>
      <c r="AH17">
        <f t="shared" si="16"/>
        <v>-8.3333333333333329E-2</v>
      </c>
      <c r="AJ17">
        <f t="shared" si="17"/>
        <v>29.133333333333326</v>
      </c>
      <c r="AL17">
        <f t="shared" si="18"/>
        <v>29.133333333333326</v>
      </c>
      <c r="AN17">
        <f t="shared" si="19"/>
        <v>-87.399999999999977</v>
      </c>
      <c r="AP17">
        <f t="shared" si="20"/>
        <v>0</v>
      </c>
      <c r="AR17">
        <f t="shared" si="21"/>
        <v>0</v>
      </c>
    </row>
    <row r="18" spans="1:76">
      <c r="A18" t="s">
        <v>288</v>
      </c>
      <c r="C18">
        <v>4511</v>
      </c>
      <c r="D18" t="s">
        <v>182</v>
      </c>
      <c r="E18">
        <v>1996</v>
      </c>
      <c r="F18">
        <v>11</v>
      </c>
      <c r="G18">
        <v>0.2</v>
      </c>
      <c r="I18" t="s">
        <v>78</v>
      </c>
      <c r="J18">
        <v>7</v>
      </c>
      <c r="K18">
        <f t="shared" si="0"/>
        <v>2003</v>
      </c>
      <c r="N18">
        <v>11245</v>
      </c>
      <c r="P18">
        <f t="shared" si="1"/>
        <v>8996</v>
      </c>
      <c r="Q18">
        <f t="shared" si="2"/>
        <v>107.09523809523809</v>
      </c>
      <c r="R18">
        <f t="shared" si="3"/>
        <v>0</v>
      </c>
      <c r="S18">
        <f t="shared" si="4"/>
        <v>0</v>
      </c>
      <c r="T18">
        <f t="shared" si="5"/>
        <v>0</v>
      </c>
      <c r="U18">
        <v>1</v>
      </c>
      <c r="V18">
        <f t="shared" si="6"/>
        <v>0</v>
      </c>
      <c r="X18">
        <f t="shared" si="7"/>
        <v>8996</v>
      </c>
      <c r="Y18">
        <f t="shared" si="8"/>
        <v>8996</v>
      </c>
      <c r="Z18">
        <v>1</v>
      </c>
      <c r="AA18">
        <f t="shared" si="9"/>
        <v>8996</v>
      </c>
      <c r="AB18">
        <f t="shared" si="10"/>
        <v>8996</v>
      </c>
      <c r="AC18">
        <f t="shared" si="11"/>
        <v>2249</v>
      </c>
      <c r="AD18">
        <f t="shared" si="12"/>
        <v>1996.8333333333333</v>
      </c>
      <c r="AE18">
        <f t="shared" si="13"/>
        <v>2018.0833333333333</v>
      </c>
      <c r="AF18">
        <f t="shared" si="14"/>
        <v>2003.8333333333333</v>
      </c>
      <c r="AG18">
        <f t="shared" si="15"/>
        <v>2017.0833333333333</v>
      </c>
      <c r="AH18">
        <f t="shared" si="16"/>
        <v>-8.3333333333333329E-2</v>
      </c>
      <c r="AJ18">
        <f t="shared" si="17"/>
        <v>749.66666666666663</v>
      </c>
      <c r="AL18">
        <f t="shared" si="18"/>
        <v>749.66666666666663</v>
      </c>
      <c r="AN18">
        <f t="shared" si="19"/>
        <v>-2249</v>
      </c>
      <c r="AP18">
        <f t="shared" si="20"/>
        <v>0</v>
      </c>
      <c r="AR18">
        <f t="shared" si="21"/>
        <v>0</v>
      </c>
    </row>
    <row r="19" spans="1:76">
      <c r="A19" t="s">
        <v>155</v>
      </c>
      <c r="B19">
        <v>61074</v>
      </c>
      <c r="C19">
        <v>3561</v>
      </c>
      <c r="D19" t="s">
        <v>373</v>
      </c>
      <c r="E19">
        <v>2001</v>
      </c>
      <c r="F19">
        <v>4</v>
      </c>
      <c r="G19">
        <v>0.2</v>
      </c>
      <c r="I19" t="s">
        <v>78</v>
      </c>
      <c r="J19">
        <v>7</v>
      </c>
      <c r="K19">
        <f t="shared" si="0"/>
        <v>2008</v>
      </c>
      <c r="N19">
        <v>156107.07</v>
      </c>
      <c r="P19">
        <f t="shared" si="1"/>
        <v>124885.656</v>
      </c>
      <c r="Q19">
        <f t="shared" si="2"/>
        <v>1486.7340000000002</v>
      </c>
      <c r="R19">
        <f t="shared" si="3"/>
        <v>0</v>
      </c>
      <c r="S19">
        <f t="shared" si="4"/>
        <v>0</v>
      </c>
      <c r="T19">
        <f t="shared" si="5"/>
        <v>0</v>
      </c>
      <c r="U19">
        <v>1</v>
      </c>
      <c r="V19">
        <f t="shared" si="6"/>
        <v>0</v>
      </c>
      <c r="X19">
        <f t="shared" si="7"/>
        <v>124885.656</v>
      </c>
      <c r="Y19">
        <f t="shared" si="8"/>
        <v>124885.656</v>
      </c>
      <c r="Z19">
        <v>1</v>
      </c>
      <c r="AA19">
        <f t="shared" si="9"/>
        <v>124885.656</v>
      </c>
      <c r="AB19">
        <f t="shared" si="10"/>
        <v>124885.656</v>
      </c>
      <c r="AC19">
        <f t="shared" si="11"/>
        <v>31221.414000000004</v>
      </c>
      <c r="AD19">
        <f t="shared" si="12"/>
        <v>2001.25</v>
      </c>
      <c r="AE19">
        <f t="shared" si="13"/>
        <v>2018.0833333333333</v>
      </c>
      <c r="AF19">
        <f t="shared" si="14"/>
        <v>2008.25</v>
      </c>
      <c r="AG19">
        <f t="shared" si="15"/>
        <v>2017.0833333333333</v>
      </c>
      <c r="AH19">
        <f t="shared" si="16"/>
        <v>-8.3333333333333329E-2</v>
      </c>
      <c r="AJ19">
        <f t="shared" si="17"/>
        <v>10407.138000000001</v>
      </c>
      <c r="AL19">
        <f t="shared" si="18"/>
        <v>10407.138000000001</v>
      </c>
      <c r="AN19">
        <f t="shared" si="19"/>
        <v>-31221.414000000004</v>
      </c>
      <c r="AP19">
        <f t="shared" si="20"/>
        <v>0</v>
      </c>
      <c r="AR19">
        <f t="shared" si="21"/>
        <v>0</v>
      </c>
    </row>
    <row r="20" spans="1:76">
      <c r="A20" t="s">
        <v>151</v>
      </c>
      <c r="B20">
        <v>114280</v>
      </c>
      <c r="C20">
        <v>1035</v>
      </c>
      <c r="D20" t="s">
        <v>538</v>
      </c>
      <c r="E20">
        <v>2002</v>
      </c>
      <c r="F20">
        <v>6</v>
      </c>
      <c r="G20">
        <v>0.2</v>
      </c>
      <c r="I20" t="s">
        <v>78</v>
      </c>
      <c r="J20">
        <v>7</v>
      </c>
      <c r="K20">
        <f>E20+J20</f>
        <v>2009</v>
      </c>
      <c r="N20">
        <v>101881.5</v>
      </c>
      <c r="P20">
        <f t="shared" si="1"/>
        <v>81505.2</v>
      </c>
      <c r="Q20">
        <f t="shared" si="2"/>
        <v>970.30000000000007</v>
      </c>
      <c r="R20">
        <f>IF(O20&gt;0,0,IF(OR(AD20&gt;AE20,AF20&lt;AG20),0,IF(AND(AF20&gt;=AG20,AF20&lt;=AE20),Q20*((AF20-AG20)*12),IF(AND(AG20&lt;=AD20,AE20&gt;=AD20),((AE20-AD20)*12)*Q20,IF(AF20&gt;AE20,12*Q20,0)))))</f>
        <v>0</v>
      </c>
      <c r="S20">
        <f>IF(O20=0,0,IF(AND(AH20&gt;=AG20,AH20&lt;=AF20),((AH20-AG20)*12)*Q20,0))</f>
        <v>0</v>
      </c>
      <c r="T20">
        <f>IF(S20&gt;0,S20,R20)</f>
        <v>0</v>
      </c>
      <c r="U20">
        <v>1</v>
      </c>
      <c r="V20">
        <f>U20*SUM(R20:S20)</f>
        <v>0</v>
      </c>
      <c r="X20">
        <f>IF(AD20&gt;AE20,0,IF(AF20&lt;AG20,P20,IF(AND(AF20&gt;=AG20,AF20&lt;=AE20),(P20-T20),IF(AND(AG20&lt;=AD20,AE20&gt;=AD20),0,IF(AF20&gt;AE20,((AG20-AD20)*12)*Q20,0)))))</f>
        <v>81505.2</v>
      </c>
      <c r="Y20">
        <f>X20*U20</f>
        <v>81505.2</v>
      </c>
      <c r="Z20">
        <v>1</v>
      </c>
      <c r="AA20">
        <f>Y20*Z20</f>
        <v>81505.2</v>
      </c>
      <c r="AB20">
        <f>IF(O20&gt;0,0,AA20+V20*Z20)*Z20</f>
        <v>81505.2</v>
      </c>
      <c r="AC20">
        <f>IF(O20&gt;0,(N20-AA20)/2,IF(AD20&gt;=AG20,(((N20*U20)*Z20)-AB20)/2,((((N20*U20)*Z20)-AA20)+(((N20*U20)*Z20)-AB20))/2))</f>
        <v>20376.300000000003</v>
      </c>
      <c r="AD20">
        <f>$E20+(($F20-1)/12)</f>
        <v>2002.4166666666667</v>
      </c>
      <c r="AE20">
        <f t="shared" si="13"/>
        <v>2018.0833333333333</v>
      </c>
      <c r="AF20">
        <f>$K20+(($F20-1)/12)</f>
        <v>2009.4166666666667</v>
      </c>
      <c r="AG20">
        <f t="shared" si="15"/>
        <v>2017.0833333333333</v>
      </c>
      <c r="AH20">
        <f t="shared" si="16"/>
        <v>-8.3333333333333329E-2</v>
      </c>
      <c r="AJ20">
        <f t="shared" si="17"/>
        <v>6792.1000000000013</v>
      </c>
      <c r="AL20">
        <f t="shared" si="18"/>
        <v>6792.1000000000013</v>
      </c>
      <c r="AN20">
        <f t="shared" si="19"/>
        <v>-20376.300000000003</v>
      </c>
      <c r="AP20">
        <f t="shared" si="20"/>
        <v>0</v>
      </c>
      <c r="AR20">
        <f t="shared" si="21"/>
        <v>0</v>
      </c>
    </row>
    <row r="21" spans="1:76">
      <c r="A21" t="s">
        <v>285</v>
      </c>
      <c r="B21">
        <v>74778</v>
      </c>
      <c r="C21">
        <v>1040</v>
      </c>
      <c r="D21" t="s">
        <v>148</v>
      </c>
      <c r="E21">
        <v>2004</v>
      </c>
      <c r="F21">
        <v>9</v>
      </c>
      <c r="G21">
        <v>0.2</v>
      </c>
      <c r="I21" t="s">
        <v>78</v>
      </c>
      <c r="J21">
        <v>7</v>
      </c>
      <c r="K21">
        <f t="shared" si="0"/>
        <v>2011</v>
      </c>
      <c r="N21">
        <v>112934.39999999999</v>
      </c>
      <c r="P21">
        <f t="shared" si="1"/>
        <v>90347.51999999999</v>
      </c>
      <c r="Q21">
        <f t="shared" si="2"/>
        <v>1075.5657142857142</v>
      </c>
      <c r="R21">
        <f t="shared" si="3"/>
        <v>0</v>
      </c>
      <c r="S21">
        <f t="shared" si="4"/>
        <v>0</v>
      </c>
      <c r="T21">
        <f t="shared" si="5"/>
        <v>0</v>
      </c>
      <c r="U21">
        <v>1</v>
      </c>
      <c r="V21">
        <f t="shared" si="6"/>
        <v>0</v>
      </c>
      <c r="X21">
        <f t="shared" si="7"/>
        <v>90347.51999999999</v>
      </c>
      <c r="Y21">
        <f t="shared" si="8"/>
        <v>90347.51999999999</v>
      </c>
      <c r="Z21">
        <v>1</v>
      </c>
      <c r="AA21">
        <f t="shared" si="9"/>
        <v>90347.51999999999</v>
      </c>
      <c r="AB21">
        <f t="shared" si="10"/>
        <v>90347.51999999999</v>
      </c>
      <c r="AC21">
        <f t="shared" si="11"/>
        <v>22586.880000000005</v>
      </c>
      <c r="AD21">
        <f t="shared" si="12"/>
        <v>2004.6666666666667</v>
      </c>
      <c r="AE21">
        <f t="shared" si="13"/>
        <v>2018.0833333333333</v>
      </c>
      <c r="AF21">
        <f t="shared" si="14"/>
        <v>2011.6666666666667</v>
      </c>
      <c r="AG21">
        <f t="shared" si="15"/>
        <v>2017.0833333333333</v>
      </c>
      <c r="AH21">
        <f t="shared" si="16"/>
        <v>-8.3333333333333329E-2</v>
      </c>
      <c r="AJ21">
        <f t="shared" si="17"/>
        <v>7528.9600000000019</v>
      </c>
      <c r="AL21">
        <f t="shared" si="18"/>
        <v>7528.9600000000019</v>
      </c>
      <c r="AN21">
        <f t="shared" si="19"/>
        <v>-22586.880000000005</v>
      </c>
      <c r="AP21">
        <f t="shared" si="20"/>
        <v>0</v>
      </c>
      <c r="AR21">
        <f t="shared" si="21"/>
        <v>0</v>
      </c>
    </row>
    <row r="22" spans="1:76">
      <c r="A22" t="s">
        <v>285</v>
      </c>
      <c r="C22">
        <v>1040</v>
      </c>
      <c r="D22" t="s">
        <v>84</v>
      </c>
      <c r="E22">
        <v>2004</v>
      </c>
      <c r="F22">
        <v>9</v>
      </c>
      <c r="G22">
        <v>0.2</v>
      </c>
      <c r="I22" t="s">
        <v>78</v>
      </c>
      <c r="J22">
        <v>7</v>
      </c>
      <c r="K22">
        <f t="shared" si="0"/>
        <v>2011</v>
      </c>
      <c r="N22">
        <v>2730.88</v>
      </c>
      <c r="P22">
        <f t="shared" si="1"/>
        <v>2184.7040000000002</v>
      </c>
      <c r="Q22">
        <f t="shared" si="2"/>
        <v>26.008380952380957</v>
      </c>
      <c r="R22">
        <f t="shared" si="3"/>
        <v>0</v>
      </c>
      <c r="S22">
        <f t="shared" si="4"/>
        <v>0</v>
      </c>
      <c r="T22">
        <f t="shared" si="5"/>
        <v>0</v>
      </c>
      <c r="U22">
        <v>1</v>
      </c>
      <c r="V22">
        <f t="shared" si="6"/>
        <v>0</v>
      </c>
      <c r="X22">
        <f t="shared" si="7"/>
        <v>2184.7040000000002</v>
      </c>
      <c r="Y22">
        <f t="shared" si="8"/>
        <v>2184.7040000000002</v>
      </c>
      <c r="Z22">
        <v>1</v>
      </c>
      <c r="AA22">
        <f t="shared" si="9"/>
        <v>2184.7040000000002</v>
      </c>
      <c r="AB22">
        <f t="shared" si="10"/>
        <v>2184.7040000000002</v>
      </c>
      <c r="AC22">
        <f t="shared" si="11"/>
        <v>546.17599999999993</v>
      </c>
      <c r="AD22">
        <f t="shared" si="12"/>
        <v>2004.6666666666667</v>
      </c>
      <c r="AE22">
        <f t="shared" si="13"/>
        <v>2018.0833333333333</v>
      </c>
      <c r="AF22">
        <f t="shared" si="14"/>
        <v>2011.6666666666667</v>
      </c>
      <c r="AG22">
        <f t="shared" si="15"/>
        <v>2017.0833333333333</v>
      </c>
      <c r="AH22">
        <f t="shared" si="16"/>
        <v>-8.3333333333333329E-2</v>
      </c>
      <c r="AJ22">
        <f t="shared" si="17"/>
        <v>182.05866666666665</v>
      </c>
      <c r="AL22">
        <f t="shared" si="18"/>
        <v>182.05866666666665</v>
      </c>
      <c r="AN22">
        <f t="shared" si="19"/>
        <v>-546.17599999999993</v>
      </c>
      <c r="AP22">
        <f t="shared" si="20"/>
        <v>0</v>
      </c>
      <c r="AR22">
        <f t="shared" si="21"/>
        <v>0</v>
      </c>
    </row>
    <row r="23" spans="1:76">
      <c r="A23" t="s">
        <v>285</v>
      </c>
      <c r="B23">
        <v>61085</v>
      </c>
      <c r="C23">
        <v>1041</v>
      </c>
      <c r="D23" t="s">
        <v>148</v>
      </c>
      <c r="E23">
        <v>2004</v>
      </c>
      <c r="F23">
        <v>9</v>
      </c>
      <c r="G23">
        <v>0.2</v>
      </c>
      <c r="I23" t="s">
        <v>78</v>
      </c>
      <c r="J23">
        <v>7</v>
      </c>
      <c r="K23">
        <f t="shared" si="0"/>
        <v>2011</v>
      </c>
      <c r="N23">
        <v>112934.39999999999</v>
      </c>
      <c r="P23">
        <f t="shared" si="1"/>
        <v>90347.51999999999</v>
      </c>
      <c r="Q23">
        <f t="shared" si="2"/>
        <v>1075.5657142857142</v>
      </c>
      <c r="R23">
        <f t="shared" si="3"/>
        <v>0</v>
      </c>
      <c r="S23">
        <f t="shared" si="4"/>
        <v>0</v>
      </c>
      <c r="T23">
        <f t="shared" si="5"/>
        <v>0</v>
      </c>
      <c r="U23">
        <v>1</v>
      </c>
      <c r="V23">
        <f t="shared" si="6"/>
        <v>0</v>
      </c>
      <c r="X23">
        <f t="shared" si="7"/>
        <v>90347.51999999999</v>
      </c>
      <c r="Y23">
        <f t="shared" si="8"/>
        <v>90347.51999999999</v>
      </c>
      <c r="Z23">
        <v>1</v>
      </c>
      <c r="AA23">
        <f t="shared" si="9"/>
        <v>90347.51999999999</v>
      </c>
      <c r="AB23">
        <f t="shared" si="10"/>
        <v>90347.51999999999</v>
      </c>
      <c r="AC23">
        <f t="shared" si="11"/>
        <v>22586.880000000005</v>
      </c>
      <c r="AD23">
        <f t="shared" si="12"/>
        <v>2004.6666666666667</v>
      </c>
      <c r="AE23">
        <f t="shared" si="13"/>
        <v>2018.0833333333333</v>
      </c>
      <c r="AF23">
        <f t="shared" si="14"/>
        <v>2011.6666666666667</v>
      </c>
      <c r="AG23">
        <f t="shared" si="15"/>
        <v>2017.0833333333333</v>
      </c>
      <c r="AH23">
        <f t="shared" si="16"/>
        <v>-8.3333333333333329E-2</v>
      </c>
      <c r="AJ23">
        <f t="shared" si="17"/>
        <v>7528.9600000000019</v>
      </c>
      <c r="AL23">
        <f t="shared" si="18"/>
        <v>7528.9600000000019</v>
      </c>
      <c r="AN23">
        <f t="shared" si="19"/>
        <v>-22586.880000000005</v>
      </c>
      <c r="AP23">
        <f t="shared" si="20"/>
        <v>0</v>
      </c>
      <c r="AR23">
        <f t="shared" si="21"/>
        <v>0</v>
      </c>
    </row>
    <row r="24" spans="1:76">
      <c r="A24" t="s">
        <v>285</v>
      </c>
      <c r="C24">
        <v>1041</v>
      </c>
      <c r="D24" t="s">
        <v>87</v>
      </c>
      <c r="E24">
        <v>2004</v>
      </c>
      <c r="F24">
        <v>9</v>
      </c>
      <c r="G24">
        <v>0.2</v>
      </c>
      <c r="I24" t="s">
        <v>78</v>
      </c>
      <c r="J24">
        <v>7</v>
      </c>
      <c r="K24">
        <f t="shared" si="0"/>
        <v>2011</v>
      </c>
      <c r="N24">
        <v>2730.88</v>
      </c>
      <c r="P24">
        <f t="shared" si="1"/>
        <v>2184.7040000000002</v>
      </c>
      <c r="Q24">
        <f t="shared" si="2"/>
        <v>26.008380952380957</v>
      </c>
      <c r="R24">
        <f t="shared" si="3"/>
        <v>0</v>
      </c>
      <c r="S24">
        <f t="shared" si="4"/>
        <v>0</v>
      </c>
      <c r="T24">
        <f t="shared" si="5"/>
        <v>0</v>
      </c>
      <c r="U24">
        <v>1</v>
      </c>
      <c r="V24">
        <f t="shared" si="6"/>
        <v>0</v>
      </c>
      <c r="X24">
        <f t="shared" si="7"/>
        <v>2184.7040000000002</v>
      </c>
      <c r="Y24">
        <f t="shared" si="8"/>
        <v>2184.7040000000002</v>
      </c>
      <c r="Z24">
        <v>1</v>
      </c>
      <c r="AA24">
        <f t="shared" si="9"/>
        <v>2184.7040000000002</v>
      </c>
      <c r="AB24">
        <f t="shared" si="10"/>
        <v>2184.7040000000002</v>
      </c>
      <c r="AC24">
        <f t="shared" si="11"/>
        <v>546.17599999999993</v>
      </c>
      <c r="AD24">
        <f t="shared" si="12"/>
        <v>2004.6666666666667</v>
      </c>
      <c r="AE24">
        <f t="shared" si="13"/>
        <v>2018.0833333333333</v>
      </c>
      <c r="AF24">
        <f t="shared" si="14"/>
        <v>2011.6666666666667</v>
      </c>
      <c r="AG24">
        <f t="shared" si="15"/>
        <v>2017.0833333333333</v>
      </c>
      <c r="AH24">
        <f t="shared" si="16"/>
        <v>-8.3333333333333329E-2</v>
      </c>
      <c r="AJ24">
        <f t="shared" si="17"/>
        <v>182.05866666666665</v>
      </c>
      <c r="AL24">
        <f t="shared" si="18"/>
        <v>182.05866666666665</v>
      </c>
      <c r="AN24">
        <f t="shared" si="19"/>
        <v>-546.17599999999993</v>
      </c>
      <c r="AP24">
        <f t="shared" si="20"/>
        <v>0</v>
      </c>
      <c r="AR24">
        <f t="shared" si="21"/>
        <v>0</v>
      </c>
    </row>
    <row r="25" spans="1:76">
      <c r="A25" t="s">
        <v>284</v>
      </c>
      <c r="C25">
        <v>3575</v>
      </c>
      <c r="D25" t="s">
        <v>159</v>
      </c>
      <c r="E25">
        <v>2004</v>
      </c>
      <c r="F25">
        <v>12</v>
      </c>
      <c r="G25">
        <v>0.2</v>
      </c>
      <c r="I25" t="s">
        <v>78</v>
      </c>
      <c r="J25">
        <v>7</v>
      </c>
      <c r="K25">
        <f t="shared" si="0"/>
        <v>2011</v>
      </c>
      <c r="N25">
        <v>167550.66</v>
      </c>
      <c r="P25">
        <f t="shared" si="1"/>
        <v>134040.52799999999</v>
      </c>
      <c r="Q25">
        <f t="shared" si="2"/>
        <v>1595.7205714285712</v>
      </c>
      <c r="R25">
        <f t="shared" si="3"/>
        <v>0</v>
      </c>
      <c r="S25">
        <f t="shared" si="4"/>
        <v>0</v>
      </c>
      <c r="T25">
        <f t="shared" si="5"/>
        <v>0</v>
      </c>
      <c r="U25">
        <v>1</v>
      </c>
      <c r="V25">
        <f t="shared" si="6"/>
        <v>0</v>
      </c>
      <c r="X25">
        <f t="shared" si="7"/>
        <v>134040.52799999999</v>
      </c>
      <c r="Y25">
        <f t="shared" si="8"/>
        <v>134040.52799999999</v>
      </c>
      <c r="Z25">
        <v>1</v>
      </c>
      <c r="AA25">
        <f t="shared" si="9"/>
        <v>134040.52799999999</v>
      </c>
      <c r="AB25">
        <f t="shared" si="10"/>
        <v>134040.52799999999</v>
      </c>
      <c r="AC25">
        <f t="shared" si="11"/>
        <v>33510.132000000012</v>
      </c>
      <c r="AD25">
        <f t="shared" si="12"/>
        <v>2004.9166666666667</v>
      </c>
      <c r="AE25">
        <f t="shared" si="13"/>
        <v>2018.0833333333333</v>
      </c>
      <c r="AF25">
        <f t="shared" si="14"/>
        <v>2011.9166666666667</v>
      </c>
      <c r="AG25">
        <f t="shared" si="15"/>
        <v>2017.0833333333333</v>
      </c>
      <c r="AH25">
        <f t="shared" si="16"/>
        <v>-8.3333333333333329E-2</v>
      </c>
      <c r="AJ25">
        <f t="shared" si="17"/>
        <v>11170.044000000004</v>
      </c>
      <c r="AL25">
        <f t="shared" si="18"/>
        <v>11170.044000000004</v>
      </c>
      <c r="AN25">
        <f t="shared" si="19"/>
        <v>-33510.132000000012</v>
      </c>
      <c r="AP25">
        <f t="shared" si="20"/>
        <v>0</v>
      </c>
      <c r="AR25">
        <f t="shared" si="21"/>
        <v>0</v>
      </c>
    </row>
    <row r="26" spans="1:76">
      <c r="A26" t="s">
        <v>288</v>
      </c>
      <c r="C26">
        <v>5001</v>
      </c>
      <c r="D26" t="s">
        <v>304</v>
      </c>
      <c r="E26">
        <v>2005</v>
      </c>
      <c r="F26">
        <v>8</v>
      </c>
      <c r="G26">
        <v>0.33</v>
      </c>
      <c r="I26" t="s">
        <v>78</v>
      </c>
      <c r="J26">
        <v>5</v>
      </c>
      <c r="K26">
        <f t="shared" si="0"/>
        <v>2010</v>
      </c>
      <c r="N26">
        <v>9756</v>
      </c>
      <c r="P26">
        <f t="shared" si="1"/>
        <v>6536.52</v>
      </c>
      <c r="Q26">
        <f t="shared" si="2"/>
        <v>108.94200000000001</v>
      </c>
      <c r="R26">
        <f t="shared" si="3"/>
        <v>0</v>
      </c>
      <c r="S26">
        <f t="shared" si="4"/>
        <v>0</v>
      </c>
      <c r="T26">
        <f t="shared" si="5"/>
        <v>0</v>
      </c>
      <c r="U26">
        <v>1</v>
      </c>
      <c r="V26">
        <f t="shared" si="6"/>
        <v>0</v>
      </c>
      <c r="X26">
        <f t="shared" si="7"/>
        <v>6536.52</v>
      </c>
      <c r="Y26">
        <f t="shared" si="8"/>
        <v>6536.52</v>
      </c>
      <c r="Z26">
        <v>1</v>
      </c>
      <c r="AA26">
        <f t="shared" si="9"/>
        <v>6536.52</v>
      </c>
      <c r="AB26">
        <f t="shared" si="10"/>
        <v>6536.52</v>
      </c>
      <c r="AC26">
        <f t="shared" si="11"/>
        <v>3219.4799999999996</v>
      </c>
      <c r="AD26">
        <f t="shared" si="12"/>
        <v>2005.5833333333333</v>
      </c>
      <c r="AE26">
        <f t="shared" si="13"/>
        <v>2018.0833333333333</v>
      </c>
      <c r="AF26">
        <f t="shared" si="14"/>
        <v>2010.5833333333333</v>
      </c>
      <c r="AG26">
        <f t="shared" si="15"/>
        <v>2017.0833333333333</v>
      </c>
      <c r="AH26">
        <f t="shared" si="16"/>
        <v>-8.3333333333333329E-2</v>
      </c>
      <c r="AJ26">
        <f t="shared" si="17"/>
        <v>1073.1599999999999</v>
      </c>
      <c r="AL26">
        <f t="shared" si="18"/>
        <v>1073.1599999999999</v>
      </c>
      <c r="AN26">
        <f t="shared" si="19"/>
        <v>-3219.4799999999996</v>
      </c>
      <c r="AP26">
        <f t="shared" si="20"/>
        <v>0</v>
      </c>
      <c r="AR26">
        <f t="shared" si="21"/>
        <v>0</v>
      </c>
    </row>
    <row r="27" spans="1:76">
      <c r="A27" t="s">
        <v>285</v>
      </c>
      <c r="B27">
        <v>61093</v>
      </c>
      <c r="C27">
        <v>1042</v>
      </c>
      <c r="D27" t="s">
        <v>374</v>
      </c>
      <c r="E27">
        <v>2005</v>
      </c>
      <c r="F27">
        <v>12</v>
      </c>
      <c r="G27">
        <v>0.2</v>
      </c>
      <c r="I27" t="s">
        <v>78</v>
      </c>
      <c r="J27">
        <v>7</v>
      </c>
      <c r="K27">
        <f t="shared" si="0"/>
        <v>2012</v>
      </c>
      <c r="N27">
        <v>125862.5</v>
      </c>
      <c r="P27">
        <f t="shared" si="1"/>
        <v>100690</v>
      </c>
      <c r="Q27">
        <f t="shared" si="2"/>
        <v>1198.6904761904761</v>
      </c>
      <c r="R27">
        <f t="shared" si="3"/>
        <v>0</v>
      </c>
      <c r="S27">
        <f t="shared" si="4"/>
        <v>0</v>
      </c>
      <c r="T27">
        <f t="shared" si="5"/>
        <v>0</v>
      </c>
      <c r="U27">
        <v>1</v>
      </c>
      <c r="V27">
        <f t="shared" si="6"/>
        <v>0</v>
      </c>
      <c r="X27">
        <f t="shared" si="7"/>
        <v>100690</v>
      </c>
      <c r="Y27">
        <f t="shared" si="8"/>
        <v>100690</v>
      </c>
      <c r="Z27">
        <v>1</v>
      </c>
      <c r="AA27">
        <f t="shared" si="9"/>
        <v>100690</v>
      </c>
      <c r="AB27">
        <f t="shared" si="10"/>
        <v>100690</v>
      </c>
      <c r="AC27">
        <f t="shared" si="11"/>
        <v>25172.5</v>
      </c>
      <c r="AD27">
        <f t="shared" si="12"/>
        <v>2005.9166666666667</v>
      </c>
      <c r="AE27">
        <f t="shared" si="13"/>
        <v>2018.0833333333333</v>
      </c>
      <c r="AF27">
        <f t="shared" si="14"/>
        <v>2012.9166666666667</v>
      </c>
      <c r="AG27">
        <f t="shared" si="15"/>
        <v>2017.0833333333333</v>
      </c>
      <c r="AH27">
        <f t="shared" si="16"/>
        <v>-8.3333333333333329E-2</v>
      </c>
      <c r="AJ27">
        <f t="shared" si="17"/>
        <v>8390.8333333333339</v>
      </c>
      <c r="AL27">
        <f t="shared" si="18"/>
        <v>8390.8333333333339</v>
      </c>
      <c r="AN27">
        <f t="shared" si="19"/>
        <v>-25172.5</v>
      </c>
      <c r="AP27">
        <f t="shared" si="20"/>
        <v>0</v>
      </c>
      <c r="AR27">
        <f t="shared" si="21"/>
        <v>0</v>
      </c>
    </row>
    <row r="28" spans="1:76">
      <c r="A28" t="s">
        <v>284</v>
      </c>
      <c r="C28">
        <v>3586</v>
      </c>
      <c r="D28" t="s">
        <v>160</v>
      </c>
      <c r="E28">
        <v>2005</v>
      </c>
      <c r="F28">
        <v>12</v>
      </c>
      <c r="G28">
        <v>0.2</v>
      </c>
      <c r="I28" t="s">
        <v>78</v>
      </c>
      <c r="J28">
        <v>7</v>
      </c>
      <c r="K28">
        <f t="shared" si="0"/>
        <v>2012</v>
      </c>
      <c r="N28">
        <v>174584.51</v>
      </c>
      <c r="P28">
        <f t="shared" si="1"/>
        <v>139667.60800000001</v>
      </c>
      <c r="Q28">
        <f t="shared" si="2"/>
        <v>1662.7096190476193</v>
      </c>
      <c r="R28">
        <f t="shared" si="3"/>
        <v>0</v>
      </c>
      <c r="S28">
        <f t="shared" si="4"/>
        <v>0</v>
      </c>
      <c r="T28">
        <f t="shared" si="5"/>
        <v>0</v>
      </c>
      <c r="U28">
        <v>1</v>
      </c>
      <c r="V28">
        <f t="shared" si="6"/>
        <v>0</v>
      </c>
      <c r="X28">
        <f t="shared" si="7"/>
        <v>139667.60800000001</v>
      </c>
      <c r="Y28">
        <f t="shared" si="8"/>
        <v>139667.60800000001</v>
      </c>
      <c r="Z28">
        <v>1</v>
      </c>
      <c r="AA28">
        <f t="shared" si="9"/>
        <v>139667.60800000001</v>
      </c>
      <c r="AB28">
        <f t="shared" si="10"/>
        <v>139667.60800000001</v>
      </c>
      <c r="AC28">
        <f t="shared" si="11"/>
        <v>34916.902000000002</v>
      </c>
      <c r="AD28">
        <f t="shared" si="12"/>
        <v>2005.9166666666667</v>
      </c>
      <c r="AE28">
        <f t="shared" si="13"/>
        <v>2018.0833333333333</v>
      </c>
      <c r="AF28">
        <f t="shared" si="14"/>
        <v>2012.9166666666667</v>
      </c>
      <c r="AG28">
        <f t="shared" si="15"/>
        <v>2017.0833333333333</v>
      </c>
      <c r="AH28">
        <f t="shared" si="16"/>
        <v>-8.3333333333333329E-2</v>
      </c>
      <c r="AJ28">
        <f t="shared" si="17"/>
        <v>11638.967333333334</v>
      </c>
      <c r="AL28">
        <f t="shared" si="18"/>
        <v>11638.967333333334</v>
      </c>
      <c r="AN28">
        <f t="shared" si="19"/>
        <v>-34916.902000000002</v>
      </c>
      <c r="AP28">
        <f t="shared" si="20"/>
        <v>0</v>
      </c>
      <c r="AR28">
        <f t="shared" si="21"/>
        <v>0</v>
      </c>
    </row>
    <row r="29" spans="1:76">
      <c r="A29" t="s">
        <v>285</v>
      </c>
      <c r="B29">
        <v>61094</v>
      </c>
      <c r="C29">
        <v>1045</v>
      </c>
      <c r="D29" t="s">
        <v>375</v>
      </c>
      <c r="E29">
        <v>2006</v>
      </c>
      <c r="F29">
        <v>1</v>
      </c>
      <c r="G29">
        <v>0.2</v>
      </c>
      <c r="I29" t="s">
        <v>78</v>
      </c>
      <c r="J29">
        <v>7</v>
      </c>
      <c r="K29">
        <f t="shared" si="0"/>
        <v>2013</v>
      </c>
      <c r="N29">
        <v>126105.78</v>
      </c>
      <c r="P29">
        <f t="shared" si="1"/>
        <v>100884.624</v>
      </c>
      <c r="Q29">
        <f t="shared" si="2"/>
        <v>1201.0074285714286</v>
      </c>
      <c r="R29">
        <f t="shared" si="3"/>
        <v>0</v>
      </c>
      <c r="S29">
        <f t="shared" si="4"/>
        <v>0</v>
      </c>
      <c r="T29">
        <f t="shared" si="5"/>
        <v>0</v>
      </c>
      <c r="U29">
        <v>1</v>
      </c>
      <c r="V29">
        <f t="shared" si="6"/>
        <v>0</v>
      </c>
      <c r="X29">
        <f t="shared" si="7"/>
        <v>100884.624</v>
      </c>
      <c r="Y29">
        <f t="shared" si="8"/>
        <v>100884.624</v>
      </c>
      <c r="Z29">
        <v>1</v>
      </c>
      <c r="AA29">
        <f t="shared" si="9"/>
        <v>100884.624</v>
      </c>
      <c r="AB29">
        <f t="shared" si="10"/>
        <v>100884.624</v>
      </c>
      <c r="AC29">
        <f t="shared" si="11"/>
        <v>25221.156000000003</v>
      </c>
      <c r="AD29">
        <f t="shared" si="12"/>
        <v>2006</v>
      </c>
      <c r="AE29">
        <f t="shared" si="13"/>
        <v>2018.0833333333333</v>
      </c>
      <c r="AF29">
        <f t="shared" si="14"/>
        <v>2013</v>
      </c>
      <c r="AG29">
        <f t="shared" si="15"/>
        <v>2017.0833333333333</v>
      </c>
      <c r="AH29">
        <f t="shared" si="16"/>
        <v>-8.3333333333333329E-2</v>
      </c>
      <c r="AJ29">
        <f t="shared" si="17"/>
        <v>8407.0520000000015</v>
      </c>
      <c r="AL29">
        <f t="shared" si="18"/>
        <v>8407.0520000000015</v>
      </c>
      <c r="AN29">
        <f t="shared" si="19"/>
        <v>-25221.156000000003</v>
      </c>
      <c r="AP29">
        <f t="shared" si="20"/>
        <v>0</v>
      </c>
      <c r="AR29">
        <f t="shared" si="21"/>
        <v>0</v>
      </c>
      <c r="BX29" t="s">
        <v>256</v>
      </c>
    </row>
    <row r="30" spans="1:76">
      <c r="A30" t="s">
        <v>284</v>
      </c>
      <c r="C30">
        <v>3586</v>
      </c>
      <c r="D30" t="s">
        <v>296</v>
      </c>
      <c r="E30">
        <v>2006</v>
      </c>
      <c r="F30">
        <v>1</v>
      </c>
      <c r="G30">
        <v>0.2</v>
      </c>
      <c r="I30" t="s">
        <v>78</v>
      </c>
      <c r="J30">
        <v>7</v>
      </c>
      <c r="K30">
        <f t="shared" si="0"/>
        <v>2013</v>
      </c>
      <c r="N30">
        <v>8338.44</v>
      </c>
      <c r="P30">
        <f t="shared" si="1"/>
        <v>6670.7520000000004</v>
      </c>
      <c r="Q30">
        <f t="shared" si="2"/>
        <v>79.413714285714292</v>
      </c>
      <c r="R30">
        <f t="shared" si="3"/>
        <v>0</v>
      </c>
      <c r="S30">
        <f t="shared" si="4"/>
        <v>0</v>
      </c>
      <c r="T30">
        <f t="shared" si="5"/>
        <v>0</v>
      </c>
      <c r="U30">
        <v>1</v>
      </c>
      <c r="V30">
        <f t="shared" si="6"/>
        <v>0</v>
      </c>
      <c r="X30">
        <f t="shared" si="7"/>
        <v>6670.7520000000004</v>
      </c>
      <c r="Y30">
        <f t="shared" si="8"/>
        <v>6670.7520000000004</v>
      </c>
      <c r="Z30">
        <v>1</v>
      </c>
      <c r="AA30">
        <f t="shared" si="9"/>
        <v>6670.7520000000004</v>
      </c>
      <c r="AB30">
        <f t="shared" si="10"/>
        <v>6670.7520000000004</v>
      </c>
      <c r="AC30">
        <f t="shared" si="11"/>
        <v>1667.6880000000001</v>
      </c>
      <c r="AD30">
        <f t="shared" si="12"/>
        <v>2006</v>
      </c>
      <c r="AE30">
        <f t="shared" si="13"/>
        <v>2018.0833333333333</v>
      </c>
      <c r="AF30">
        <f t="shared" si="14"/>
        <v>2013</v>
      </c>
      <c r="AG30">
        <f t="shared" si="15"/>
        <v>2017.0833333333333</v>
      </c>
      <c r="AH30">
        <f t="shared" si="16"/>
        <v>-8.3333333333333329E-2</v>
      </c>
      <c r="AJ30">
        <f t="shared" si="17"/>
        <v>555.89600000000007</v>
      </c>
      <c r="AL30">
        <f t="shared" si="18"/>
        <v>555.89600000000007</v>
      </c>
      <c r="AN30">
        <f t="shared" si="19"/>
        <v>-1667.6880000000001</v>
      </c>
      <c r="AP30">
        <f t="shared" si="20"/>
        <v>0</v>
      </c>
      <c r="AR30">
        <f t="shared" si="21"/>
        <v>0</v>
      </c>
      <c r="BX30" t="s">
        <v>257</v>
      </c>
    </row>
    <row r="31" spans="1:76">
      <c r="A31" t="s">
        <v>285</v>
      </c>
      <c r="B31">
        <v>61095</v>
      </c>
      <c r="C31">
        <v>1046</v>
      </c>
      <c r="D31" t="s">
        <v>375</v>
      </c>
      <c r="E31">
        <v>2006</v>
      </c>
      <c r="F31">
        <v>5</v>
      </c>
      <c r="G31">
        <v>0.2</v>
      </c>
      <c r="I31" t="s">
        <v>78</v>
      </c>
      <c r="J31">
        <v>7</v>
      </c>
      <c r="K31">
        <f t="shared" si="0"/>
        <v>2013</v>
      </c>
      <c r="N31">
        <f>122285.81+3819.97</f>
        <v>126105.78</v>
      </c>
      <c r="P31">
        <f t="shared" si="1"/>
        <v>100884.624</v>
      </c>
      <c r="Q31">
        <f t="shared" si="2"/>
        <v>1201.0074285714286</v>
      </c>
      <c r="R31">
        <f t="shared" si="3"/>
        <v>0</v>
      </c>
      <c r="S31">
        <f t="shared" si="4"/>
        <v>0</v>
      </c>
      <c r="T31">
        <f t="shared" si="5"/>
        <v>0</v>
      </c>
      <c r="U31">
        <v>1</v>
      </c>
      <c r="V31">
        <f t="shared" si="6"/>
        <v>0</v>
      </c>
      <c r="X31">
        <f t="shared" si="7"/>
        <v>100884.624</v>
      </c>
      <c r="Y31">
        <f t="shared" si="8"/>
        <v>100884.624</v>
      </c>
      <c r="Z31">
        <v>1</v>
      </c>
      <c r="AA31">
        <f t="shared" si="9"/>
        <v>100884.624</v>
      </c>
      <c r="AB31">
        <f t="shared" si="10"/>
        <v>100884.624</v>
      </c>
      <c r="AC31">
        <f t="shared" si="11"/>
        <v>25221.156000000003</v>
      </c>
      <c r="AD31">
        <f t="shared" si="12"/>
        <v>2006.3333333333333</v>
      </c>
      <c r="AE31">
        <f t="shared" si="13"/>
        <v>2018.0833333333333</v>
      </c>
      <c r="AF31">
        <f t="shared" si="14"/>
        <v>2013.3333333333333</v>
      </c>
      <c r="AG31">
        <f t="shared" si="15"/>
        <v>2017.0833333333333</v>
      </c>
      <c r="AH31">
        <f t="shared" si="16"/>
        <v>-8.3333333333333329E-2</v>
      </c>
      <c r="AJ31">
        <f t="shared" si="17"/>
        <v>8407.0520000000015</v>
      </c>
      <c r="AL31">
        <f t="shared" si="18"/>
        <v>8407.0520000000015</v>
      </c>
      <c r="AN31">
        <f t="shared" si="19"/>
        <v>-25221.156000000003</v>
      </c>
      <c r="AP31">
        <f t="shared" si="20"/>
        <v>0</v>
      </c>
      <c r="AR31">
        <f t="shared" si="21"/>
        <v>0</v>
      </c>
    </row>
    <row r="32" spans="1:76">
      <c r="A32" t="s">
        <v>284</v>
      </c>
      <c r="C32">
        <v>3590</v>
      </c>
      <c r="D32" t="s">
        <v>160</v>
      </c>
      <c r="E32">
        <v>2006</v>
      </c>
      <c r="F32">
        <v>5</v>
      </c>
      <c r="G32">
        <v>0.2</v>
      </c>
      <c r="I32" t="s">
        <v>78</v>
      </c>
      <c r="J32">
        <v>7</v>
      </c>
      <c r="K32">
        <f t="shared" si="0"/>
        <v>2013</v>
      </c>
      <c r="N32">
        <v>183553.22</v>
      </c>
      <c r="P32">
        <f t="shared" si="1"/>
        <v>146842.576</v>
      </c>
      <c r="Q32">
        <f t="shared" si="2"/>
        <v>1748.1259047619048</v>
      </c>
      <c r="R32">
        <f t="shared" si="3"/>
        <v>0</v>
      </c>
      <c r="S32">
        <f t="shared" si="4"/>
        <v>0</v>
      </c>
      <c r="T32">
        <f t="shared" si="5"/>
        <v>0</v>
      </c>
      <c r="U32">
        <v>1</v>
      </c>
      <c r="V32">
        <f t="shared" si="6"/>
        <v>0</v>
      </c>
      <c r="X32">
        <f t="shared" si="7"/>
        <v>146842.576</v>
      </c>
      <c r="Y32">
        <f t="shared" si="8"/>
        <v>146842.576</v>
      </c>
      <c r="Z32">
        <v>1</v>
      </c>
      <c r="AA32">
        <f t="shared" si="9"/>
        <v>146842.576</v>
      </c>
      <c r="AB32">
        <f t="shared" si="10"/>
        <v>146842.576</v>
      </c>
      <c r="AC32">
        <f t="shared" si="11"/>
        <v>36710.644</v>
      </c>
      <c r="AD32">
        <f t="shared" si="12"/>
        <v>2006.3333333333333</v>
      </c>
      <c r="AE32">
        <f t="shared" si="13"/>
        <v>2018.0833333333333</v>
      </c>
      <c r="AF32">
        <f t="shared" si="14"/>
        <v>2013.3333333333333</v>
      </c>
      <c r="AG32">
        <f t="shared" si="15"/>
        <v>2017.0833333333333</v>
      </c>
      <c r="AH32">
        <f t="shared" si="16"/>
        <v>-8.3333333333333329E-2</v>
      </c>
      <c r="AJ32">
        <f t="shared" si="17"/>
        <v>12236.881333333333</v>
      </c>
      <c r="AL32">
        <f t="shared" si="18"/>
        <v>12236.881333333333</v>
      </c>
      <c r="AN32">
        <f t="shared" si="19"/>
        <v>-36710.644</v>
      </c>
      <c r="AP32">
        <f t="shared" si="20"/>
        <v>0</v>
      </c>
      <c r="AR32">
        <f t="shared" si="21"/>
        <v>0</v>
      </c>
      <c r="BW32">
        <v>4</v>
      </c>
      <c r="BX32" t="s">
        <v>259</v>
      </c>
    </row>
    <row r="33" spans="1:76">
      <c r="A33" t="s">
        <v>284</v>
      </c>
      <c r="C33">
        <v>3591</v>
      </c>
      <c r="D33" t="s">
        <v>376</v>
      </c>
      <c r="E33">
        <v>2006</v>
      </c>
      <c r="F33">
        <v>5</v>
      </c>
      <c r="G33">
        <v>0.2</v>
      </c>
      <c r="I33" t="s">
        <v>78</v>
      </c>
      <c r="J33">
        <v>7</v>
      </c>
      <c r="K33">
        <f t="shared" si="0"/>
        <v>2013</v>
      </c>
      <c r="N33">
        <v>183553.22</v>
      </c>
      <c r="P33">
        <f t="shared" si="1"/>
        <v>146842.576</v>
      </c>
      <c r="Q33">
        <f t="shared" si="2"/>
        <v>1748.1259047619048</v>
      </c>
      <c r="R33">
        <f t="shared" si="3"/>
        <v>0</v>
      </c>
      <c r="S33">
        <f t="shared" si="4"/>
        <v>0</v>
      </c>
      <c r="T33">
        <f t="shared" si="5"/>
        <v>0</v>
      </c>
      <c r="U33">
        <v>1</v>
      </c>
      <c r="V33">
        <f t="shared" si="6"/>
        <v>0</v>
      </c>
      <c r="X33">
        <f t="shared" si="7"/>
        <v>146842.576</v>
      </c>
      <c r="Y33">
        <f t="shared" si="8"/>
        <v>146842.576</v>
      </c>
      <c r="Z33">
        <v>1</v>
      </c>
      <c r="AA33">
        <f t="shared" si="9"/>
        <v>146842.576</v>
      </c>
      <c r="AB33">
        <f t="shared" si="10"/>
        <v>146842.576</v>
      </c>
      <c r="AC33">
        <f t="shared" si="11"/>
        <v>36710.644</v>
      </c>
      <c r="AD33">
        <f t="shared" si="12"/>
        <v>2006.3333333333333</v>
      </c>
      <c r="AE33">
        <f t="shared" si="13"/>
        <v>2018.0833333333333</v>
      </c>
      <c r="AF33">
        <f t="shared" si="14"/>
        <v>2013.3333333333333</v>
      </c>
      <c r="AG33">
        <f t="shared" si="15"/>
        <v>2017.0833333333333</v>
      </c>
      <c r="AH33">
        <f t="shared" si="16"/>
        <v>-8.3333333333333329E-2</v>
      </c>
      <c r="AJ33">
        <f t="shared" si="17"/>
        <v>12236.881333333333</v>
      </c>
      <c r="AL33">
        <f t="shared" si="18"/>
        <v>12236.881333333333</v>
      </c>
      <c r="AN33">
        <f t="shared" si="19"/>
        <v>-36710.644</v>
      </c>
      <c r="AP33">
        <f t="shared" si="20"/>
        <v>0</v>
      </c>
      <c r="AR33">
        <f t="shared" si="21"/>
        <v>0</v>
      </c>
      <c r="BX33" t="s">
        <v>280</v>
      </c>
    </row>
    <row r="34" spans="1:76">
      <c r="A34" t="s">
        <v>284</v>
      </c>
      <c r="C34">
        <v>3593</v>
      </c>
      <c r="D34" t="s">
        <v>376</v>
      </c>
      <c r="E34">
        <v>2006</v>
      </c>
      <c r="F34">
        <v>5</v>
      </c>
      <c r="G34">
        <v>0.2</v>
      </c>
      <c r="I34" t="s">
        <v>78</v>
      </c>
      <c r="J34">
        <v>7</v>
      </c>
      <c r="K34">
        <f t="shared" si="0"/>
        <v>2013</v>
      </c>
      <c r="N34">
        <v>183553.22</v>
      </c>
      <c r="P34">
        <f t="shared" si="1"/>
        <v>146842.576</v>
      </c>
      <c r="Q34">
        <f t="shared" si="2"/>
        <v>1748.1259047619048</v>
      </c>
      <c r="R34">
        <f t="shared" si="3"/>
        <v>0</v>
      </c>
      <c r="S34">
        <f t="shared" si="4"/>
        <v>0</v>
      </c>
      <c r="T34">
        <f t="shared" si="5"/>
        <v>0</v>
      </c>
      <c r="U34">
        <v>1</v>
      </c>
      <c r="V34">
        <f t="shared" si="6"/>
        <v>0</v>
      </c>
      <c r="X34">
        <f t="shared" si="7"/>
        <v>146842.576</v>
      </c>
      <c r="Y34">
        <f t="shared" si="8"/>
        <v>146842.576</v>
      </c>
      <c r="Z34">
        <v>1</v>
      </c>
      <c r="AA34">
        <f t="shared" si="9"/>
        <v>146842.576</v>
      </c>
      <c r="AB34">
        <f t="shared" si="10"/>
        <v>146842.576</v>
      </c>
      <c r="AC34">
        <f t="shared" si="11"/>
        <v>36710.644</v>
      </c>
      <c r="AD34">
        <f t="shared" si="12"/>
        <v>2006.3333333333333</v>
      </c>
      <c r="AE34">
        <f t="shared" si="13"/>
        <v>2018.0833333333333</v>
      </c>
      <c r="AF34">
        <f t="shared" si="14"/>
        <v>2013.3333333333333</v>
      </c>
      <c r="AG34">
        <f t="shared" si="15"/>
        <v>2017.0833333333333</v>
      </c>
      <c r="AH34">
        <f t="shared" si="16"/>
        <v>-8.3333333333333329E-2</v>
      </c>
      <c r="AJ34">
        <f t="shared" si="17"/>
        <v>12236.881333333333</v>
      </c>
      <c r="AL34">
        <f t="shared" si="18"/>
        <v>12236.881333333333</v>
      </c>
      <c r="AN34">
        <f t="shared" si="19"/>
        <v>-36710.644</v>
      </c>
      <c r="AP34">
        <f t="shared" si="20"/>
        <v>0</v>
      </c>
      <c r="AR34">
        <f t="shared" si="21"/>
        <v>0</v>
      </c>
    </row>
    <row r="35" spans="1:76">
      <c r="A35">
        <v>61092</v>
      </c>
      <c r="B35" t="s">
        <v>286</v>
      </c>
      <c r="C35">
        <v>2026</v>
      </c>
      <c r="D35" t="s">
        <v>152</v>
      </c>
      <c r="E35">
        <v>2006</v>
      </c>
      <c r="F35">
        <v>8</v>
      </c>
      <c r="G35">
        <v>0.2</v>
      </c>
      <c r="I35" t="s">
        <v>78</v>
      </c>
      <c r="J35">
        <v>7</v>
      </c>
      <c r="K35">
        <f>E35+J35</f>
        <v>2013</v>
      </c>
      <c r="N35">
        <v>208742.37</v>
      </c>
      <c r="P35">
        <f t="shared" si="1"/>
        <v>166993.89600000001</v>
      </c>
      <c r="Q35">
        <f t="shared" si="2"/>
        <v>1988.0225714285716</v>
      </c>
      <c r="R35">
        <f>IF(O35&gt;0,0,IF(OR(AD35&gt;AE35,AF35&lt;AG35),0,IF(AND(AF35&gt;=AG35,AF35&lt;=AE35),Q35*((AF35-AG35)*12),IF(AND(AG35&lt;=AD35,AE35&gt;=AD35),((AE35-AD35)*12)*Q35,IF(AF35&gt;AE35,12*Q35,0)))))</f>
        <v>0</v>
      </c>
      <c r="S35">
        <f>IF(O35=0,0,IF(AND(AH35&gt;=AG35,AH35&lt;=AF35),((AH35-AG35)*12)*Q35,0))</f>
        <v>0</v>
      </c>
      <c r="T35">
        <f>IF(S35&gt;0,S35,R35)</f>
        <v>0</v>
      </c>
      <c r="U35">
        <v>1</v>
      </c>
      <c r="V35">
        <f>U35*SUM(R35:S35)</f>
        <v>0</v>
      </c>
      <c r="X35">
        <f>IF(AD35&gt;AE35,0,IF(AF35&lt;AG35,P35,IF(AND(AF35&gt;=AG35,AF35&lt;=AE35),(P35-T35),IF(AND(AG35&lt;=AD35,AE35&gt;=AD35),0,IF(AF35&gt;AE35,((AG35-AD35)*12)*Q35,0)))))</f>
        <v>166993.89600000001</v>
      </c>
      <c r="Y35">
        <f>X35*U35</f>
        <v>166993.89600000001</v>
      </c>
      <c r="Z35">
        <v>1</v>
      </c>
      <c r="AA35">
        <f>Y35*Z35</f>
        <v>166993.89600000001</v>
      </c>
      <c r="AB35">
        <f>IF(O35&gt;0,0,AA35+V35*Z35)*Z35</f>
        <v>166993.89600000001</v>
      </c>
      <c r="AC35">
        <f>IF(O35&gt;0,(N35-AA35)/2,IF(AD35&gt;=AG35,(((N35*U35)*Z35)-AB35)/2,((((N35*U35)*Z35)-AA35)+(((N35*U35)*Z35)-AB35))/2))</f>
        <v>41748.473999999987</v>
      </c>
      <c r="AD35">
        <f>$E35+(($F35-1)/12)</f>
        <v>2006.5833333333333</v>
      </c>
      <c r="AE35">
        <f t="shared" si="13"/>
        <v>2018.0833333333333</v>
      </c>
      <c r="AF35">
        <f>$K35+(($F35-1)/12)</f>
        <v>2013.5833333333333</v>
      </c>
      <c r="AG35">
        <f t="shared" si="15"/>
        <v>2017.0833333333333</v>
      </c>
      <c r="AH35">
        <f t="shared" si="16"/>
        <v>-8.3333333333333329E-2</v>
      </c>
      <c r="AJ35">
        <f t="shared" si="17"/>
        <v>13916.157999999996</v>
      </c>
      <c r="AL35">
        <f t="shared" si="18"/>
        <v>13916.157999999996</v>
      </c>
      <c r="AN35">
        <f t="shared" si="19"/>
        <v>-41748.473999999987</v>
      </c>
      <c r="AP35">
        <f t="shared" si="20"/>
        <v>0</v>
      </c>
      <c r="AR35">
        <f t="shared" si="21"/>
        <v>0</v>
      </c>
    </row>
    <row r="36" spans="1:76">
      <c r="A36" t="s">
        <v>312</v>
      </c>
      <c r="C36">
        <v>11088</v>
      </c>
      <c r="D36" t="s">
        <v>326</v>
      </c>
      <c r="E36">
        <v>2006</v>
      </c>
      <c r="F36">
        <v>10</v>
      </c>
      <c r="G36">
        <v>0.33</v>
      </c>
      <c r="I36" t="s">
        <v>78</v>
      </c>
      <c r="J36">
        <v>5</v>
      </c>
      <c r="K36">
        <f t="shared" si="0"/>
        <v>2011</v>
      </c>
      <c r="N36">
        <v>152640.22</v>
      </c>
      <c r="P36">
        <f t="shared" si="1"/>
        <v>102268.9474</v>
      </c>
      <c r="Q36">
        <f t="shared" si="2"/>
        <v>1704.4824566666666</v>
      </c>
      <c r="R36">
        <f t="shared" si="3"/>
        <v>0</v>
      </c>
      <c r="S36">
        <f t="shared" si="4"/>
        <v>0</v>
      </c>
      <c r="T36">
        <f t="shared" si="5"/>
        <v>0</v>
      </c>
      <c r="U36">
        <v>1</v>
      </c>
      <c r="V36">
        <f t="shared" si="6"/>
        <v>0</v>
      </c>
      <c r="X36">
        <f t="shared" si="7"/>
        <v>102268.9474</v>
      </c>
      <c r="Y36">
        <f t="shared" si="8"/>
        <v>102268.9474</v>
      </c>
      <c r="Z36">
        <v>1</v>
      </c>
      <c r="AA36">
        <f t="shared" si="9"/>
        <v>102268.9474</v>
      </c>
      <c r="AB36">
        <f t="shared" si="10"/>
        <v>102268.9474</v>
      </c>
      <c r="AC36">
        <f t="shared" si="11"/>
        <v>50371.272599999997</v>
      </c>
      <c r="AD36">
        <f t="shared" si="12"/>
        <v>2006.75</v>
      </c>
      <c r="AE36">
        <f t="shared" si="13"/>
        <v>2018.0833333333333</v>
      </c>
      <c r="AF36">
        <f t="shared" si="14"/>
        <v>2011.75</v>
      </c>
      <c r="AG36">
        <f t="shared" si="15"/>
        <v>2017.0833333333333</v>
      </c>
      <c r="AH36">
        <f t="shared" si="16"/>
        <v>-8.3333333333333329E-2</v>
      </c>
      <c r="AJ36">
        <f t="shared" si="17"/>
        <v>16790.424199999998</v>
      </c>
      <c r="AL36">
        <f t="shared" si="18"/>
        <v>16790.424199999998</v>
      </c>
      <c r="AN36">
        <f t="shared" si="19"/>
        <v>-50371.272599999997</v>
      </c>
      <c r="AP36">
        <f t="shared" si="20"/>
        <v>0</v>
      </c>
      <c r="AR36">
        <f t="shared" si="21"/>
        <v>0</v>
      </c>
      <c r="BX36" t="s">
        <v>281</v>
      </c>
    </row>
    <row r="37" spans="1:76">
      <c r="A37" t="s">
        <v>285</v>
      </c>
      <c r="B37">
        <v>61107</v>
      </c>
      <c r="C37">
        <v>1049</v>
      </c>
      <c r="D37" t="s">
        <v>149</v>
      </c>
      <c r="E37">
        <v>2006</v>
      </c>
      <c r="F37">
        <v>11</v>
      </c>
      <c r="G37">
        <v>0.2</v>
      </c>
      <c r="I37" t="s">
        <v>78</v>
      </c>
      <c r="J37">
        <v>7</v>
      </c>
      <c r="K37">
        <f t="shared" si="0"/>
        <v>2013</v>
      </c>
      <c r="N37">
        <v>126621.44</v>
      </c>
      <c r="P37">
        <f t="shared" si="1"/>
        <v>101297.152</v>
      </c>
      <c r="Q37">
        <f t="shared" si="2"/>
        <v>1205.9184761904762</v>
      </c>
      <c r="R37">
        <f t="shared" si="3"/>
        <v>0</v>
      </c>
      <c r="S37">
        <f t="shared" si="4"/>
        <v>0</v>
      </c>
      <c r="T37">
        <f t="shared" si="5"/>
        <v>0</v>
      </c>
      <c r="U37">
        <v>1</v>
      </c>
      <c r="V37">
        <f t="shared" si="6"/>
        <v>0</v>
      </c>
      <c r="X37">
        <f t="shared" si="7"/>
        <v>101297.152</v>
      </c>
      <c r="Y37">
        <f t="shared" si="8"/>
        <v>101297.152</v>
      </c>
      <c r="Z37">
        <v>1</v>
      </c>
      <c r="AA37">
        <f t="shared" si="9"/>
        <v>101297.152</v>
      </c>
      <c r="AB37">
        <f t="shared" si="10"/>
        <v>101297.152</v>
      </c>
      <c r="AC37">
        <f t="shared" si="11"/>
        <v>25324.288</v>
      </c>
      <c r="AD37">
        <f t="shared" si="12"/>
        <v>2006.8333333333333</v>
      </c>
      <c r="AE37">
        <f t="shared" si="13"/>
        <v>2018.0833333333333</v>
      </c>
      <c r="AF37">
        <f t="shared" si="14"/>
        <v>2013.8333333333333</v>
      </c>
      <c r="AG37">
        <f t="shared" si="15"/>
        <v>2017.0833333333333</v>
      </c>
      <c r="AH37">
        <f t="shared" si="16"/>
        <v>-8.3333333333333329E-2</v>
      </c>
      <c r="AJ37">
        <f t="shared" si="17"/>
        <v>8441.4293333333335</v>
      </c>
      <c r="AL37">
        <f t="shared" si="18"/>
        <v>8441.4293333333335</v>
      </c>
      <c r="AN37">
        <f t="shared" si="19"/>
        <v>-25324.288</v>
      </c>
      <c r="AP37">
        <f t="shared" si="20"/>
        <v>0</v>
      </c>
      <c r="AR37">
        <f t="shared" si="21"/>
        <v>0</v>
      </c>
      <c r="BX37" t="s">
        <v>281</v>
      </c>
    </row>
    <row r="38" spans="1:76">
      <c r="A38" t="s">
        <v>284</v>
      </c>
      <c r="C38">
        <v>3603</v>
      </c>
      <c r="D38" t="s">
        <v>161</v>
      </c>
      <c r="E38">
        <v>2007</v>
      </c>
      <c r="F38">
        <v>3</v>
      </c>
      <c r="G38">
        <v>0.2</v>
      </c>
      <c r="I38" t="s">
        <v>78</v>
      </c>
      <c r="J38">
        <v>7</v>
      </c>
      <c r="K38">
        <f t="shared" si="0"/>
        <v>2014</v>
      </c>
      <c r="N38">
        <v>194705.04</v>
      </c>
      <c r="P38">
        <f t="shared" si="1"/>
        <v>155764.03200000001</v>
      </c>
      <c r="Q38">
        <f t="shared" si="2"/>
        <v>1854.3337142857144</v>
      </c>
      <c r="R38">
        <f t="shared" si="3"/>
        <v>0</v>
      </c>
      <c r="S38">
        <f t="shared" si="4"/>
        <v>0</v>
      </c>
      <c r="T38">
        <f t="shared" si="5"/>
        <v>0</v>
      </c>
      <c r="U38">
        <v>1</v>
      </c>
      <c r="V38">
        <f t="shared" si="6"/>
        <v>0</v>
      </c>
      <c r="X38">
        <f t="shared" si="7"/>
        <v>155764.03200000001</v>
      </c>
      <c r="Y38">
        <f t="shared" si="8"/>
        <v>155764.03200000001</v>
      </c>
      <c r="Z38">
        <v>1</v>
      </c>
      <c r="AA38">
        <f t="shared" si="9"/>
        <v>155764.03200000001</v>
      </c>
      <c r="AB38">
        <f t="shared" si="10"/>
        <v>155764.03200000001</v>
      </c>
      <c r="AC38">
        <f t="shared" si="11"/>
        <v>38941.008000000002</v>
      </c>
      <c r="AD38">
        <f t="shared" si="12"/>
        <v>2007.1666666666667</v>
      </c>
      <c r="AE38">
        <f t="shared" si="13"/>
        <v>2018.0833333333333</v>
      </c>
      <c r="AF38">
        <f t="shared" si="14"/>
        <v>2014.1666666666667</v>
      </c>
      <c r="AG38">
        <f t="shared" si="15"/>
        <v>2017.0833333333333</v>
      </c>
      <c r="AH38">
        <f t="shared" si="16"/>
        <v>-8.3333333333333329E-2</v>
      </c>
      <c r="AJ38">
        <f t="shared" si="17"/>
        <v>12980.336000000001</v>
      </c>
      <c r="AL38">
        <f t="shared" si="18"/>
        <v>12980.336000000001</v>
      </c>
      <c r="AN38">
        <f t="shared" si="19"/>
        <v>-38941.008000000002</v>
      </c>
      <c r="AP38">
        <f t="shared" si="20"/>
        <v>0</v>
      </c>
      <c r="AR38">
        <f t="shared" si="21"/>
        <v>0</v>
      </c>
      <c r="BW38">
        <v>5</v>
      </c>
      <c r="BX38" t="s">
        <v>282</v>
      </c>
    </row>
    <row r="39" spans="1:76">
      <c r="A39" t="s">
        <v>285</v>
      </c>
      <c r="B39">
        <v>61108</v>
      </c>
      <c r="C39">
        <v>1054</v>
      </c>
      <c r="D39" t="s">
        <v>150</v>
      </c>
      <c r="E39">
        <v>2007</v>
      </c>
      <c r="F39">
        <v>4</v>
      </c>
      <c r="G39">
        <v>0.2</v>
      </c>
      <c r="I39" t="s">
        <v>78</v>
      </c>
      <c r="J39">
        <v>7</v>
      </c>
      <c r="K39">
        <f t="shared" si="0"/>
        <v>2014</v>
      </c>
      <c r="N39">
        <v>126959.69</v>
      </c>
      <c r="P39">
        <f t="shared" si="1"/>
        <v>101567.75200000001</v>
      </c>
      <c r="Q39">
        <f t="shared" si="2"/>
        <v>1209.139904761905</v>
      </c>
      <c r="R39">
        <f t="shared" si="3"/>
        <v>0</v>
      </c>
      <c r="S39">
        <f t="shared" si="4"/>
        <v>0</v>
      </c>
      <c r="T39">
        <f t="shared" si="5"/>
        <v>0</v>
      </c>
      <c r="U39">
        <v>1</v>
      </c>
      <c r="V39">
        <f t="shared" si="6"/>
        <v>0</v>
      </c>
      <c r="X39">
        <f t="shared" si="7"/>
        <v>101567.75200000001</v>
      </c>
      <c r="Y39">
        <f t="shared" si="8"/>
        <v>101567.75200000001</v>
      </c>
      <c r="Z39">
        <v>1</v>
      </c>
      <c r="AA39">
        <f t="shared" si="9"/>
        <v>101567.75200000001</v>
      </c>
      <c r="AB39">
        <f t="shared" si="10"/>
        <v>101567.75200000001</v>
      </c>
      <c r="AC39">
        <f t="shared" si="11"/>
        <v>25391.937999999995</v>
      </c>
      <c r="AD39">
        <f t="shared" si="12"/>
        <v>2007.25</v>
      </c>
      <c r="AE39">
        <f t="shared" si="13"/>
        <v>2018.0833333333333</v>
      </c>
      <c r="AF39">
        <f t="shared" si="14"/>
        <v>2014.25</v>
      </c>
      <c r="AG39">
        <f t="shared" si="15"/>
        <v>2017.0833333333333</v>
      </c>
      <c r="AH39">
        <f t="shared" si="16"/>
        <v>-8.3333333333333329E-2</v>
      </c>
      <c r="AJ39">
        <f t="shared" si="17"/>
        <v>8463.9793333333309</v>
      </c>
      <c r="AL39">
        <f t="shared" si="18"/>
        <v>8463.9793333333309</v>
      </c>
      <c r="AN39">
        <f t="shared" si="19"/>
        <v>-25391.937999999995</v>
      </c>
      <c r="AP39">
        <f t="shared" si="20"/>
        <v>0</v>
      </c>
      <c r="AR39">
        <f t="shared" si="21"/>
        <v>0</v>
      </c>
    </row>
    <row r="40" spans="1:76">
      <c r="A40" t="s">
        <v>285</v>
      </c>
      <c r="B40">
        <v>61109</v>
      </c>
      <c r="C40">
        <v>1059</v>
      </c>
      <c r="D40" t="s">
        <v>150</v>
      </c>
      <c r="E40">
        <v>2007</v>
      </c>
      <c r="F40">
        <v>4</v>
      </c>
      <c r="G40">
        <v>0.2</v>
      </c>
      <c r="I40" t="s">
        <v>78</v>
      </c>
      <c r="J40">
        <v>7</v>
      </c>
      <c r="K40">
        <f t="shared" si="0"/>
        <v>2014</v>
      </c>
      <c r="N40">
        <v>127343.72</v>
      </c>
      <c r="P40">
        <f t="shared" si="1"/>
        <v>101874.976</v>
      </c>
      <c r="Q40">
        <f t="shared" si="2"/>
        <v>1212.7973333333332</v>
      </c>
      <c r="R40">
        <f t="shared" si="3"/>
        <v>0</v>
      </c>
      <c r="S40">
        <f t="shared" si="4"/>
        <v>0</v>
      </c>
      <c r="T40">
        <f t="shared" si="5"/>
        <v>0</v>
      </c>
      <c r="U40">
        <v>1</v>
      </c>
      <c r="V40">
        <f t="shared" si="6"/>
        <v>0</v>
      </c>
      <c r="X40">
        <f t="shared" si="7"/>
        <v>101874.976</v>
      </c>
      <c r="Y40">
        <f t="shared" si="8"/>
        <v>101874.976</v>
      </c>
      <c r="Z40">
        <v>1</v>
      </c>
      <c r="AA40">
        <f t="shared" si="9"/>
        <v>101874.976</v>
      </c>
      <c r="AB40">
        <f t="shared" si="10"/>
        <v>101874.976</v>
      </c>
      <c r="AC40">
        <f t="shared" si="11"/>
        <v>25468.744000000006</v>
      </c>
      <c r="AD40">
        <f t="shared" si="12"/>
        <v>2007.25</v>
      </c>
      <c r="AE40">
        <f t="shared" si="13"/>
        <v>2018.0833333333333</v>
      </c>
      <c r="AF40">
        <f t="shared" si="14"/>
        <v>2014.25</v>
      </c>
      <c r="AG40">
        <f t="shared" si="15"/>
        <v>2017.0833333333333</v>
      </c>
      <c r="AH40">
        <f t="shared" si="16"/>
        <v>-8.3333333333333329E-2</v>
      </c>
      <c r="AJ40">
        <f t="shared" si="17"/>
        <v>8489.5813333333354</v>
      </c>
      <c r="AL40">
        <f t="shared" si="18"/>
        <v>8489.5813333333354</v>
      </c>
      <c r="AN40">
        <f t="shared" si="19"/>
        <v>-25468.744000000006</v>
      </c>
      <c r="AP40">
        <f t="shared" si="20"/>
        <v>0</v>
      </c>
      <c r="AR40">
        <f t="shared" si="21"/>
        <v>0</v>
      </c>
    </row>
    <row r="41" spans="1:76">
      <c r="A41" t="s">
        <v>285</v>
      </c>
      <c r="B41">
        <v>61110</v>
      </c>
      <c r="C41">
        <v>1062</v>
      </c>
      <c r="D41" t="s">
        <v>150</v>
      </c>
      <c r="E41">
        <v>2007</v>
      </c>
      <c r="F41">
        <v>5</v>
      </c>
      <c r="G41">
        <v>0.2</v>
      </c>
      <c r="I41" t="s">
        <v>78</v>
      </c>
      <c r="J41">
        <v>7</v>
      </c>
      <c r="K41">
        <f t="shared" si="0"/>
        <v>2014</v>
      </c>
      <c r="N41">
        <v>127343.72</v>
      </c>
      <c r="P41">
        <f t="shared" si="1"/>
        <v>101874.976</v>
      </c>
      <c r="Q41">
        <f t="shared" si="2"/>
        <v>1212.7973333333332</v>
      </c>
      <c r="R41">
        <f t="shared" si="3"/>
        <v>0</v>
      </c>
      <c r="S41">
        <f t="shared" si="4"/>
        <v>0</v>
      </c>
      <c r="T41">
        <f t="shared" si="5"/>
        <v>0</v>
      </c>
      <c r="U41">
        <v>1</v>
      </c>
      <c r="V41">
        <f t="shared" si="6"/>
        <v>0</v>
      </c>
      <c r="X41">
        <f t="shared" si="7"/>
        <v>101874.976</v>
      </c>
      <c r="Y41">
        <f t="shared" si="8"/>
        <v>101874.976</v>
      </c>
      <c r="Z41">
        <v>1</v>
      </c>
      <c r="AA41">
        <f t="shared" si="9"/>
        <v>101874.976</v>
      </c>
      <c r="AB41">
        <f t="shared" si="10"/>
        <v>101874.976</v>
      </c>
      <c r="AC41">
        <f t="shared" si="11"/>
        <v>25468.744000000006</v>
      </c>
      <c r="AD41">
        <f t="shared" si="12"/>
        <v>2007.3333333333333</v>
      </c>
      <c r="AE41">
        <f t="shared" si="13"/>
        <v>2018.0833333333333</v>
      </c>
      <c r="AF41">
        <f t="shared" si="14"/>
        <v>2014.3333333333333</v>
      </c>
      <c r="AG41">
        <f t="shared" si="15"/>
        <v>2017.0833333333333</v>
      </c>
      <c r="AH41">
        <f t="shared" si="16"/>
        <v>-8.3333333333333329E-2</v>
      </c>
      <c r="AJ41">
        <f t="shared" si="17"/>
        <v>8489.5813333333354</v>
      </c>
      <c r="AL41">
        <f t="shared" si="18"/>
        <v>8489.5813333333354</v>
      </c>
      <c r="AN41">
        <f t="shared" si="19"/>
        <v>-25468.744000000006</v>
      </c>
      <c r="AP41">
        <f t="shared" si="20"/>
        <v>0</v>
      </c>
      <c r="AR41">
        <f t="shared" si="21"/>
        <v>0</v>
      </c>
    </row>
    <row r="42" spans="1:76">
      <c r="A42" t="s">
        <v>285</v>
      </c>
      <c r="B42">
        <v>61111</v>
      </c>
      <c r="C42">
        <v>1067</v>
      </c>
      <c r="D42" t="s">
        <v>150</v>
      </c>
      <c r="E42">
        <v>2007</v>
      </c>
      <c r="F42">
        <v>5</v>
      </c>
      <c r="G42">
        <v>0.2</v>
      </c>
      <c r="I42" t="s">
        <v>78</v>
      </c>
      <c r="J42">
        <v>7</v>
      </c>
      <c r="K42">
        <f t="shared" si="0"/>
        <v>2014</v>
      </c>
      <c r="N42">
        <v>127343.72</v>
      </c>
      <c r="P42">
        <f t="shared" si="1"/>
        <v>101874.976</v>
      </c>
      <c r="Q42">
        <f t="shared" si="2"/>
        <v>1212.7973333333332</v>
      </c>
      <c r="R42">
        <f t="shared" si="3"/>
        <v>0</v>
      </c>
      <c r="S42">
        <f t="shared" si="4"/>
        <v>0</v>
      </c>
      <c r="T42">
        <f t="shared" si="5"/>
        <v>0</v>
      </c>
      <c r="U42">
        <v>1</v>
      </c>
      <c r="V42">
        <f t="shared" si="6"/>
        <v>0</v>
      </c>
      <c r="X42">
        <f t="shared" si="7"/>
        <v>101874.976</v>
      </c>
      <c r="Y42">
        <f t="shared" si="8"/>
        <v>101874.976</v>
      </c>
      <c r="Z42">
        <v>1</v>
      </c>
      <c r="AA42">
        <f t="shared" si="9"/>
        <v>101874.976</v>
      </c>
      <c r="AB42">
        <f t="shared" si="10"/>
        <v>101874.976</v>
      </c>
      <c r="AC42">
        <f t="shared" si="11"/>
        <v>25468.744000000006</v>
      </c>
      <c r="AD42">
        <f t="shared" si="12"/>
        <v>2007.3333333333333</v>
      </c>
      <c r="AE42">
        <f t="shared" si="13"/>
        <v>2018.0833333333333</v>
      </c>
      <c r="AF42">
        <f t="shared" si="14"/>
        <v>2014.3333333333333</v>
      </c>
      <c r="AG42">
        <f t="shared" si="15"/>
        <v>2017.0833333333333</v>
      </c>
      <c r="AH42">
        <f t="shared" si="16"/>
        <v>-8.3333333333333329E-2</v>
      </c>
      <c r="AJ42">
        <f t="shared" si="17"/>
        <v>8489.5813333333354</v>
      </c>
      <c r="AL42">
        <f t="shared" si="18"/>
        <v>8489.5813333333354</v>
      </c>
      <c r="AN42">
        <f t="shared" si="19"/>
        <v>-25468.744000000006</v>
      </c>
      <c r="AP42">
        <f t="shared" si="20"/>
        <v>0</v>
      </c>
      <c r="AR42">
        <f t="shared" si="21"/>
        <v>0</v>
      </c>
    </row>
    <row r="43" spans="1:76">
      <c r="A43" t="s">
        <v>284</v>
      </c>
      <c r="C43">
        <v>3606</v>
      </c>
      <c r="D43" t="s">
        <v>377</v>
      </c>
      <c r="E43">
        <v>2007</v>
      </c>
      <c r="F43">
        <v>7</v>
      </c>
      <c r="G43">
        <v>0.2</v>
      </c>
      <c r="I43" t="s">
        <v>78</v>
      </c>
      <c r="J43">
        <v>7</v>
      </c>
      <c r="K43">
        <f t="shared" si="0"/>
        <v>2014</v>
      </c>
      <c r="N43">
        <v>194705.04</v>
      </c>
      <c r="P43">
        <f t="shared" si="1"/>
        <v>155764.03200000001</v>
      </c>
      <c r="Q43">
        <f t="shared" si="2"/>
        <v>1854.3337142857144</v>
      </c>
      <c r="R43">
        <f t="shared" si="3"/>
        <v>0</v>
      </c>
      <c r="S43">
        <f t="shared" si="4"/>
        <v>0</v>
      </c>
      <c r="T43">
        <f t="shared" si="5"/>
        <v>0</v>
      </c>
      <c r="U43">
        <v>1</v>
      </c>
      <c r="V43">
        <f t="shared" si="6"/>
        <v>0</v>
      </c>
      <c r="X43">
        <f t="shared" si="7"/>
        <v>155764.03200000001</v>
      </c>
      <c r="Y43">
        <f t="shared" si="8"/>
        <v>155764.03200000001</v>
      </c>
      <c r="Z43">
        <v>1</v>
      </c>
      <c r="AA43">
        <f t="shared" si="9"/>
        <v>155764.03200000001</v>
      </c>
      <c r="AB43">
        <f t="shared" si="10"/>
        <v>155764.03200000001</v>
      </c>
      <c r="AC43">
        <f t="shared" si="11"/>
        <v>38941.008000000002</v>
      </c>
      <c r="AD43">
        <f t="shared" si="12"/>
        <v>2007.5</v>
      </c>
      <c r="AE43">
        <f t="shared" si="13"/>
        <v>2018.0833333333333</v>
      </c>
      <c r="AF43">
        <f t="shared" si="14"/>
        <v>2014.5</v>
      </c>
      <c r="AG43">
        <f t="shared" si="15"/>
        <v>2017.0833333333333</v>
      </c>
      <c r="AH43">
        <f t="shared" si="16"/>
        <v>-8.3333333333333329E-2</v>
      </c>
      <c r="AJ43">
        <f t="shared" si="17"/>
        <v>12980.336000000001</v>
      </c>
      <c r="AL43">
        <f t="shared" si="18"/>
        <v>12980.336000000001</v>
      </c>
      <c r="AN43">
        <f t="shared" si="19"/>
        <v>-38941.008000000002</v>
      </c>
      <c r="AP43">
        <f t="shared" si="20"/>
        <v>0</v>
      </c>
      <c r="AR43">
        <f t="shared" si="21"/>
        <v>0</v>
      </c>
    </row>
    <row r="44" spans="1:76" ht="14.25" customHeight="1">
      <c r="A44" t="s">
        <v>284</v>
      </c>
      <c r="C44">
        <v>3622</v>
      </c>
      <c r="D44" t="s">
        <v>321</v>
      </c>
      <c r="E44">
        <v>2008</v>
      </c>
      <c r="F44">
        <v>10</v>
      </c>
      <c r="G44">
        <v>0.2</v>
      </c>
      <c r="I44" t="s">
        <v>78</v>
      </c>
      <c r="J44">
        <v>7</v>
      </c>
      <c r="K44">
        <f t="shared" si="0"/>
        <v>2015</v>
      </c>
      <c r="N44">
        <v>222213.95</v>
      </c>
      <c r="P44">
        <f t="shared" si="1"/>
        <v>177771.16</v>
      </c>
      <c r="Q44">
        <f t="shared" si="2"/>
        <v>2116.3233333333333</v>
      </c>
      <c r="R44">
        <f t="shared" si="3"/>
        <v>0</v>
      </c>
      <c r="S44">
        <f t="shared" si="4"/>
        <v>0</v>
      </c>
      <c r="T44">
        <f t="shared" si="5"/>
        <v>0</v>
      </c>
      <c r="U44">
        <v>1</v>
      </c>
      <c r="V44">
        <f t="shared" si="6"/>
        <v>0</v>
      </c>
      <c r="X44">
        <f t="shared" si="7"/>
        <v>177771.16</v>
      </c>
      <c r="Y44">
        <f t="shared" si="8"/>
        <v>177771.16</v>
      </c>
      <c r="Z44">
        <v>1</v>
      </c>
      <c r="AA44">
        <f t="shared" si="9"/>
        <v>177771.16</v>
      </c>
      <c r="AB44">
        <f t="shared" si="10"/>
        <v>177771.16</v>
      </c>
      <c r="AC44">
        <f t="shared" si="11"/>
        <v>44442.790000000008</v>
      </c>
      <c r="AD44">
        <f t="shared" si="12"/>
        <v>2008.75</v>
      </c>
      <c r="AE44">
        <f t="shared" si="13"/>
        <v>2018.0833333333333</v>
      </c>
      <c r="AF44">
        <f t="shared" si="14"/>
        <v>2015.75</v>
      </c>
      <c r="AG44">
        <f t="shared" si="15"/>
        <v>2017.0833333333333</v>
      </c>
      <c r="AH44">
        <f t="shared" si="16"/>
        <v>-8.3333333333333329E-2</v>
      </c>
      <c r="AJ44">
        <f t="shared" si="17"/>
        <v>14814.263333333336</v>
      </c>
      <c r="AL44">
        <f t="shared" si="18"/>
        <v>14814.263333333336</v>
      </c>
      <c r="AN44">
        <f t="shared" si="19"/>
        <v>-44442.790000000008</v>
      </c>
      <c r="AP44">
        <f t="shared" si="20"/>
        <v>0</v>
      </c>
      <c r="AR44">
        <f t="shared" si="21"/>
        <v>0</v>
      </c>
    </row>
    <row r="45" spans="1:76">
      <c r="A45" t="s">
        <v>288</v>
      </c>
      <c r="C45">
        <v>5012</v>
      </c>
      <c r="D45" t="s">
        <v>314</v>
      </c>
      <c r="E45">
        <v>2008</v>
      </c>
      <c r="F45">
        <v>11</v>
      </c>
      <c r="G45">
        <v>0.33</v>
      </c>
      <c r="I45" t="s">
        <v>78</v>
      </c>
      <c r="J45">
        <v>5</v>
      </c>
      <c r="K45">
        <f t="shared" si="0"/>
        <v>2013</v>
      </c>
      <c r="N45">
        <v>0</v>
      </c>
      <c r="P45">
        <f t="shared" si="1"/>
        <v>0</v>
      </c>
      <c r="Q45">
        <f t="shared" si="2"/>
        <v>0</v>
      </c>
      <c r="R45">
        <f t="shared" si="3"/>
        <v>0</v>
      </c>
      <c r="S45">
        <f t="shared" si="4"/>
        <v>0</v>
      </c>
      <c r="T45">
        <f t="shared" si="5"/>
        <v>0</v>
      </c>
      <c r="U45">
        <v>1</v>
      </c>
      <c r="V45">
        <f t="shared" si="6"/>
        <v>0</v>
      </c>
      <c r="X45">
        <f t="shared" si="7"/>
        <v>0</v>
      </c>
      <c r="Y45">
        <f t="shared" si="8"/>
        <v>0</v>
      </c>
      <c r="Z45">
        <v>1</v>
      </c>
      <c r="AA45">
        <f t="shared" si="9"/>
        <v>0</v>
      </c>
      <c r="AB45">
        <f t="shared" si="10"/>
        <v>0</v>
      </c>
      <c r="AC45">
        <f t="shared" si="11"/>
        <v>0</v>
      </c>
      <c r="AD45">
        <f t="shared" si="12"/>
        <v>2008.8333333333333</v>
      </c>
      <c r="AE45">
        <f t="shared" si="13"/>
        <v>2018.0833333333333</v>
      </c>
      <c r="AF45">
        <f t="shared" si="14"/>
        <v>2013.8333333333333</v>
      </c>
      <c r="AG45">
        <f t="shared" si="15"/>
        <v>2017.0833333333333</v>
      </c>
      <c r="AH45">
        <f t="shared" si="16"/>
        <v>-8.3333333333333329E-2</v>
      </c>
      <c r="AJ45">
        <f t="shared" si="17"/>
        <v>0</v>
      </c>
      <c r="AL45">
        <f t="shared" si="18"/>
        <v>0</v>
      </c>
      <c r="AN45">
        <f t="shared" si="19"/>
        <v>0</v>
      </c>
      <c r="AP45">
        <f t="shared" si="20"/>
        <v>0</v>
      </c>
      <c r="AR45">
        <f t="shared" si="21"/>
        <v>0</v>
      </c>
    </row>
    <row r="46" spans="1:76">
      <c r="A46" t="s">
        <v>284</v>
      </c>
      <c r="C46">
        <v>3621</v>
      </c>
      <c r="D46" t="s">
        <v>322</v>
      </c>
      <c r="E46">
        <v>2009</v>
      </c>
      <c r="F46">
        <v>1</v>
      </c>
      <c r="G46">
        <v>0.2</v>
      </c>
      <c r="I46" t="s">
        <v>78</v>
      </c>
      <c r="J46">
        <v>7</v>
      </c>
      <c r="K46">
        <f t="shared" si="0"/>
        <v>2016</v>
      </c>
      <c r="N46">
        <f>3949.44+117694.82+100569.69</f>
        <v>222213.95</v>
      </c>
      <c r="P46">
        <f t="shared" ref="P46:P75" si="22">N46-N46*G46</f>
        <v>177771.16</v>
      </c>
      <c r="Q46">
        <f t="shared" ref="Q46:Q75" si="23">P46/J46/12</f>
        <v>2116.3233333333333</v>
      </c>
      <c r="R46">
        <f t="shared" si="3"/>
        <v>0</v>
      </c>
      <c r="S46">
        <f t="shared" si="4"/>
        <v>0</v>
      </c>
      <c r="T46">
        <f t="shared" si="5"/>
        <v>0</v>
      </c>
      <c r="U46">
        <v>1</v>
      </c>
      <c r="V46">
        <f t="shared" si="6"/>
        <v>0</v>
      </c>
      <c r="X46">
        <f t="shared" si="7"/>
        <v>177771.16</v>
      </c>
      <c r="Y46">
        <f t="shared" si="8"/>
        <v>177771.16</v>
      </c>
      <c r="Z46">
        <v>1</v>
      </c>
      <c r="AA46">
        <f t="shared" si="9"/>
        <v>177771.16</v>
      </c>
      <c r="AB46">
        <f t="shared" si="10"/>
        <v>177771.16</v>
      </c>
      <c r="AC46">
        <f t="shared" si="11"/>
        <v>44442.790000000008</v>
      </c>
      <c r="AD46">
        <f t="shared" si="12"/>
        <v>2009</v>
      </c>
      <c r="AE46">
        <f t="shared" si="13"/>
        <v>2018.0833333333333</v>
      </c>
      <c r="AF46">
        <f t="shared" si="14"/>
        <v>2016</v>
      </c>
      <c r="AG46">
        <f t="shared" si="15"/>
        <v>2017.0833333333333</v>
      </c>
      <c r="AH46">
        <f t="shared" ref="AH46:AH75" si="24">$L46+(($M46-1)/12)</f>
        <v>-8.3333333333333329E-2</v>
      </c>
      <c r="AJ46">
        <f t="shared" si="17"/>
        <v>14814.263333333336</v>
      </c>
      <c r="AL46">
        <f t="shared" si="18"/>
        <v>14814.263333333336</v>
      </c>
      <c r="AN46">
        <f t="shared" si="19"/>
        <v>-44442.790000000008</v>
      </c>
      <c r="AP46">
        <f t="shared" si="20"/>
        <v>0</v>
      </c>
      <c r="AR46">
        <f t="shared" si="21"/>
        <v>0</v>
      </c>
    </row>
    <row r="47" spans="1:76">
      <c r="A47" t="s">
        <v>284</v>
      </c>
      <c r="C47">
        <v>3575</v>
      </c>
      <c r="D47" t="s">
        <v>320</v>
      </c>
      <c r="E47">
        <v>2009</v>
      </c>
      <c r="F47">
        <v>5</v>
      </c>
      <c r="G47">
        <v>0</v>
      </c>
      <c r="I47" t="s">
        <v>78</v>
      </c>
      <c r="J47">
        <v>3</v>
      </c>
      <c r="K47">
        <f t="shared" si="0"/>
        <v>2012</v>
      </c>
      <c r="N47">
        <v>2786.78</v>
      </c>
      <c r="P47">
        <f t="shared" si="22"/>
        <v>2786.78</v>
      </c>
      <c r="Q47">
        <f t="shared" si="23"/>
        <v>77.410555555555561</v>
      </c>
      <c r="R47">
        <f t="shared" si="3"/>
        <v>0</v>
      </c>
      <c r="S47">
        <f t="shared" si="4"/>
        <v>0</v>
      </c>
      <c r="T47">
        <f t="shared" si="5"/>
        <v>0</v>
      </c>
      <c r="U47">
        <v>1</v>
      </c>
      <c r="V47">
        <f t="shared" si="6"/>
        <v>0</v>
      </c>
      <c r="X47">
        <f t="shared" si="7"/>
        <v>2786.78</v>
      </c>
      <c r="Y47">
        <f t="shared" si="8"/>
        <v>2786.78</v>
      </c>
      <c r="Z47">
        <v>1</v>
      </c>
      <c r="AA47">
        <f t="shared" si="9"/>
        <v>2786.78</v>
      </c>
      <c r="AB47">
        <f t="shared" si="10"/>
        <v>2786.78</v>
      </c>
      <c r="AC47">
        <f t="shared" si="11"/>
        <v>0</v>
      </c>
      <c r="AD47">
        <f t="shared" si="12"/>
        <v>2009.3333333333333</v>
      </c>
      <c r="AE47">
        <f t="shared" si="13"/>
        <v>2018.0833333333333</v>
      </c>
      <c r="AF47">
        <f t="shared" si="14"/>
        <v>2012.3333333333333</v>
      </c>
      <c r="AG47">
        <f t="shared" si="15"/>
        <v>2017.0833333333333</v>
      </c>
      <c r="AH47">
        <f t="shared" si="24"/>
        <v>-8.3333333333333329E-2</v>
      </c>
      <c r="AJ47">
        <f t="shared" si="17"/>
        <v>0</v>
      </c>
      <c r="AL47">
        <f t="shared" si="18"/>
        <v>0</v>
      </c>
      <c r="AN47">
        <f t="shared" si="19"/>
        <v>0</v>
      </c>
      <c r="AP47">
        <f t="shared" si="20"/>
        <v>0</v>
      </c>
      <c r="AR47">
        <f t="shared" si="21"/>
        <v>0</v>
      </c>
    </row>
    <row r="48" spans="1:76">
      <c r="A48" t="s">
        <v>311</v>
      </c>
      <c r="C48">
        <v>67258</v>
      </c>
      <c r="D48" t="s">
        <v>324</v>
      </c>
      <c r="E48">
        <v>2009</v>
      </c>
      <c r="F48">
        <v>6</v>
      </c>
      <c r="G48">
        <v>0.33</v>
      </c>
      <c r="I48" t="s">
        <v>78</v>
      </c>
      <c r="J48">
        <v>5</v>
      </c>
      <c r="K48">
        <f t="shared" si="0"/>
        <v>2014</v>
      </c>
      <c r="N48">
        <v>42016.67</v>
      </c>
      <c r="P48">
        <f t="shared" si="22"/>
        <v>28151.168899999997</v>
      </c>
      <c r="Q48">
        <f t="shared" si="23"/>
        <v>469.18614833333328</v>
      </c>
      <c r="R48">
        <f t="shared" si="3"/>
        <v>0</v>
      </c>
      <c r="S48">
        <f t="shared" si="4"/>
        <v>0</v>
      </c>
      <c r="T48">
        <f t="shared" si="5"/>
        <v>0</v>
      </c>
      <c r="U48">
        <v>1</v>
      </c>
      <c r="V48">
        <f t="shared" si="6"/>
        <v>0</v>
      </c>
      <c r="X48">
        <f t="shared" si="7"/>
        <v>28151.168899999997</v>
      </c>
      <c r="Y48">
        <f t="shared" si="8"/>
        <v>28151.168899999997</v>
      </c>
      <c r="Z48">
        <v>1</v>
      </c>
      <c r="AA48">
        <f t="shared" si="9"/>
        <v>28151.168899999997</v>
      </c>
      <c r="AB48">
        <f t="shared" si="10"/>
        <v>28151.168899999997</v>
      </c>
      <c r="AC48">
        <f t="shared" si="11"/>
        <v>13865.501100000001</v>
      </c>
      <c r="AD48">
        <f t="shared" si="12"/>
        <v>2009.4166666666667</v>
      </c>
      <c r="AE48">
        <f t="shared" si="13"/>
        <v>2018.0833333333333</v>
      </c>
      <c r="AF48">
        <f t="shared" si="14"/>
        <v>2014.4166666666667</v>
      </c>
      <c r="AG48">
        <f t="shared" si="15"/>
        <v>2017.0833333333333</v>
      </c>
      <c r="AH48">
        <f t="shared" si="24"/>
        <v>-8.3333333333333329E-2</v>
      </c>
      <c r="AJ48">
        <f t="shared" si="17"/>
        <v>4621.8337000000001</v>
      </c>
      <c r="AL48">
        <f t="shared" si="18"/>
        <v>4621.8337000000001</v>
      </c>
      <c r="AN48">
        <f t="shared" si="19"/>
        <v>-13865.501100000001</v>
      </c>
      <c r="AP48">
        <f t="shared" si="20"/>
        <v>0</v>
      </c>
      <c r="AR48">
        <f t="shared" si="21"/>
        <v>0</v>
      </c>
    </row>
    <row r="49" spans="1:44">
      <c r="A49" t="s">
        <v>288</v>
      </c>
      <c r="C49">
        <v>4510</v>
      </c>
      <c r="D49" t="s">
        <v>327</v>
      </c>
      <c r="E49">
        <v>2009</v>
      </c>
      <c r="F49">
        <v>6</v>
      </c>
      <c r="G49">
        <v>0</v>
      </c>
      <c r="I49" t="s">
        <v>78</v>
      </c>
      <c r="J49">
        <v>3</v>
      </c>
      <c r="K49">
        <f t="shared" si="0"/>
        <v>2012</v>
      </c>
      <c r="N49">
        <v>4493.79</v>
      </c>
      <c r="P49">
        <f t="shared" si="22"/>
        <v>4493.79</v>
      </c>
      <c r="Q49">
        <f t="shared" si="23"/>
        <v>124.8275</v>
      </c>
      <c r="R49">
        <f t="shared" si="3"/>
        <v>0</v>
      </c>
      <c r="S49">
        <f t="shared" si="4"/>
        <v>0</v>
      </c>
      <c r="T49">
        <f t="shared" si="5"/>
        <v>0</v>
      </c>
      <c r="U49">
        <v>1</v>
      </c>
      <c r="V49">
        <f t="shared" si="6"/>
        <v>0</v>
      </c>
      <c r="X49">
        <f t="shared" si="7"/>
        <v>4493.79</v>
      </c>
      <c r="Y49">
        <f t="shared" si="8"/>
        <v>4493.79</v>
      </c>
      <c r="Z49">
        <v>1</v>
      </c>
      <c r="AA49">
        <f t="shared" si="9"/>
        <v>4493.79</v>
      </c>
      <c r="AB49">
        <f t="shared" si="10"/>
        <v>4493.79</v>
      </c>
      <c r="AC49">
        <f t="shared" si="11"/>
        <v>0</v>
      </c>
      <c r="AD49">
        <f t="shared" si="12"/>
        <v>2009.4166666666667</v>
      </c>
      <c r="AE49">
        <f t="shared" si="13"/>
        <v>2018.0833333333333</v>
      </c>
      <c r="AF49">
        <f t="shared" si="14"/>
        <v>2012.4166666666667</v>
      </c>
      <c r="AG49">
        <f t="shared" si="15"/>
        <v>2017.0833333333333</v>
      </c>
      <c r="AH49">
        <f t="shared" si="24"/>
        <v>-8.3333333333333329E-2</v>
      </c>
      <c r="AJ49">
        <f t="shared" si="17"/>
        <v>0</v>
      </c>
      <c r="AL49">
        <f t="shared" si="18"/>
        <v>0</v>
      </c>
      <c r="AN49">
        <f t="shared" si="19"/>
        <v>0</v>
      </c>
      <c r="AP49">
        <f t="shared" si="20"/>
        <v>0</v>
      </c>
      <c r="AR49">
        <f t="shared" si="21"/>
        <v>0</v>
      </c>
    </row>
    <row r="50" spans="1:44">
      <c r="A50" t="s">
        <v>288</v>
      </c>
      <c r="C50">
        <v>4511</v>
      </c>
      <c r="D50" t="s">
        <v>328</v>
      </c>
      <c r="E50">
        <v>2009</v>
      </c>
      <c r="F50">
        <v>6</v>
      </c>
      <c r="G50">
        <v>0</v>
      </c>
      <c r="I50" t="s">
        <v>78</v>
      </c>
      <c r="J50">
        <v>3</v>
      </c>
      <c r="K50">
        <f t="shared" si="0"/>
        <v>2012</v>
      </c>
      <c r="N50">
        <v>3096.41</v>
      </c>
      <c r="P50">
        <f t="shared" si="22"/>
        <v>3096.41</v>
      </c>
      <c r="Q50">
        <f t="shared" si="23"/>
        <v>86.011388888888874</v>
      </c>
      <c r="R50">
        <f t="shared" si="3"/>
        <v>0</v>
      </c>
      <c r="S50">
        <f t="shared" si="4"/>
        <v>0</v>
      </c>
      <c r="T50">
        <f t="shared" si="5"/>
        <v>0</v>
      </c>
      <c r="U50">
        <v>1</v>
      </c>
      <c r="V50">
        <f t="shared" si="6"/>
        <v>0</v>
      </c>
      <c r="X50">
        <f t="shared" si="7"/>
        <v>3096.41</v>
      </c>
      <c r="Y50">
        <f t="shared" si="8"/>
        <v>3096.41</v>
      </c>
      <c r="Z50">
        <v>1</v>
      </c>
      <c r="AA50">
        <f t="shared" si="9"/>
        <v>3096.41</v>
      </c>
      <c r="AB50">
        <f t="shared" si="10"/>
        <v>3096.41</v>
      </c>
      <c r="AC50">
        <f t="shared" si="11"/>
        <v>0</v>
      </c>
      <c r="AD50">
        <f t="shared" si="12"/>
        <v>2009.4166666666667</v>
      </c>
      <c r="AE50">
        <f t="shared" si="13"/>
        <v>2018.0833333333333</v>
      </c>
      <c r="AF50">
        <f t="shared" si="14"/>
        <v>2012.4166666666667</v>
      </c>
      <c r="AG50">
        <f t="shared" si="15"/>
        <v>2017.0833333333333</v>
      </c>
      <c r="AH50">
        <f t="shared" si="24"/>
        <v>-8.3333333333333329E-2</v>
      </c>
      <c r="AJ50">
        <f t="shared" si="17"/>
        <v>0</v>
      </c>
      <c r="AL50">
        <f t="shared" si="18"/>
        <v>0</v>
      </c>
      <c r="AN50">
        <f t="shared" si="19"/>
        <v>0</v>
      </c>
      <c r="AP50">
        <f t="shared" si="20"/>
        <v>0</v>
      </c>
      <c r="AR50">
        <f t="shared" si="21"/>
        <v>0</v>
      </c>
    </row>
    <row r="51" spans="1:44">
      <c r="A51" t="s">
        <v>311</v>
      </c>
      <c r="C51">
        <v>68611</v>
      </c>
      <c r="D51" t="s">
        <v>325</v>
      </c>
      <c r="E51">
        <v>2009</v>
      </c>
      <c r="F51">
        <v>7</v>
      </c>
      <c r="G51">
        <v>0.33</v>
      </c>
      <c r="I51" t="s">
        <v>78</v>
      </c>
      <c r="J51">
        <v>5</v>
      </c>
      <c r="K51">
        <f t="shared" si="0"/>
        <v>2014</v>
      </c>
      <c r="N51">
        <v>-1085</v>
      </c>
      <c r="P51">
        <f t="shared" si="22"/>
        <v>-726.95</v>
      </c>
      <c r="Q51">
        <f t="shared" si="23"/>
        <v>-12.115833333333335</v>
      </c>
      <c r="R51">
        <f t="shared" si="3"/>
        <v>0</v>
      </c>
      <c r="S51">
        <f t="shared" si="4"/>
        <v>0</v>
      </c>
      <c r="T51">
        <f t="shared" si="5"/>
        <v>0</v>
      </c>
      <c r="U51">
        <v>1</v>
      </c>
      <c r="V51">
        <f t="shared" si="6"/>
        <v>0</v>
      </c>
      <c r="X51">
        <f t="shared" si="7"/>
        <v>-726.95</v>
      </c>
      <c r="Y51">
        <f t="shared" si="8"/>
        <v>-726.95</v>
      </c>
      <c r="Z51">
        <v>1</v>
      </c>
      <c r="AA51">
        <f t="shared" si="9"/>
        <v>-726.95</v>
      </c>
      <c r="AB51">
        <f t="shared" si="10"/>
        <v>-726.95</v>
      </c>
      <c r="AC51">
        <f t="shared" si="11"/>
        <v>-358.04999999999995</v>
      </c>
      <c r="AD51">
        <f t="shared" si="12"/>
        <v>2009.5</v>
      </c>
      <c r="AE51">
        <f t="shared" si="13"/>
        <v>2018.0833333333333</v>
      </c>
      <c r="AF51">
        <f t="shared" si="14"/>
        <v>2014.5</v>
      </c>
      <c r="AG51">
        <f t="shared" si="15"/>
        <v>2017.0833333333333</v>
      </c>
      <c r="AH51">
        <f t="shared" si="24"/>
        <v>-8.3333333333333329E-2</v>
      </c>
      <c r="AJ51">
        <f t="shared" si="17"/>
        <v>-119.34999999999998</v>
      </c>
      <c r="AL51">
        <f t="shared" si="18"/>
        <v>-119.34999999999998</v>
      </c>
      <c r="AN51">
        <f t="shared" si="19"/>
        <v>358.04999999999995</v>
      </c>
      <c r="AP51">
        <f t="shared" si="20"/>
        <v>0</v>
      </c>
      <c r="AR51">
        <f t="shared" si="21"/>
        <v>0</v>
      </c>
    </row>
    <row r="52" spans="1:44">
      <c r="A52" t="s">
        <v>312</v>
      </c>
      <c r="B52">
        <v>75159</v>
      </c>
      <c r="D52" t="s">
        <v>388</v>
      </c>
      <c r="E52">
        <v>2010</v>
      </c>
      <c r="F52">
        <v>3</v>
      </c>
      <c r="G52">
        <v>0.33</v>
      </c>
      <c r="I52" t="s">
        <v>78</v>
      </c>
      <c r="J52">
        <v>5</v>
      </c>
      <c r="K52">
        <f t="shared" si="0"/>
        <v>2015</v>
      </c>
      <c r="N52">
        <v>11181.56</v>
      </c>
      <c r="P52">
        <f t="shared" si="22"/>
        <v>7491.645199999999</v>
      </c>
      <c r="Q52">
        <f t="shared" si="23"/>
        <v>124.86075333333332</v>
      </c>
      <c r="R52">
        <f t="shared" si="3"/>
        <v>0</v>
      </c>
      <c r="S52">
        <f t="shared" si="4"/>
        <v>0</v>
      </c>
      <c r="T52">
        <f t="shared" si="5"/>
        <v>0</v>
      </c>
      <c r="U52">
        <v>1</v>
      </c>
      <c r="V52">
        <f t="shared" si="6"/>
        <v>0</v>
      </c>
      <c r="X52">
        <f t="shared" si="7"/>
        <v>7491.645199999999</v>
      </c>
      <c r="Y52">
        <f t="shared" si="8"/>
        <v>7491.645199999999</v>
      </c>
      <c r="Z52">
        <v>1</v>
      </c>
      <c r="AA52">
        <f t="shared" si="9"/>
        <v>7491.645199999999</v>
      </c>
      <c r="AB52">
        <f t="shared" si="10"/>
        <v>7491.645199999999</v>
      </c>
      <c r="AC52">
        <f t="shared" si="11"/>
        <v>3689.9148000000005</v>
      </c>
      <c r="AD52">
        <f t="shared" si="12"/>
        <v>2010.1666666666667</v>
      </c>
      <c r="AE52">
        <f t="shared" si="13"/>
        <v>2018.0833333333333</v>
      </c>
      <c r="AF52">
        <f t="shared" si="14"/>
        <v>2015.1666666666667</v>
      </c>
      <c r="AG52">
        <f t="shared" si="15"/>
        <v>2017.0833333333333</v>
      </c>
      <c r="AH52">
        <f t="shared" si="24"/>
        <v>-8.3333333333333329E-2</v>
      </c>
      <c r="AJ52">
        <f t="shared" si="17"/>
        <v>1229.9716000000001</v>
      </c>
      <c r="AL52">
        <f t="shared" si="18"/>
        <v>1229.9716000000001</v>
      </c>
      <c r="AN52">
        <f t="shared" si="19"/>
        <v>-3689.9148000000005</v>
      </c>
      <c r="AP52">
        <f t="shared" si="20"/>
        <v>0</v>
      </c>
      <c r="AR52">
        <f t="shared" si="21"/>
        <v>0</v>
      </c>
    </row>
    <row r="53" spans="1:44">
      <c r="A53" t="s">
        <v>286</v>
      </c>
      <c r="B53">
        <v>77760</v>
      </c>
      <c r="C53">
        <v>2035</v>
      </c>
      <c r="D53" t="s">
        <v>385</v>
      </c>
      <c r="E53">
        <v>2010</v>
      </c>
      <c r="F53">
        <v>10</v>
      </c>
      <c r="G53">
        <v>0.2</v>
      </c>
      <c r="I53" t="s">
        <v>78</v>
      </c>
      <c r="J53">
        <v>7</v>
      </c>
      <c r="K53">
        <f t="shared" si="0"/>
        <v>2017</v>
      </c>
      <c r="N53">
        <v>232081.5</v>
      </c>
      <c r="P53">
        <f t="shared" si="22"/>
        <v>185665.2</v>
      </c>
      <c r="Q53">
        <f t="shared" si="23"/>
        <v>2210.3000000000002</v>
      </c>
      <c r="R53">
        <f t="shared" si="3"/>
        <v>17682.400000002013</v>
      </c>
      <c r="S53">
        <f t="shared" si="4"/>
        <v>0</v>
      </c>
      <c r="T53">
        <f t="shared" si="5"/>
        <v>17682.400000002013</v>
      </c>
      <c r="U53">
        <v>1</v>
      </c>
      <c r="V53">
        <f t="shared" si="6"/>
        <v>17682.400000002013</v>
      </c>
      <c r="X53">
        <f t="shared" si="7"/>
        <v>167982.79999999801</v>
      </c>
      <c r="Y53">
        <f t="shared" si="8"/>
        <v>167982.79999999801</v>
      </c>
      <c r="Z53">
        <v>1</v>
      </c>
      <c r="AA53">
        <f t="shared" si="9"/>
        <v>167982.79999999801</v>
      </c>
      <c r="AB53">
        <f t="shared" si="10"/>
        <v>185665.2</v>
      </c>
      <c r="AC53">
        <f t="shared" si="11"/>
        <v>55257.50000000099</v>
      </c>
      <c r="AD53">
        <f t="shared" si="12"/>
        <v>2010.75</v>
      </c>
      <c r="AE53">
        <f t="shared" si="13"/>
        <v>2018.0833333333333</v>
      </c>
      <c r="AF53">
        <f t="shared" si="14"/>
        <v>2017.75</v>
      </c>
      <c r="AG53">
        <f t="shared" si="15"/>
        <v>2017.0833333333333</v>
      </c>
      <c r="AH53">
        <f t="shared" si="24"/>
        <v>-8.3333333333333329E-2</v>
      </c>
      <c r="AJ53">
        <f t="shared" si="17"/>
        <v>15472.099999999997</v>
      </c>
      <c r="AL53">
        <f t="shared" si="18"/>
        <v>33154.500000002008</v>
      </c>
      <c r="AN53">
        <f t="shared" si="19"/>
        <v>0</v>
      </c>
      <c r="AP53">
        <f t="shared" si="20"/>
        <v>47521.450000000987</v>
      </c>
      <c r="AR53">
        <f t="shared" si="21"/>
        <v>47521.450000000987</v>
      </c>
    </row>
    <row r="54" spans="1:44">
      <c r="B54">
        <v>88721</v>
      </c>
      <c r="D54" t="s">
        <v>436</v>
      </c>
      <c r="E54">
        <v>2011</v>
      </c>
      <c r="F54">
        <v>12</v>
      </c>
      <c r="G54">
        <v>0</v>
      </c>
      <c r="I54" t="s">
        <v>78</v>
      </c>
      <c r="J54">
        <v>5</v>
      </c>
      <c r="K54">
        <f t="shared" si="0"/>
        <v>2016</v>
      </c>
      <c r="N54">
        <f>487.65*32</f>
        <v>15604.8</v>
      </c>
      <c r="P54">
        <f t="shared" si="22"/>
        <v>15604.8</v>
      </c>
      <c r="Q54">
        <f t="shared" si="23"/>
        <v>260.08</v>
      </c>
      <c r="R54">
        <f t="shared" si="3"/>
        <v>0</v>
      </c>
      <c r="S54">
        <f t="shared" si="4"/>
        <v>0</v>
      </c>
      <c r="T54">
        <f t="shared" si="5"/>
        <v>0</v>
      </c>
      <c r="U54">
        <v>1</v>
      </c>
      <c r="V54">
        <f t="shared" si="6"/>
        <v>0</v>
      </c>
      <c r="X54">
        <f t="shared" si="7"/>
        <v>15604.8</v>
      </c>
      <c r="Y54">
        <f t="shared" si="8"/>
        <v>15604.8</v>
      </c>
      <c r="Z54">
        <v>1</v>
      </c>
      <c r="AA54">
        <f t="shared" si="9"/>
        <v>15604.8</v>
      </c>
      <c r="AB54">
        <f t="shared" si="10"/>
        <v>15604.8</v>
      </c>
      <c r="AC54">
        <f t="shared" si="11"/>
        <v>0</v>
      </c>
      <c r="AD54">
        <f t="shared" si="12"/>
        <v>2011.9166666666667</v>
      </c>
      <c r="AE54">
        <f t="shared" si="13"/>
        <v>2018.0833333333333</v>
      </c>
      <c r="AF54">
        <f t="shared" si="14"/>
        <v>2016.9166666666667</v>
      </c>
      <c r="AG54">
        <f t="shared" si="15"/>
        <v>2017.0833333333333</v>
      </c>
      <c r="AH54">
        <f t="shared" si="24"/>
        <v>-8.3333333333333329E-2</v>
      </c>
      <c r="AJ54">
        <f t="shared" si="17"/>
        <v>0</v>
      </c>
      <c r="AL54">
        <f t="shared" si="18"/>
        <v>0</v>
      </c>
      <c r="AN54">
        <f t="shared" si="19"/>
        <v>0</v>
      </c>
      <c r="AP54">
        <f t="shared" si="20"/>
        <v>0</v>
      </c>
      <c r="AR54">
        <f t="shared" si="21"/>
        <v>0</v>
      </c>
    </row>
    <row r="55" spans="1:44">
      <c r="B55">
        <v>88756</v>
      </c>
      <c r="C55">
        <v>3629</v>
      </c>
      <c r="D55" t="s">
        <v>441</v>
      </c>
      <c r="E55">
        <v>2011</v>
      </c>
      <c r="F55">
        <v>11</v>
      </c>
      <c r="G55">
        <v>0.2</v>
      </c>
      <c r="I55" t="s">
        <v>78</v>
      </c>
      <c r="J55">
        <v>7</v>
      </c>
      <c r="K55">
        <f t="shared" si="0"/>
        <v>2018</v>
      </c>
      <c r="N55">
        <v>289049.83</v>
      </c>
      <c r="P55">
        <f t="shared" si="22"/>
        <v>231239.864</v>
      </c>
      <c r="Q55">
        <f t="shared" si="23"/>
        <v>2752.8555238095237</v>
      </c>
      <c r="R55">
        <f t="shared" si="3"/>
        <v>33034.266285714286</v>
      </c>
      <c r="S55">
        <f t="shared" si="4"/>
        <v>0</v>
      </c>
      <c r="T55">
        <f t="shared" si="5"/>
        <v>33034.266285714286</v>
      </c>
      <c r="U55">
        <v>1</v>
      </c>
      <c r="V55">
        <f t="shared" si="6"/>
        <v>33034.266285714286</v>
      </c>
      <c r="X55">
        <f t="shared" si="7"/>
        <v>173429.89799999999</v>
      </c>
      <c r="Y55">
        <f t="shared" si="8"/>
        <v>173429.89799999999</v>
      </c>
      <c r="Z55">
        <v>1</v>
      </c>
      <c r="AA55">
        <f t="shared" si="9"/>
        <v>173429.89799999999</v>
      </c>
      <c r="AB55">
        <f t="shared" si="10"/>
        <v>206464.16428571427</v>
      </c>
      <c r="AC55">
        <f t="shared" si="11"/>
        <v>99102.798857142887</v>
      </c>
      <c r="AD55">
        <f t="shared" si="12"/>
        <v>2011.8333333333333</v>
      </c>
      <c r="AE55">
        <f t="shared" si="13"/>
        <v>2018.0833333333333</v>
      </c>
      <c r="AF55">
        <f t="shared" si="14"/>
        <v>2018.8333333333333</v>
      </c>
      <c r="AG55">
        <f t="shared" si="15"/>
        <v>2017.0833333333333</v>
      </c>
      <c r="AH55">
        <f t="shared" si="24"/>
        <v>-8.3333333333333329E-2</v>
      </c>
      <c r="AJ55">
        <f t="shared" si="17"/>
        <v>19269.988666666672</v>
      </c>
      <c r="AL55">
        <f t="shared" si="18"/>
        <v>52304.254952380958</v>
      </c>
      <c r="AN55">
        <f t="shared" si="19"/>
        <v>0</v>
      </c>
      <c r="AP55">
        <f t="shared" si="20"/>
        <v>89467.804523809551</v>
      </c>
      <c r="AR55">
        <f t="shared" si="21"/>
        <v>89467.804523809551</v>
      </c>
    </row>
    <row r="56" spans="1:44">
      <c r="B56">
        <v>89484</v>
      </c>
      <c r="C56">
        <v>2036</v>
      </c>
      <c r="D56" t="s">
        <v>447</v>
      </c>
      <c r="E56">
        <v>2011</v>
      </c>
      <c r="F56">
        <v>12</v>
      </c>
      <c r="G56">
        <v>0.2</v>
      </c>
      <c r="I56" t="s">
        <v>78</v>
      </c>
      <c r="J56">
        <v>7</v>
      </c>
      <c r="K56">
        <f t="shared" si="0"/>
        <v>2018</v>
      </c>
      <c r="N56">
        <v>245480.55</v>
      </c>
      <c r="P56">
        <f t="shared" si="22"/>
        <v>196384.44</v>
      </c>
      <c r="Q56">
        <f t="shared" si="23"/>
        <v>2337.9100000000003</v>
      </c>
      <c r="R56">
        <f t="shared" si="3"/>
        <v>28054.920000000006</v>
      </c>
      <c r="S56">
        <f t="shared" si="4"/>
        <v>0</v>
      </c>
      <c r="T56">
        <f t="shared" si="5"/>
        <v>28054.920000000006</v>
      </c>
      <c r="U56">
        <v>1</v>
      </c>
      <c r="V56">
        <f t="shared" si="6"/>
        <v>28054.920000000006</v>
      </c>
      <c r="X56">
        <f t="shared" si="7"/>
        <v>144950.41999999576</v>
      </c>
      <c r="Y56">
        <f t="shared" si="8"/>
        <v>144950.41999999576</v>
      </c>
      <c r="Z56">
        <v>1</v>
      </c>
      <c r="AA56">
        <f t="shared" si="9"/>
        <v>144950.41999999576</v>
      </c>
      <c r="AB56">
        <f t="shared" si="10"/>
        <v>173005.33999999578</v>
      </c>
      <c r="AC56">
        <f t="shared" si="11"/>
        <v>86502.670000004218</v>
      </c>
      <c r="AD56">
        <f t="shared" si="12"/>
        <v>2011.9166666666667</v>
      </c>
      <c r="AE56">
        <f t="shared" si="13"/>
        <v>2018.0833333333333</v>
      </c>
      <c r="AF56">
        <f t="shared" si="14"/>
        <v>2018.9166666666667</v>
      </c>
      <c r="AG56">
        <f t="shared" si="15"/>
        <v>2017.0833333333333</v>
      </c>
      <c r="AH56">
        <f t="shared" si="24"/>
        <v>-8.3333333333333329E-2</v>
      </c>
      <c r="AJ56">
        <f t="shared" si="17"/>
        <v>16365.369999999995</v>
      </c>
      <c r="AL56">
        <f t="shared" si="18"/>
        <v>44420.29</v>
      </c>
      <c r="AN56">
        <f t="shared" si="19"/>
        <v>0</v>
      </c>
      <c r="AP56">
        <f t="shared" si="20"/>
        <v>78319.985000004221</v>
      </c>
      <c r="AR56">
        <f t="shared" si="21"/>
        <v>78319.985000004221</v>
      </c>
    </row>
    <row r="57" spans="1:44">
      <c r="A57" t="s">
        <v>288</v>
      </c>
      <c r="B57" t="s">
        <v>443</v>
      </c>
      <c r="C57">
        <v>4511</v>
      </c>
      <c r="D57" t="s">
        <v>444</v>
      </c>
      <c r="E57">
        <v>2012</v>
      </c>
      <c r="F57">
        <v>2</v>
      </c>
      <c r="G57">
        <v>0</v>
      </c>
      <c r="I57" t="s">
        <v>78</v>
      </c>
      <c r="J57">
        <v>3</v>
      </c>
      <c r="K57">
        <f t="shared" si="0"/>
        <v>2015</v>
      </c>
      <c r="N57">
        <f>12472.57-4700.16+4164.8</f>
        <v>11937.21</v>
      </c>
      <c r="P57">
        <f t="shared" si="22"/>
        <v>11937.21</v>
      </c>
      <c r="Q57">
        <f t="shared" si="23"/>
        <v>331.58916666666664</v>
      </c>
      <c r="R57">
        <f t="shared" si="3"/>
        <v>0</v>
      </c>
      <c r="S57">
        <f t="shared" si="4"/>
        <v>0</v>
      </c>
      <c r="T57">
        <f t="shared" si="5"/>
        <v>0</v>
      </c>
      <c r="U57">
        <v>1</v>
      </c>
      <c r="V57">
        <f t="shared" si="6"/>
        <v>0</v>
      </c>
      <c r="X57">
        <f t="shared" si="7"/>
        <v>11937.21</v>
      </c>
      <c r="Y57">
        <f t="shared" si="8"/>
        <v>11937.21</v>
      </c>
      <c r="Z57">
        <v>1</v>
      </c>
      <c r="AA57">
        <f t="shared" si="9"/>
        <v>11937.21</v>
      </c>
      <c r="AB57">
        <f t="shared" si="10"/>
        <v>11937.21</v>
      </c>
      <c r="AC57">
        <f t="shared" si="11"/>
        <v>0</v>
      </c>
      <c r="AD57">
        <f t="shared" si="12"/>
        <v>2012.0833333333333</v>
      </c>
      <c r="AE57">
        <f t="shared" si="13"/>
        <v>2018.0833333333333</v>
      </c>
      <c r="AF57">
        <f t="shared" si="14"/>
        <v>2015.0833333333333</v>
      </c>
      <c r="AG57">
        <f t="shared" si="15"/>
        <v>2017.0833333333333</v>
      </c>
      <c r="AH57">
        <f t="shared" si="24"/>
        <v>-8.3333333333333329E-2</v>
      </c>
      <c r="AJ57">
        <f t="shared" si="17"/>
        <v>0</v>
      </c>
      <c r="AL57">
        <f t="shared" si="18"/>
        <v>0</v>
      </c>
      <c r="AN57">
        <f t="shared" si="19"/>
        <v>0</v>
      </c>
      <c r="AP57">
        <f t="shared" si="20"/>
        <v>0</v>
      </c>
      <c r="AR57">
        <f t="shared" si="21"/>
        <v>0</v>
      </c>
    </row>
    <row r="58" spans="1:44">
      <c r="A58" t="s">
        <v>462</v>
      </c>
      <c r="B58" t="s">
        <v>463</v>
      </c>
      <c r="C58">
        <v>3632</v>
      </c>
      <c r="D58" t="s">
        <v>441</v>
      </c>
      <c r="E58">
        <v>2012</v>
      </c>
      <c r="F58">
        <v>8</v>
      </c>
      <c r="G58">
        <v>0.2</v>
      </c>
      <c r="I58" t="s">
        <v>78</v>
      </c>
      <c r="J58">
        <v>7</v>
      </c>
      <c r="K58">
        <f t="shared" si="0"/>
        <v>2019</v>
      </c>
      <c r="N58">
        <f>297122+8555+23411</f>
        <v>329088</v>
      </c>
      <c r="P58">
        <f t="shared" si="22"/>
        <v>263270.40000000002</v>
      </c>
      <c r="Q58">
        <f t="shared" si="23"/>
        <v>3134.1714285714293</v>
      </c>
      <c r="R58">
        <f t="shared" si="3"/>
        <v>37610.057142857149</v>
      </c>
      <c r="S58">
        <f t="shared" si="4"/>
        <v>0</v>
      </c>
      <c r="T58">
        <f t="shared" si="5"/>
        <v>37610.057142857149</v>
      </c>
      <c r="U58">
        <v>1</v>
      </c>
      <c r="V58">
        <f t="shared" si="6"/>
        <v>37610.057142857149</v>
      </c>
      <c r="X58">
        <f t="shared" si="7"/>
        <v>169245.25714285718</v>
      </c>
      <c r="Y58">
        <f t="shared" si="8"/>
        <v>169245.25714285718</v>
      </c>
      <c r="Z58">
        <v>1</v>
      </c>
      <c r="AA58">
        <f t="shared" si="9"/>
        <v>169245.25714285718</v>
      </c>
      <c r="AB58">
        <f t="shared" si="10"/>
        <v>206855.31428571432</v>
      </c>
      <c r="AC58">
        <f t="shared" si="11"/>
        <v>141037.71428571426</v>
      </c>
      <c r="AD58">
        <f t="shared" si="12"/>
        <v>2012.5833333333333</v>
      </c>
      <c r="AE58">
        <f t="shared" si="13"/>
        <v>2018.0833333333333</v>
      </c>
      <c r="AF58">
        <f t="shared" si="14"/>
        <v>2019.5833333333333</v>
      </c>
      <c r="AG58">
        <f t="shared" si="15"/>
        <v>2017.0833333333333</v>
      </c>
      <c r="AH58">
        <f t="shared" si="24"/>
        <v>-8.3333333333333329E-2</v>
      </c>
      <c r="AJ58">
        <f t="shared" si="17"/>
        <v>21939.199999999993</v>
      </c>
      <c r="AL58">
        <f t="shared" si="18"/>
        <v>59549.257142857139</v>
      </c>
      <c r="AN58">
        <f t="shared" si="19"/>
        <v>0</v>
      </c>
      <c r="AP58">
        <f t="shared" si="20"/>
        <v>130068.11428571425</v>
      </c>
      <c r="AR58">
        <f t="shared" si="21"/>
        <v>130068.11428571425</v>
      </c>
    </row>
    <row r="59" spans="1:44">
      <c r="A59" t="s">
        <v>475</v>
      </c>
      <c r="B59">
        <v>99666</v>
      </c>
      <c r="C59">
        <v>2011</v>
      </c>
      <c r="D59" t="s">
        <v>476</v>
      </c>
      <c r="E59">
        <v>2012</v>
      </c>
      <c r="F59">
        <v>12</v>
      </c>
      <c r="G59">
        <v>0.2</v>
      </c>
      <c r="I59" t="s">
        <v>78</v>
      </c>
      <c r="J59">
        <v>7</v>
      </c>
      <c r="K59">
        <f t="shared" si="0"/>
        <v>2019</v>
      </c>
      <c r="N59">
        <v>301281</v>
      </c>
      <c r="P59">
        <f t="shared" si="22"/>
        <v>241024.8</v>
      </c>
      <c r="Q59">
        <f t="shared" si="23"/>
        <v>2869.3428571428572</v>
      </c>
      <c r="R59">
        <f t="shared" si="3"/>
        <v>34432.114285714284</v>
      </c>
      <c r="S59">
        <f t="shared" si="4"/>
        <v>0</v>
      </c>
      <c r="T59">
        <f t="shared" si="5"/>
        <v>34432.114285714284</v>
      </c>
      <c r="U59">
        <v>1</v>
      </c>
      <c r="V59">
        <f t="shared" si="6"/>
        <v>34432.114285714284</v>
      </c>
      <c r="X59">
        <f t="shared" si="7"/>
        <v>143467.14285713763</v>
      </c>
      <c r="Y59">
        <f t="shared" si="8"/>
        <v>143467.14285713763</v>
      </c>
      <c r="Z59">
        <v>1</v>
      </c>
      <c r="AA59">
        <f t="shared" si="9"/>
        <v>143467.14285713763</v>
      </c>
      <c r="AB59">
        <f t="shared" si="10"/>
        <v>177899.25714285191</v>
      </c>
      <c r="AC59">
        <f t="shared" si="11"/>
        <v>140597.80000000523</v>
      </c>
      <c r="AD59">
        <f t="shared" si="12"/>
        <v>2012.9166666666667</v>
      </c>
      <c r="AE59">
        <f t="shared" si="13"/>
        <v>2018.0833333333333</v>
      </c>
      <c r="AF59">
        <f t="shared" si="14"/>
        <v>2019.9166666666667</v>
      </c>
      <c r="AG59">
        <f t="shared" si="15"/>
        <v>2017.0833333333333</v>
      </c>
      <c r="AH59">
        <f t="shared" si="24"/>
        <v>-8.3333333333333329E-2</v>
      </c>
      <c r="AJ59">
        <f t="shared" si="17"/>
        <v>20085.400000000005</v>
      </c>
      <c r="AL59">
        <f t="shared" si="18"/>
        <v>54517.514285714293</v>
      </c>
      <c r="AN59">
        <f t="shared" si="19"/>
        <v>0</v>
      </c>
      <c r="AP59">
        <f t="shared" si="20"/>
        <v>130555.10000000523</v>
      </c>
      <c r="AR59">
        <f t="shared" si="21"/>
        <v>130555.10000000523</v>
      </c>
    </row>
    <row r="60" spans="1:44">
      <c r="B60">
        <v>103479</v>
      </c>
      <c r="C60">
        <v>1042</v>
      </c>
      <c r="D60" t="s">
        <v>477</v>
      </c>
      <c r="E60">
        <v>2013</v>
      </c>
      <c r="F60">
        <v>3</v>
      </c>
      <c r="G60">
        <v>0</v>
      </c>
      <c r="I60" t="s">
        <v>78</v>
      </c>
      <c r="J60">
        <v>3</v>
      </c>
      <c r="K60">
        <f t="shared" si="0"/>
        <v>2016</v>
      </c>
      <c r="N60">
        <v>13741.65</v>
      </c>
      <c r="P60">
        <f t="shared" si="22"/>
        <v>13741.65</v>
      </c>
      <c r="Q60">
        <f t="shared" si="23"/>
        <v>381.71250000000003</v>
      </c>
      <c r="R60">
        <f t="shared" si="3"/>
        <v>0</v>
      </c>
      <c r="S60">
        <f t="shared" si="4"/>
        <v>0</v>
      </c>
      <c r="T60">
        <f t="shared" si="5"/>
        <v>0</v>
      </c>
      <c r="U60">
        <v>1</v>
      </c>
      <c r="V60">
        <f t="shared" si="6"/>
        <v>0</v>
      </c>
      <c r="X60">
        <f t="shared" si="7"/>
        <v>13741.65</v>
      </c>
      <c r="Y60">
        <f t="shared" si="8"/>
        <v>13741.65</v>
      </c>
      <c r="Z60">
        <v>1</v>
      </c>
      <c r="AA60">
        <f t="shared" si="9"/>
        <v>13741.65</v>
      </c>
      <c r="AB60">
        <f t="shared" si="10"/>
        <v>13741.65</v>
      </c>
      <c r="AC60">
        <f t="shared" si="11"/>
        <v>0</v>
      </c>
      <c r="AD60">
        <f t="shared" si="12"/>
        <v>2013.1666666666667</v>
      </c>
      <c r="AE60">
        <f t="shared" si="13"/>
        <v>2018.0833333333333</v>
      </c>
      <c r="AF60">
        <f t="shared" si="14"/>
        <v>2016.1666666666667</v>
      </c>
      <c r="AG60">
        <f t="shared" si="15"/>
        <v>2017.0833333333333</v>
      </c>
      <c r="AH60">
        <f t="shared" si="24"/>
        <v>-8.3333333333333329E-2</v>
      </c>
      <c r="AJ60">
        <f t="shared" si="17"/>
        <v>0</v>
      </c>
      <c r="AL60">
        <f t="shared" si="18"/>
        <v>0</v>
      </c>
      <c r="AN60">
        <f t="shared" si="19"/>
        <v>0</v>
      </c>
      <c r="AP60">
        <f t="shared" si="20"/>
        <v>0</v>
      </c>
      <c r="AR60">
        <f t="shared" si="21"/>
        <v>0</v>
      </c>
    </row>
    <row r="61" spans="1:44">
      <c r="B61">
        <v>109992</v>
      </c>
      <c r="C61">
        <v>3603</v>
      </c>
      <c r="D61" t="s">
        <v>490</v>
      </c>
      <c r="E61">
        <v>2013</v>
      </c>
      <c r="F61">
        <v>12</v>
      </c>
      <c r="G61">
        <v>0</v>
      </c>
      <c r="I61" t="s">
        <v>78</v>
      </c>
      <c r="J61">
        <v>3</v>
      </c>
      <c r="K61">
        <f t="shared" si="0"/>
        <v>2016</v>
      </c>
      <c r="N61">
        <v>24943.74</v>
      </c>
      <c r="P61">
        <f t="shared" si="22"/>
        <v>24943.74</v>
      </c>
      <c r="Q61">
        <f t="shared" si="23"/>
        <v>692.88166666666666</v>
      </c>
      <c r="R61">
        <f t="shared" si="3"/>
        <v>0</v>
      </c>
      <c r="S61">
        <f t="shared" si="4"/>
        <v>0</v>
      </c>
      <c r="T61">
        <f t="shared" si="5"/>
        <v>0</v>
      </c>
      <c r="U61">
        <v>1</v>
      </c>
      <c r="V61">
        <f t="shared" si="6"/>
        <v>0</v>
      </c>
      <c r="X61">
        <f t="shared" si="7"/>
        <v>24943.74</v>
      </c>
      <c r="Y61">
        <f t="shared" si="8"/>
        <v>24943.74</v>
      </c>
      <c r="Z61">
        <v>1</v>
      </c>
      <c r="AA61">
        <f t="shared" si="9"/>
        <v>24943.74</v>
      </c>
      <c r="AB61">
        <f t="shared" si="10"/>
        <v>24943.74</v>
      </c>
      <c r="AC61">
        <f t="shared" si="11"/>
        <v>0</v>
      </c>
      <c r="AD61">
        <f t="shared" si="12"/>
        <v>2013.9166666666667</v>
      </c>
      <c r="AE61">
        <f t="shared" si="13"/>
        <v>2018.0833333333333</v>
      </c>
      <c r="AF61">
        <f t="shared" si="14"/>
        <v>2016.9166666666667</v>
      </c>
      <c r="AG61">
        <f t="shared" si="15"/>
        <v>2017.0833333333333</v>
      </c>
      <c r="AH61">
        <f t="shared" si="24"/>
        <v>-8.3333333333333329E-2</v>
      </c>
      <c r="AJ61">
        <f t="shared" si="17"/>
        <v>0</v>
      </c>
      <c r="AL61">
        <f t="shared" si="18"/>
        <v>0</v>
      </c>
      <c r="AN61">
        <f t="shared" si="19"/>
        <v>0</v>
      </c>
      <c r="AP61">
        <f t="shared" si="20"/>
        <v>0</v>
      </c>
      <c r="AR61">
        <f t="shared" si="21"/>
        <v>0</v>
      </c>
    </row>
    <row r="62" spans="1:44">
      <c r="A62" t="s">
        <v>462</v>
      </c>
      <c r="B62">
        <v>109517</v>
      </c>
      <c r="C62">
        <v>3539</v>
      </c>
      <c r="D62" t="s">
        <v>492</v>
      </c>
      <c r="E62">
        <v>2013</v>
      </c>
      <c r="F62">
        <v>12</v>
      </c>
      <c r="G62">
        <v>0.2</v>
      </c>
      <c r="I62" t="s">
        <v>78</v>
      </c>
      <c r="J62">
        <v>7</v>
      </c>
      <c r="K62">
        <f t="shared" si="0"/>
        <v>2020</v>
      </c>
      <c r="N62">
        <v>331758.37</v>
      </c>
      <c r="P62">
        <f t="shared" si="22"/>
        <v>265406.696</v>
      </c>
      <c r="Q62">
        <f t="shared" si="23"/>
        <v>3159.6035238095242</v>
      </c>
      <c r="R62">
        <f t="shared" si="3"/>
        <v>37915.242285714288</v>
      </c>
      <c r="S62">
        <f t="shared" si="4"/>
        <v>0</v>
      </c>
      <c r="T62">
        <f t="shared" si="5"/>
        <v>37915.242285714288</v>
      </c>
      <c r="U62">
        <v>1</v>
      </c>
      <c r="V62">
        <f t="shared" si="6"/>
        <v>37915.242285714288</v>
      </c>
      <c r="X62">
        <f t="shared" si="7"/>
        <v>120064.93390475617</v>
      </c>
      <c r="Y62">
        <f t="shared" si="8"/>
        <v>120064.93390475617</v>
      </c>
      <c r="Z62">
        <v>1</v>
      </c>
      <c r="AA62">
        <f t="shared" si="9"/>
        <v>120064.93390475617</v>
      </c>
      <c r="AB62">
        <f t="shared" si="10"/>
        <v>157980.17619047046</v>
      </c>
      <c r="AC62">
        <f t="shared" si="11"/>
        <v>192735.81495238669</v>
      </c>
      <c r="AD62">
        <f t="shared" si="12"/>
        <v>2013.9166666666667</v>
      </c>
      <c r="AE62">
        <f t="shared" si="13"/>
        <v>2018.0833333333333</v>
      </c>
      <c r="AF62">
        <f t="shared" si="14"/>
        <v>2020.9166666666667</v>
      </c>
      <c r="AG62">
        <f t="shared" si="15"/>
        <v>2017.0833333333333</v>
      </c>
      <c r="AH62">
        <f t="shared" si="24"/>
        <v>-8.3333333333333329E-2</v>
      </c>
      <c r="AJ62">
        <f t="shared" si="17"/>
        <v>17309.132347825402</v>
      </c>
      <c r="AL62">
        <f t="shared" si="18"/>
        <v>55224.374633539686</v>
      </c>
      <c r="AN62">
        <f t="shared" si="19"/>
        <v>0</v>
      </c>
      <c r="AP62">
        <f t="shared" si="20"/>
        <v>184081.24877847399</v>
      </c>
      <c r="AR62">
        <f t="shared" si="21"/>
        <v>184081.24877847399</v>
      </c>
    </row>
    <row r="63" spans="1:44">
      <c r="A63" t="s">
        <v>462</v>
      </c>
      <c r="B63">
        <v>109518</v>
      </c>
      <c r="C63">
        <v>3540</v>
      </c>
      <c r="D63" t="s">
        <v>492</v>
      </c>
      <c r="E63">
        <v>2013</v>
      </c>
      <c r="F63">
        <v>12</v>
      </c>
      <c r="G63">
        <v>0.2</v>
      </c>
      <c r="I63" t="s">
        <v>78</v>
      </c>
      <c r="J63">
        <v>7</v>
      </c>
      <c r="K63">
        <f t="shared" si="0"/>
        <v>2020</v>
      </c>
      <c r="N63">
        <v>334095.67</v>
      </c>
      <c r="P63">
        <f t="shared" si="22"/>
        <v>267276.53599999996</v>
      </c>
      <c r="Q63">
        <f t="shared" si="23"/>
        <v>3181.8635238095235</v>
      </c>
      <c r="R63">
        <f t="shared" si="3"/>
        <v>38182.362285714284</v>
      </c>
      <c r="S63">
        <f t="shared" si="4"/>
        <v>0</v>
      </c>
      <c r="T63">
        <f t="shared" si="5"/>
        <v>38182.362285714284</v>
      </c>
      <c r="U63">
        <v>1</v>
      </c>
      <c r="V63">
        <f t="shared" si="6"/>
        <v>38182.362285714284</v>
      </c>
      <c r="X63">
        <f t="shared" si="7"/>
        <v>120910.8139047561</v>
      </c>
      <c r="Y63">
        <f t="shared" si="8"/>
        <v>120910.8139047561</v>
      </c>
      <c r="Z63">
        <v>1</v>
      </c>
      <c r="AA63">
        <f t="shared" si="9"/>
        <v>120910.8139047561</v>
      </c>
      <c r="AB63">
        <f t="shared" si="10"/>
        <v>159093.17619047037</v>
      </c>
      <c r="AC63">
        <f t="shared" si="11"/>
        <v>194093.67495238676</v>
      </c>
      <c r="AD63">
        <f t="shared" si="12"/>
        <v>2013.9166666666667</v>
      </c>
      <c r="AE63">
        <f t="shared" si="13"/>
        <v>2018.0833333333333</v>
      </c>
      <c r="AF63">
        <f t="shared" si="14"/>
        <v>2020.9166666666667</v>
      </c>
      <c r="AG63">
        <f t="shared" si="15"/>
        <v>2017.0833333333333</v>
      </c>
      <c r="AH63">
        <f t="shared" si="24"/>
        <v>-8.3333333333333329E-2</v>
      </c>
      <c r="AJ63">
        <f t="shared" si="17"/>
        <v>17431.078434781924</v>
      </c>
      <c r="AL63">
        <f t="shared" si="18"/>
        <v>55613.440720496204</v>
      </c>
      <c r="AN63">
        <f t="shared" si="19"/>
        <v>0</v>
      </c>
      <c r="AP63">
        <f t="shared" si="20"/>
        <v>185378.13573499577</v>
      </c>
      <c r="AR63">
        <f t="shared" si="21"/>
        <v>185378.13573499577</v>
      </c>
    </row>
    <row r="64" spans="1:44">
      <c r="A64" t="s">
        <v>462</v>
      </c>
      <c r="B64">
        <v>109519</v>
      </c>
      <c r="C64">
        <v>3541</v>
      </c>
      <c r="D64" t="s">
        <v>491</v>
      </c>
      <c r="E64">
        <v>2013</v>
      </c>
      <c r="F64">
        <v>12</v>
      </c>
      <c r="G64">
        <v>0.2</v>
      </c>
      <c r="I64" t="s">
        <v>78</v>
      </c>
      <c r="J64">
        <v>7</v>
      </c>
      <c r="K64">
        <f t="shared" si="0"/>
        <v>2020</v>
      </c>
      <c r="N64">
        <v>332641.82</v>
      </c>
      <c r="P64">
        <f t="shared" si="22"/>
        <v>266113.45600000001</v>
      </c>
      <c r="Q64">
        <f t="shared" si="23"/>
        <v>3168.0173333333332</v>
      </c>
      <c r="R64">
        <f t="shared" si="3"/>
        <v>38016.207999999999</v>
      </c>
      <c r="S64">
        <f t="shared" si="4"/>
        <v>0</v>
      </c>
      <c r="T64">
        <f t="shared" si="5"/>
        <v>38016.207999999999</v>
      </c>
      <c r="U64">
        <v>1</v>
      </c>
      <c r="V64">
        <f t="shared" si="6"/>
        <v>38016.207999999999</v>
      </c>
      <c r="X64">
        <f t="shared" si="7"/>
        <v>120384.65866666089</v>
      </c>
      <c r="Y64">
        <f t="shared" si="8"/>
        <v>120384.65866666089</v>
      </c>
      <c r="Z64">
        <v>1</v>
      </c>
      <c r="AA64">
        <f t="shared" si="9"/>
        <v>120384.65866666089</v>
      </c>
      <c r="AB64">
        <f t="shared" si="10"/>
        <v>158400.86666666088</v>
      </c>
      <c r="AC64">
        <f t="shared" si="11"/>
        <v>193249.05733333912</v>
      </c>
      <c r="AD64">
        <f t="shared" si="12"/>
        <v>2013.9166666666667</v>
      </c>
      <c r="AE64">
        <f t="shared" si="13"/>
        <v>2018.0833333333333</v>
      </c>
      <c r="AF64">
        <f t="shared" si="14"/>
        <v>2020.9166666666667</v>
      </c>
      <c r="AG64">
        <f t="shared" si="15"/>
        <v>2017.0833333333333</v>
      </c>
      <c r="AH64">
        <f t="shared" si="24"/>
        <v>-8.3333333333333329E-2</v>
      </c>
      <c r="AJ64">
        <f t="shared" si="17"/>
        <v>17355.225391303662</v>
      </c>
      <c r="AL64">
        <f t="shared" si="18"/>
        <v>55371.433391303661</v>
      </c>
      <c r="AN64">
        <f t="shared" si="19"/>
        <v>0</v>
      </c>
      <c r="AP64">
        <f t="shared" si="20"/>
        <v>184571.44463768729</v>
      </c>
      <c r="AR64">
        <f t="shared" si="21"/>
        <v>184571.44463768729</v>
      </c>
    </row>
    <row r="65" spans="1:44">
      <c r="A65" t="s">
        <v>462</v>
      </c>
      <c r="B65" t="s">
        <v>499</v>
      </c>
      <c r="C65">
        <v>3542</v>
      </c>
      <c r="D65" t="s">
        <v>491</v>
      </c>
      <c r="E65">
        <v>2013</v>
      </c>
      <c r="F65">
        <v>12</v>
      </c>
      <c r="G65">
        <v>0.2</v>
      </c>
      <c r="I65" t="s">
        <v>78</v>
      </c>
      <c r="J65">
        <v>7</v>
      </c>
      <c r="K65">
        <f t="shared" si="0"/>
        <v>2020</v>
      </c>
      <c r="N65">
        <f>323070.82+904.93</f>
        <v>323975.75</v>
      </c>
      <c r="P65">
        <f t="shared" si="22"/>
        <v>259180.6</v>
      </c>
      <c r="Q65">
        <f t="shared" si="23"/>
        <v>3085.4833333333336</v>
      </c>
      <c r="R65">
        <f t="shared" si="3"/>
        <v>37025.800000000003</v>
      </c>
      <c r="S65">
        <f t="shared" si="4"/>
        <v>0</v>
      </c>
      <c r="T65">
        <f t="shared" si="5"/>
        <v>37025.800000000003</v>
      </c>
      <c r="U65">
        <v>1</v>
      </c>
      <c r="V65">
        <f t="shared" si="6"/>
        <v>37025.800000000003</v>
      </c>
      <c r="X65">
        <f t="shared" si="7"/>
        <v>117248.36666666107</v>
      </c>
      <c r="Y65">
        <f t="shared" si="8"/>
        <v>117248.36666666107</v>
      </c>
      <c r="Z65">
        <v>1</v>
      </c>
      <c r="AA65">
        <f t="shared" si="9"/>
        <v>117248.36666666107</v>
      </c>
      <c r="AB65">
        <f t="shared" si="10"/>
        <v>154274.16666666107</v>
      </c>
      <c r="AC65">
        <f t="shared" si="11"/>
        <v>188214.48333333893</v>
      </c>
      <c r="AD65">
        <f t="shared" si="12"/>
        <v>2013.9166666666667</v>
      </c>
      <c r="AE65">
        <f t="shared" si="13"/>
        <v>2018.0833333333333</v>
      </c>
      <c r="AF65">
        <f t="shared" si="14"/>
        <v>2020.9166666666667</v>
      </c>
      <c r="AG65">
        <f t="shared" si="15"/>
        <v>2017.0833333333333</v>
      </c>
      <c r="AH65">
        <f t="shared" si="24"/>
        <v>-8.3333333333333329E-2</v>
      </c>
      <c r="AJ65">
        <f t="shared" si="17"/>
        <v>16903.082608694982</v>
      </c>
      <c r="AL65">
        <f t="shared" si="18"/>
        <v>53928.882608694985</v>
      </c>
      <c r="AN65">
        <f t="shared" si="19"/>
        <v>0</v>
      </c>
      <c r="AP65">
        <f t="shared" si="20"/>
        <v>179762.94202899144</v>
      </c>
      <c r="AR65">
        <f t="shared" si="21"/>
        <v>179762.94202899144</v>
      </c>
    </row>
    <row r="66" spans="1:44">
      <c r="A66" t="s">
        <v>462</v>
      </c>
      <c r="B66">
        <v>117321</v>
      </c>
      <c r="C66">
        <v>3639</v>
      </c>
      <c r="D66" t="s">
        <v>526</v>
      </c>
      <c r="E66">
        <v>2014</v>
      </c>
      <c r="F66">
        <v>11</v>
      </c>
      <c r="G66">
        <v>0.2</v>
      </c>
      <c r="I66" t="s">
        <v>78</v>
      </c>
      <c r="J66">
        <v>7</v>
      </c>
      <c r="K66">
        <f t="shared" si="0"/>
        <v>2021</v>
      </c>
      <c r="N66">
        <v>330416.48</v>
      </c>
      <c r="P66">
        <f t="shared" si="22"/>
        <v>264333.18400000001</v>
      </c>
      <c r="Q66">
        <f t="shared" si="23"/>
        <v>3146.8236190476196</v>
      </c>
      <c r="R66">
        <f t="shared" si="3"/>
        <v>37761.883428571433</v>
      </c>
      <c r="S66">
        <f t="shared" si="4"/>
        <v>0</v>
      </c>
      <c r="T66">
        <f t="shared" si="5"/>
        <v>37761.883428571433</v>
      </c>
      <c r="U66">
        <v>1</v>
      </c>
      <c r="V66">
        <f t="shared" si="6"/>
        <v>37761.883428571433</v>
      </c>
      <c r="X66">
        <f t="shared" si="7"/>
        <v>84964.237714285729</v>
      </c>
      <c r="Y66">
        <f t="shared" si="8"/>
        <v>84964.237714285729</v>
      </c>
      <c r="Z66">
        <v>1</v>
      </c>
      <c r="AA66">
        <f t="shared" si="9"/>
        <v>84964.237714285729</v>
      </c>
      <c r="AB66">
        <f t="shared" si="10"/>
        <v>122726.12114285716</v>
      </c>
      <c r="AC66">
        <f t="shared" si="11"/>
        <v>226571.30057142855</v>
      </c>
      <c r="AD66">
        <f t="shared" si="12"/>
        <v>2014.8333333333333</v>
      </c>
      <c r="AE66">
        <f t="shared" si="13"/>
        <v>2018.0833333333333</v>
      </c>
      <c r="AF66">
        <f t="shared" si="14"/>
        <v>2021.8333333333333</v>
      </c>
      <c r="AG66">
        <f t="shared" si="15"/>
        <v>2017.0833333333333</v>
      </c>
      <c r="AH66">
        <f t="shared" si="24"/>
        <v>-8.3333333333333329E-2</v>
      </c>
      <c r="AJ66">
        <f t="shared" si="17"/>
        <v>13912.272842105258</v>
      </c>
      <c r="AL66">
        <f t="shared" si="18"/>
        <v>51674.156270676693</v>
      </c>
      <c r="AN66">
        <f t="shared" si="19"/>
        <v>0</v>
      </c>
      <c r="AP66">
        <f t="shared" si="20"/>
        <v>219615.16415037593</v>
      </c>
      <c r="AR66">
        <f t="shared" si="21"/>
        <v>219615.16415037593</v>
      </c>
    </row>
    <row r="67" spans="1:44">
      <c r="A67" t="s">
        <v>462</v>
      </c>
      <c r="B67">
        <v>117322</v>
      </c>
      <c r="C67">
        <v>3640</v>
      </c>
      <c r="D67" t="s">
        <v>526</v>
      </c>
      <c r="E67">
        <v>2014</v>
      </c>
      <c r="F67">
        <v>11</v>
      </c>
      <c r="G67">
        <v>0.2</v>
      </c>
      <c r="I67" t="s">
        <v>78</v>
      </c>
      <c r="J67">
        <v>7</v>
      </c>
      <c r="K67">
        <f t="shared" si="0"/>
        <v>2021</v>
      </c>
      <c r="N67">
        <v>330302.59000000003</v>
      </c>
      <c r="P67">
        <f t="shared" si="22"/>
        <v>264242.07200000004</v>
      </c>
      <c r="Q67">
        <f t="shared" si="23"/>
        <v>3145.7389523809529</v>
      </c>
      <c r="R67">
        <f t="shared" si="3"/>
        <v>37748.867428571437</v>
      </c>
      <c r="S67">
        <f t="shared" si="4"/>
        <v>0</v>
      </c>
      <c r="T67">
        <f t="shared" si="5"/>
        <v>37748.867428571437</v>
      </c>
      <c r="U67">
        <v>1</v>
      </c>
      <c r="V67">
        <f t="shared" si="6"/>
        <v>37748.867428571437</v>
      </c>
      <c r="X67">
        <f t="shared" si="7"/>
        <v>84934.951714285722</v>
      </c>
      <c r="Y67">
        <f t="shared" si="8"/>
        <v>84934.951714285722</v>
      </c>
      <c r="Z67">
        <v>1</v>
      </c>
      <c r="AA67">
        <f t="shared" si="9"/>
        <v>84934.951714285722</v>
      </c>
      <c r="AB67">
        <f t="shared" si="10"/>
        <v>122683.81914285716</v>
      </c>
      <c r="AC67">
        <f t="shared" si="11"/>
        <v>226493.20457142859</v>
      </c>
      <c r="AD67">
        <f t="shared" si="12"/>
        <v>2014.8333333333333</v>
      </c>
      <c r="AE67">
        <f t="shared" si="13"/>
        <v>2018.0833333333333</v>
      </c>
      <c r="AF67">
        <f t="shared" si="14"/>
        <v>2021.8333333333333</v>
      </c>
      <c r="AG67">
        <f t="shared" si="15"/>
        <v>2017.0833333333333</v>
      </c>
      <c r="AH67">
        <f t="shared" si="24"/>
        <v>-8.3333333333333329E-2</v>
      </c>
      <c r="AJ67">
        <f t="shared" si="17"/>
        <v>13907.477473684206</v>
      </c>
      <c r="AL67">
        <f t="shared" si="18"/>
        <v>51656.344902255645</v>
      </c>
      <c r="AN67">
        <f t="shared" si="19"/>
        <v>0</v>
      </c>
      <c r="AP67">
        <f t="shared" si="20"/>
        <v>219539.46583458647</v>
      </c>
      <c r="AR67">
        <f t="shared" si="21"/>
        <v>219539.46583458647</v>
      </c>
    </row>
    <row r="68" spans="1:44">
      <c r="A68" t="s">
        <v>527</v>
      </c>
      <c r="B68">
        <v>117320</v>
      </c>
      <c r="C68">
        <v>1071</v>
      </c>
      <c r="D68" t="s">
        <v>528</v>
      </c>
      <c r="E68">
        <v>2014</v>
      </c>
      <c r="F68">
        <v>11</v>
      </c>
      <c r="G68">
        <v>0.2</v>
      </c>
      <c r="I68" t="s">
        <v>78</v>
      </c>
      <c r="J68">
        <v>7</v>
      </c>
      <c r="K68">
        <f t="shared" si="0"/>
        <v>2021</v>
      </c>
      <c r="N68">
        <v>289667.86</v>
      </c>
      <c r="P68">
        <f t="shared" si="22"/>
        <v>231734.288</v>
      </c>
      <c r="Q68">
        <f t="shared" si="23"/>
        <v>2758.7415238095236</v>
      </c>
      <c r="R68">
        <f t="shared" si="3"/>
        <v>33104.898285714284</v>
      </c>
      <c r="S68">
        <f t="shared" si="4"/>
        <v>0</v>
      </c>
      <c r="T68">
        <f t="shared" si="5"/>
        <v>33104.898285714284</v>
      </c>
      <c r="U68">
        <v>1</v>
      </c>
      <c r="V68">
        <f t="shared" si="6"/>
        <v>33104.898285714284</v>
      </c>
      <c r="X68">
        <f t="shared" si="7"/>
        <v>74486.021142857135</v>
      </c>
      <c r="Y68">
        <f t="shared" si="8"/>
        <v>74486.021142857135</v>
      </c>
      <c r="Z68">
        <v>1</v>
      </c>
      <c r="AA68">
        <f t="shared" si="9"/>
        <v>74486.021142857135</v>
      </c>
      <c r="AB68">
        <f t="shared" si="10"/>
        <v>107590.91942857142</v>
      </c>
      <c r="AC68">
        <f t="shared" si="11"/>
        <v>198629.3897142857</v>
      </c>
      <c r="AD68">
        <f t="shared" si="12"/>
        <v>2014.8333333333333</v>
      </c>
      <c r="AE68">
        <f t="shared" si="13"/>
        <v>2018.0833333333333</v>
      </c>
      <c r="AF68">
        <f t="shared" si="14"/>
        <v>2021.8333333333333</v>
      </c>
      <c r="AG68">
        <f t="shared" si="15"/>
        <v>2017.0833333333333</v>
      </c>
      <c r="AH68">
        <f t="shared" si="24"/>
        <v>-8.3333333333333329E-2</v>
      </c>
      <c r="AJ68">
        <f t="shared" si="17"/>
        <v>12196.541473684207</v>
      </c>
      <c r="AL68">
        <f t="shared" si="18"/>
        <v>45301.43975939849</v>
      </c>
      <c r="AN68">
        <f t="shared" si="19"/>
        <v>0</v>
      </c>
      <c r="AP68">
        <f t="shared" si="20"/>
        <v>192531.11897744361</v>
      </c>
      <c r="AR68">
        <f t="shared" si="21"/>
        <v>192531.11897744361</v>
      </c>
    </row>
    <row r="69" spans="1:44">
      <c r="A69" t="s">
        <v>288</v>
      </c>
      <c r="B69" t="s">
        <v>568</v>
      </c>
      <c r="C69">
        <v>8924</v>
      </c>
      <c r="D69" t="s">
        <v>569</v>
      </c>
      <c r="E69">
        <v>2015</v>
      </c>
      <c r="F69">
        <v>5</v>
      </c>
      <c r="G69">
        <v>0.33</v>
      </c>
      <c r="I69" t="s">
        <v>78</v>
      </c>
      <c r="J69">
        <v>5</v>
      </c>
      <c r="K69">
        <f t="shared" si="0"/>
        <v>2020</v>
      </c>
      <c r="N69">
        <f>29396+30486</f>
        <v>59882</v>
      </c>
      <c r="P69">
        <f t="shared" si="22"/>
        <v>40120.94</v>
      </c>
      <c r="Q69">
        <f t="shared" si="23"/>
        <v>668.6823333333333</v>
      </c>
      <c r="R69">
        <f t="shared" si="3"/>
        <v>8024.1880000000001</v>
      </c>
      <c r="S69">
        <f t="shared" si="4"/>
        <v>0</v>
      </c>
      <c r="T69">
        <f t="shared" si="5"/>
        <v>8024.1880000000001</v>
      </c>
      <c r="U69">
        <v>1</v>
      </c>
      <c r="V69">
        <f t="shared" si="6"/>
        <v>8024.1880000000001</v>
      </c>
      <c r="X69">
        <f t="shared" si="7"/>
        <v>14042.329</v>
      </c>
      <c r="Y69">
        <f t="shared" si="8"/>
        <v>14042.329</v>
      </c>
      <c r="Z69">
        <v>1</v>
      </c>
      <c r="AA69">
        <f t="shared" si="9"/>
        <v>14042.329</v>
      </c>
      <c r="AB69">
        <f t="shared" si="10"/>
        <v>22066.517</v>
      </c>
      <c r="AC69">
        <f t="shared" si="11"/>
        <v>41827.577000000005</v>
      </c>
      <c r="AD69">
        <f t="shared" si="12"/>
        <v>2015.3333333333333</v>
      </c>
      <c r="AE69">
        <f t="shared" si="13"/>
        <v>2018.0833333333333</v>
      </c>
      <c r="AF69">
        <f t="shared" si="14"/>
        <v>2020.3333333333333</v>
      </c>
      <c r="AG69">
        <f t="shared" si="15"/>
        <v>2017.0833333333333</v>
      </c>
      <c r="AH69">
        <f t="shared" si="24"/>
        <v>-8.3333333333333329E-2</v>
      </c>
      <c r="AJ69">
        <f t="shared" si="17"/>
        <v>6080.3261538461529</v>
      </c>
      <c r="AL69">
        <f t="shared" si="18"/>
        <v>14104.514153846154</v>
      </c>
      <c r="AN69">
        <f t="shared" si="19"/>
        <v>0</v>
      </c>
      <c r="AP69">
        <f t="shared" si="20"/>
        <v>38787.413923076921</v>
      </c>
      <c r="AR69">
        <f t="shared" si="21"/>
        <v>38787.413923076921</v>
      </c>
    </row>
    <row r="70" spans="1:44">
      <c r="B70">
        <v>124606</v>
      </c>
      <c r="C70">
        <v>3603</v>
      </c>
      <c r="D70" t="s">
        <v>570</v>
      </c>
      <c r="E70">
        <v>2015</v>
      </c>
      <c r="F70">
        <v>6</v>
      </c>
      <c r="G70">
        <v>0</v>
      </c>
      <c r="I70" t="s">
        <v>78</v>
      </c>
      <c r="J70">
        <v>3</v>
      </c>
      <c r="K70">
        <f t="shared" si="0"/>
        <v>2018</v>
      </c>
      <c r="N70">
        <v>10023.450000000001</v>
      </c>
      <c r="P70">
        <f t="shared" si="22"/>
        <v>10023.450000000001</v>
      </c>
      <c r="Q70">
        <f t="shared" si="23"/>
        <v>278.42916666666667</v>
      </c>
      <c r="R70">
        <f t="shared" si="3"/>
        <v>3341.15</v>
      </c>
      <c r="S70">
        <f t="shared" si="4"/>
        <v>0</v>
      </c>
      <c r="T70">
        <f t="shared" si="5"/>
        <v>3341.15</v>
      </c>
      <c r="U70">
        <v>1</v>
      </c>
      <c r="V70">
        <f t="shared" si="6"/>
        <v>3341.15</v>
      </c>
      <c r="X70">
        <f t="shared" si="7"/>
        <v>5568.5833333328274</v>
      </c>
      <c r="Y70">
        <f t="shared" si="8"/>
        <v>5568.5833333328274</v>
      </c>
      <c r="Z70">
        <v>1</v>
      </c>
      <c r="AA70">
        <f t="shared" si="9"/>
        <v>5568.5833333328274</v>
      </c>
      <c r="AB70">
        <f t="shared" si="10"/>
        <v>8909.7333333328279</v>
      </c>
      <c r="AC70">
        <f t="shared" si="11"/>
        <v>2784.2916666671731</v>
      </c>
      <c r="AD70">
        <f t="shared" si="12"/>
        <v>2015.4166666666667</v>
      </c>
      <c r="AE70">
        <f t="shared" si="13"/>
        <v>2018.0833333333333</v>
      </c>
      <c r="AF70">
        <f t="shared" si="14"/>
        <v>2018.4166666666667</v>
      </c>
      <c r="AG70">
        <f t="shared" si="15"/>
        <v>2017.0833333333333</v>
      </c>
      <c r="AH70">
        <f t="shared" si="24"/>
        <v>-8.3333333333333329E-2</v>
      </c>
      <c r="AJ70">
        <f t="shared" si="17"/>
        <v>0</v>
      </c>
      <c r="AL70">
        <f t="shared" si="18"/>
        <v>3341.15</v>
      </c>
      <c r="AN70">
        <f t="shared" si="19"/>
        <v>0</v>
      </c>
      <c r="AP70">
        <f t="shared" si="20"/>
        <v>0</v>
      </c>
      <c r="AR70">
        <f t="shared" si="21"/>
        <v>2784.2916666671731</v>
      </c>
    </row>
    <row r="71" spans="1:44">
      <c r="B71">
        <v>128673</v>
      </c>
      <c r="C71">
        <v>2521</v>
      </c>
      <c r="D71" t="s">
        <v>583</v>
      </c>
      <c r="E71">
        <v>2015</v>
      </c>
      <c r="F71">
        <v>12</v>
      </c>
      <c r="G71">
        <v>0.2</v>
      </c>
      <c r="I71" t="s">
        <v>78</v>
      </c>
      <c r="J71">
        <v>7</v>
      </c>
      <c r="K71">
        <f t="shared" si="0"/>
        <v>2022</v>
      </c>
      <c r="N71">
        <v>291925.26</v>
      </c>
      <c r="P71">
        <f t="shared" si="22"/>
        <v>233540.20800000001</v>
      </c>
      <c r="Q71">
        <f t="shared" si="23"/>
        <v>2780.2405714285719</v>
      </c>
      <c r="R71">
        <f>IF(O71&gt;0,0,IF(OR(AD71&gt;AE71,AF71&lt;AG71),0,IF(AND(AF71&gt;=AG71,AF71&lt;=AE71),Q71*((AF71-AG71)*12),IF(AND(AG71&lt;=AD71,AE71&gt;=AD71),((AE71-AD71)*12)*Q71,IF(AF71&gt;AE71,12*Q71,0)))))</f>
        <v>33362.886857142861</v>
      </c>
      <c r="S71">
        <f>IF(O71=0,0,IF(AND(AH71&gt;=AG71,AH71&lt;=AF71),((AH71-AG71)*12)*Q71,0))</f>
        <v>0</v>
      </c>
      <c r="T71">
        <f>IF(S71&gt;0,S71,R71)</f>
        <v>33362.886857142861</v>
      </c>
      <c r="U71">
        <v>1</v>
      </c>
      <c r="V71">
        <f>U71*SUM(R71:S71)</f>
        <v>33362.886857142861</v>
      </c>
      <c r="X71">
        <f>IF(AD71&gt;AE71,0,IF(AF71&lt;AG71,P71,IF(AND(AF71&gt;=AG71,AF71&lt;=AE71),(P71-T71),IF(AND(AG71&lt;=AD71,AE71&gt;=AD71),0,IF(AF71&gt;AE71,((AG71-AD71)*12)*Q71,0)))))</f>
        <v>38923.367999994953</v>
      </c>
      <c r="Y71">
        <f>X71*U71</f>
        <v>38923.367999994953</v>
      </c>
      <c r="Z71">
        <v>1</v>
      </c>
      <c r="AA71">
        <f>Y71*Z71</f>
        <v>38923.367999994953</v>
      </c>
      <c r="AB71">
        <f>IF(O71&gt;0,0,AA71+V71*Z71)*Z71</f>
        <v>72286.254857137814</v>
      </c>
      <c r="AC71">
        <f>IF(O71&gt;0,(N71-AA71)/2,IF(AD71&gt;=AG71,(((N71*U71)*Z71)-AB71)/2,((((N71*U71)*Z71)-AA71)+(((N71*U71)*Z71)-AB71))/2))</f>
        <v>236320.44857143363</v>
      </c>
      <c r="AD71">
        <f t="shared" si="12"/>
        <v>2015.9166666666667</v>
      </c>
      <c r="AE71">
        <f t="shared" si="13"/>
        <v>2018.0833333333333</v>
      </c>
      <c r="AF71">
        <f t="shared" si="14"/>
        <v>2022.9166666666667</v>
      </c>
      <c r="AG71">
        <f t="shared" si="15"/>
        <v>2017.0833333333333</v>
      </c>
      <c r="AH71">
        <f t="shared" si="24"/>
        <v>-8.3333333333333329E-2</v>
      </c>
      <c r="AJ71">
        <f t="shared" si="17"/>
        <v>10008.866057142597</v>
      </c>
      <c r="AL71">
        <f t="shared" si="18"/>
        <v>43371.752914285462</v>
      </c>
      <c r="AN71">
        <f t="shared" si="19"/>
        <v>0</v>
      </c>
      <c r="AP71">
        <f t="shared" si="20"/>
        <v>231316.01554286233</v>
      </c>
      <c r="AR71">
        <f t="shared" si="21"/>
        <v>231316.01554286233</v>
      </c>
    </row>
    <row r="72" spans="1:44">
      <c r="B72">
        <v>128674</v>
      </c>
      <c r="C72">
        <v>2517</v>
      </c>
      <c r="D72" t="s">
        <v>584</v>
      </c>
      <c r="E72">
        <v>2015</v>
      </c>
      <c r="F72">
        <v>12</v>
      </c>
      <c r="G72">
        <v>0.2</v>
      </c>
      <c r="I72" t="s">
        <v>78</v>
      </c>
      <c r="J72">
        <v>7</v>
      </c>
      <c r="K72">
        <f t="shared" si="0"/>
        <v>2022</v>
      </c>
      <c r="N72">
        <v>340829.73</v>
      </c>
      <c r="P72">
        <f t="shared" si="22"/>
        <v>272663.78399999999</v>
      </c>
      <c r="Q72">
        <f t="shared" si="23"/>
        <v>3245.9974285714284</v>
      </c>
      <c r="R72">
        <f>IF(O72&gt;0,0,IF(OR(AD72&gt;AE72,AF72&lt;AG72),0,IF(AND(AF72&gt;=AG72,AF72&lt;=AE72),Q72*((AF72-AG72)*12),IF(AND(AG72&lt;=AD72,AE72&gt;=AD72),((AE72-AD72)*12)*Q72,IF(AF72&gt;AE72,12*Q72,0)))))</f>
        <v>38951.969142857139</v>
      </c>
      <c r="S72">
        <f>IF(O72=0,0,IF(AND(AH72&gt;=AG72,AH72&lt;=AF72),((AH72-AG72)*12)*Q72,0))</f>
        <v>0</v>
      </c>
      <c r="T72">
        <f>IF(S72&gt;0,S72,R72)</f>
        <v>38951.969142857139</v>
      </c>
      <c r="U72">
        <v>1</v>
      </c>
      <c r="V72">
        <f>U72*SUM(R72:S72)</f>
        <v>38951.969142857139</v>
      </c>
      <c r="X72">
        <f>IF(AD72&gt;AE72,0,IF(AF72&lt;AG72,P72,IF(AND(AF72&gt;=AG72,AF72&lt;=AE72),(P72-T72),IF(AND(AG72&lt;=AD72,AE72&gt;=AD72),0,IF(AF72&gt;AE72,((AG72-AD72)*12)*Q72,0)))))</f>
        <v>45443.963999994092</v>
      </c>
      <c r="Y72">
        <f>X72*U72</f>
        <v>45443.963999994092</v>
      </c>
      <c r="Z72">
        <v>1</v>
      </c>
      <c r="AA72">
        <f>Y72*Z72</f>
        <v>45443.963999994092</v>
      </c>
      <c r="AB72">
        <f>IF(O72&gt;0,0,AA72+V72*Z72)*Z72</f>
        <v>84395.933142851223</v>
      </c>
      <c r="AC72">
        <f>IF(O72&gt;0,(N72-AA72)/2,IF(AD72&gt;=AG72,(((N72*U72)*Z72)-AB72)/2,((((N72*U72)*Z72)-AA72)+(((N72*U72)*Z72)-AB72))/2))</f>
        <v>275909.78142857732</v>
      </c>
      <c r="AD72">
        <f t="shared" si="12"/>
        <v>2015.9166666666667</v>
      </c>
      <c r="AE72">
        <f t="shared" si="13"/>
        <v>2018.0833333333333</v>
      </c>
      <c r="AF72">
        <f t="shared" si="14"/>
        <v>2022.9166666666667</v>
      </c>
      <c r="AG72">
        <f t="shared" si="15"/>
        <v>2017.0833333333333</v>
      </c>
      <c r="AH72">
        <f t="shared" si="24"/>
        <v>-8.3333333333333329E-2</v>
      </c>
      <c r="AJ72">
        <f t="shared" si="17"/>
        <v>11685.590742856839</v>
      </c>
      <c r="AL72">
        <f t="shared" si="18"/>
        <v>50637.559885713978</v>
      </c>
      <c r="AN72">
        <f t="shared" si="19"/>
        <v>0</v>
      </c>
      <c r="AP72">
        <f t="shared" si="20"/>
        <v>270066.9860571489</v>
      </c>
      <c r="AR72">
        <f t="shared" si="21"/>
        <v>270066.9860571489</v>
      </c>
    </row>
    <row r="73" spans="1:44">
      <c r="B73" t="s">
        <v>593</v>
      </c>
      <c r="D73" t="s">
        <v>588</v>
      </c>
      <c r="E73">
        <v>2016</v>
      </c>
      <c r="F73">
        <v>4</v>
      </c>
      <c r="G73">
        <v>0</v>
      </c>
      <c r="I73" t="s">
        <v>78</v>
      </c>
      <c r="J73">
        <v>1</v>
      </c>
      <c r="K73">
        <f t="shared" si="0"/>
        <v>2017</v>
      </c>
      <c r="N73">
        <f>((14612.94+16641.82+675)/75)*46</f>
        <v>19583.586133333334</v>
      </c>
      <c r="P73">
        <f t="shared" si="22"/>
        <v>19583.586133333334</v>
      </c>
      <c r="Q73">
        <f t="shared" si="23"/>
        <v>1631.9655111111113</v>
      </c>
      <c r="R73">
        <f>IF(O73&gt;0,0,IF(OR(AD73&gt;AE73,AF73&lt;AG73),0,IF(AND(AF73&gt;=AG73,AF73&lt;=AE73),Q73*((AF73-AG73)*12),IF(AND(AG73&lt;=AD73,AE73&gt;=AD73),((AE73-AD73)*12)*Q73,IF(AF73&gt;AE73,12*Q73,0)))))</f>
        <v>3263.9310222237068</v>
      </c>
      <c r="S73">
        <f>IF(O73=0,0,IF(AND(AH73&gt;=AG73,AH73&lt;=AF73),((AH73-AG73)*12)*Q73,0))</f>
        <v>0</v>
      </c>
      <c r="T73">
        <f>IF(S73&gt;0,S73,R73)</f>
        <v>3263.9310222237068</v>
      </c>
      <c r="U73">
        <v>1</v>
      </c>
      <c r="V73">
        <f>U73*SUM(R73:S73)</f>
        <v>3263.9310222237068</v>
      </c>
      <c r="X73">
        <f>IF(AD73&gt;AE73,0,IF(AF73&lt;AG73,P73,IF(AND(AF73&gt;=AG73,AF73&lt;=AE73),(P73-T73),IF(AND(AG73&lt;=AD73,AE73&gt;=AD73),0,IF(AF73&gt;AE73,((AG73-AD73)*12)*Q73,0)))))</f>
        <v>16319.655111109627</v>
      </c>
      <c r="Y73">
        <f>X73*U73</f>
        <v>16319.655111109627</v>
      </c>
      <c r="Z73">
        <v>1</v>
      </c>
      <c r="AA73">
        <f>Y73*Z73</f>
        <v>16319.655111109627</v>
      </c>
      <c r="AB73">
        <f>IF(O73&gt;0,0,AA73+V73*Z73)*Z73</f>
        <v>19583.586133333334</v>
      </c>
      <c r="AC73">
        <f>IF(O73&gt;0,(N73-AA73)/2,IF(AD73&gt;=AG73,(((N73*U73)*Z73)-AB73)/2,((((N73*U73)*Z73)-AA73)+(((N73*U73)*Z73)-AB73))/2))</f>
        <v>1631.9655111118536</v>
      </c>
      <c r="AD73">
        <f t="shared" si="12"/>
        <v>2016.25</v>
      </c>
      <c r="AE73">
        <f t="shared" si="13"/>
        <v>2018.0833333333333</v>
      </c>
      <c r="AF73">
        <f t="shared" si="14"/>
        <v>2017.25</v>
      </c>
      <c r="AG73">
        <f t="shared" si="15"/>
        <v>2017.0833333333333</v>
      </c>
      <c r="AH73">
        <f t="shared" si="24"/>
        <v>-8.3333333333333329E-2</v>
      </c>
      <c r="AJ73">
        <f t="shared" si="17"/>
        <v>0</v>
      </c>
      <c r="AL73">
        <f t="shared" si="18"/>
        <v>3263.9310222237068</v>
      </c>
      <c r="AN73">
        <f t="shared" si="19"/>
        <v>0</v>
      </c>
      <c r="AP73">
        <f t="shared" si="20"/>
        <v>0</v>
      </c>
      <c r="AR73">
        <f t="shared" si="21"/>
        <v>1631.9655111118536</v>
      </c>
    </row>
    <row r="74" spans="1:44">
      <c r="B74">
        <v>171241</v>
      </c>
      <c r="C74">
        <v>2046</v>
      </c>
      <c r="D74" t="s">
        <v>602</v>
      </c>
      <c r="E74">
        <v>2016</v>
      </c>
      <c r="F74">
        <v>11</v>
      </c>
      <c r="G74">
        <v>0</v>
      </c>
      <c r="I74" t="s">
        <v>78</v>
      </c>
      <c r="J74">
        <v>10</v>
      </c>
      <c r="K74">
        <f>E74+J74</f>
        <v>2026</v>
      </c>
      <c r="N74">
        <v>318387.46000000002</v>
      </c>
      <c r="P74">
        <f t="shared" si="22"/>
        <v>318387.46000000002</v>
      </c>
      <c r="Q74">
        <f t="shared" si="23"/>
        <v>2653.2288333333336</v>
      </c>
      <c r="R74">
        <f>IF(O74&gt;0,0,IF(OR(AD74&gt;AE74,AF74&lt;AG74),0,IF(AND(AF74&gt;=AG74,AF74&lt;=AE74),Q74*((AF74-AG74)*12),IF(AND(AG74&lt;=AD74,AE74&gt;=AD74),((AE74-AD74)*12)*Q74,IF(AF74&gt;AE74,12*Q74,0)))))</f>
        <v>31838.746000000003</v>
      </c>
      <c r="S74">
        <f>IF(O74=0,0,IF(AND(AH74&gt;=AG74,AH74&lt;=AF74),((AH74-AG74)*12)*Q74,0))</f>
        <v>0</v>
      </c>
      <c r="T74">
        <f>IF(S74&gt;0,S74,R74)</f>
        <v>31838.746000000003</v>
      </c>
      <c r="U74">
        <v>1</v>
      </c>
      <c r="V74">
        <f>U74*SUM(R74:S74)</f>
        <v>31838.746000000003</v>
      </c>
      <c r="X74">
        <f>IF(AD74&gt;AE74,0,IF(AF74&lt;AG74,P74,IF(AND(AF74&gt;=AG74,AF74&lt;=AE74),(P74-T74),IF(AND(AG74&lt;=AD74,AE74&gt;=AD74),0,IF(AF74&gt;AE74,((AG74-AD74)*12)*Q74,0)))))</f>
        <v>7959.6865000000007</v>
      </c>
      <c r="Y74">
        <f>X74*U74</f>
        <v>7959.6865000000007</v>
      </c>
      <c r="Z74">
        <v>1</v>
      </c>
      <c r="AA74">
        <f>Y74*Z74</f>
        <v>7959.6865000000007</v>
      </c>
      <c r="AB74">
        <f>IF(O74&gt;0,0,AA74+V74*Z74)*Z74</f>
        <v>39798.432500000003</v>
      </c>
      <c r="AC74">
        <f>IF(O74&gt;0,(N74-AA74)/2,IF(AD74&gt;=AG74,(((N74*U74)*Z74)-AB74)/2,((((N74*U74)*Z74)-AA74)+(((N74*U74)*Z74)-AB74))/2))</f>
        <v>294508.40049999999</v>
      </c>
      <c r="AD74">
        <f t="shared" si="12"/>
        <v>2016.8333333333333</v>
      </c>
      <c r="AE74">
        <f t="shared" si="13"/>
        <v>2018.0833333333333</v>
      </c>
      <c r="AF74">
        <f t="shared" si="14"/>
        <v>2026.8333333333333</v>
      </c>
      <c r="AG74">
        <f t="shared" si="15"/>
        <v>2017.0833333333333</v>
      </c>
      <c r="AH74">
        <f t="shared" si="24"/>
        <v>-8.3333333333333329E-2</v>
      </c>
      <c r="AJ74">
        <f t="shared" si="17"/>
        <v>0</v>
      </c>
      <c r="AL74">
        <f t="shared" si="18"/>
        <v>31838.746000000003</v>
      </c>
      <c r="AN74">
        <f t="shared" si="19"/>
        <v>0</v>
      </c>
      <c r="AP74">
        <f t="shared" si="20"/>
        <v>0</v>
      </c>
      <c r="AR74">
        <f t="shared" si="21"/>
        <v>294508.40049999999</v>
      </c>
    </row>
    <row r="75" spans="1:44">
      <c r="B75">
        <v>18550</v>
      </c>
      <c r="D75" t="s">
        <v>632</v>
      </c>
      <c r="E75">
        <v>2017</v>
      </c>
      <c r="F75">
        <v>8</v>
      </c>
      <c r="G75">
        <v>0</v>
      </c>
      <c r="I75" t="s">
        <v>78</v>
      </c>
      <c r="J75">
        <v>1</v>
      </c>
      <c r="K75">
        <f>E75+J75</f>
        <v>2018</v>
      </c>
      <c r="N75">
        <v>1244.8</v>
      </c>
      <c r="P75">
        <f t="shared" si="22"/>
        <v>1244.8</v>
      </c>
      <c r="Q75">
        <f t="shared" si="23"/>
        <v>103.73333333333333</v>
      </c>
      <c r="R75">
        <f>IF(O75&gt;0,0,IF(OR(AD75&gt;AE75,AF75&lt;AG75),0,IF(AND(AF75&gt;=AG75,AF75&lt;=AE75),Q75*((AF75-AG75)*12),IF(AND(AG75&lt;=AD75,AE75&gt;=AD75),((AE75-AD75)*12)*Q75,IF(AF75&gt;AE75,12*Q75,0)))))</f>
        <v>622.4</v>
      </c>
      <c r="S75">
        <f>IF(O75=0,0,IF(AND(AH75&gt;=AG75,AH75&lt;=AF75),((AH75-AG75)*12)*Q75,0))</f>
        <v>0</v>
      </c>
      <c r="T75">
        <f>IF(S75&gt;0,S75,R75)</f>
        <v>622.4</v>
      </c>
      <c r="U75">
        <v>1</v>
      </c>
      <c r="V75">
        <f>U75*SUM(R75:S75)</f>
        <v>622.4</v>
      </c>
      <c r="X75">
        <f>IF(AD75&gt;AE75,0,IF(AF75&lt;AG75,P75,IF(AND(AF75&gt;=AG75,AF75&lt;=AE75),(P75-T75),IF(AND(AG75&lt;=AD75,AE75&gt;=AD75),0,IF(AF75&gt;AE75,((AG75-AD75)*12)*Q75,0)))))</f>
        <v>0</v>
      </c>
      <c r="Y75">
        <f>X75*U75</f>
        <v>0</v>
      </c>
      <c r="Z75">
        <v>1</v>
      </c>
      <c r="AA75">
        <f>Y75*Z75</f>
        <v>0</v>
      </c>
      <c r="AB75">
        <f>IF(O75&gt;0,0,AA75+V75*Z75)*Z75</f>
        <v>622.4</v>
      </c>
      <c r="AC75">
        <f>IF(O75&gt;0,(N75-AA75)/2,IF(AD75&gt;=AG75,(((N75*U75)*Z75)-AB75)/2,((((N75*U75)*Z75)-AA75)+(((N75*U75)*Z75)-AB75))/2))</f>
        <v>311.2</v>
      </c>
      <c r="AD75">
        <f t="shared" si="12"/>
        <v>2017.5833333333333</v>
      </c>
      <c r="AE75">
        <f t="shared" si="13"/>
        <v>2018.0833333333333</v>
      </c>
      <c r="AF75">
        <f t="shared" si="14"/>
        <v>2018.5833333333333</v>
      </c>
      <c r="AG75">
        <f t="shared" si="15"/>
        <v>2017.0833333333333</v>
      </c>
      <c r="AH75">
        <f t="shared" si="24"/>
        <v>-8.3333333333333329E-2</v>
      </c>
      <c r="AJ75">
        <f t="shared" si="17"/>
        <v>0</v>
      </c>
      <c r="AL75">
        <f t="shared" si="18"/>
        <v>622.4</v>
      </c>
      <c r="AN75">
        <f t="shared" si="19"/>
        <v>0</v>
      </c>
      <c r="AP75">
        <f t="shared" si="20"/>
        <v>0</v>
      </c>
      <c r="AR75">
        <f t="shared" si="21"/>
        <v>311.2</v>
      </c>
    </row>
    <row r="77" spans="1:44">
      <c r="C77">
        <v>32</v>
      </c>
      <c r="D77" t="s">
        <v>294</v>
      </c>
      <c r="N77">
        <f>SUM(N14:N76)</f>
        <v>8534728.6361333374</v>
      </c>
      <c r="P77">
        <f>SUM(P14:P76)</f>
        <v>6873223.7156333318</v>
      </c>
      <c r="Q77">
        <f>SUM(Q14:Q76)</f>
        <v>84351.401671031737</v>
      </c>
      <c r="R77">
        <f>SUM(R14:R76)</f>
        <v>529974.29045079718</v>
      </c>
      <c r="V77">
        <f>SUM(V14:V76)</f>
        <v>529974.29045079718</v>
      </c>
      <c r="AA77">
        <f>SUM(AA14:AA76)</f>
        <v>4692115.0391586823</v>
      </c>
      <c r="AB77">
        <f>SUM(AB14:AB76)</f>
        <v>5222089.3296094788</v>
      </c>
      <c r="AC77">
        <f>SUM(AC14:AC76)</f>
        <v>3577004.0517492522</v>
      </c>
      <c r="AJ77">
        <f t="shared" ref="AJ77:AR77" si="25">SUM(AJ14:AJ76)</f>
        <v>490329.97835925856</v>
      </c>
      <c r="AL77">
        <f t="shared" si="25"/>
        <v>1020304.2688100557</v>
      </c>
      <c r="AN77">
        <f t="shared" si="25"/>
        <v>-781224.97849999997</v>
      </c>
      <c r="AP77">
        <f t="shared" si="25"/>
        <v>2381582.3894751766</v>
      </c>
      <c r="AR77">
        <f t="shared" si="25"/>
        <v>2680818.2471529562</v>
      </c>
    </row>
    <row r="80" spans="1:44">
      <c r="D80" t="s">
        <v>145</v>
      </c>
    </row>
    <row r="82" spans="1:44">
      <c r="A82" t="s">
        <v>283</v>
      </c>
      <c r="C82">
        <v>4025</v>
      </c>
      <c r="D82" t="s">
        <v>378</v>
      </c>
      <c r="E82">
        <v>2000</v>
      </c>
      <c r="F82">
        <v>4</v>
      </c>
      <c r="G82">
        <v>0.2</v>
      </c>
      <c r="I82" t="s">
        <v>78</v>
      </c>
      <c r="J82">
        <v>7</v>
      </c>
      <c r="K82">
        <f t="shared" ref="K82:K109" si="26">E82+J82</f>
        <v>2007</v>
      </c>
      <c r="N82">
        <v>121506.42</v>
      </c>
      <c r="P82">
        <f t="shared" ref="P82:P112" si="27">N82-N82*G82</f>
        <v>97205.135999999999</v>
      </c>
      <c r="Q82">
        <f t="shared" ref="Q82:Q112" si="28">P82/J82/12</f>
        <v>1157.204</v>
      </c>
      <c r="R82">
        <f>IF(O82&gt;0,0,IF(OR(AD82&gt;AE82,AF82&lt;AG82),0,IF(AND(AF82&gt;=AG82,AF82&lt;=AE82),Q82*((AF82-AG82)*12),IF(AND(AG82&lt;=AD82,AE82&gt;=AD82),((AE82-AD82)*12)*Q82,IF(AF82&gt;AE82,12*Q82,0)))))</f>
        <v>0</v>
      </c>
      <c r="S82">
        <f>IF(O82=0,0,IF(AND(AH82&gt;=AG82,AH82&lt;=AF82),((AH82-AG82)*12)*Q82,0))</f>
        <v>0</v>
      </c>
      <c r="T82">
        <f>IF(S82&gt;0,S82,R82)</f>
        <v>0</v>
      </c>
      <c r="U82">
        <v>1</v>
      </c>
      <c r="V82">
        <f>U82*SUM(R82:S82)</f>
        <v>0</v>
      </c>
      <c r="X82">
        <f>IF(AD82&gt;AE82,0,IF(AF82&lt;AG82,P82,IF(AND(AF82&gt;=AG82,AF82&lt;=AE82),(P82-T82),IF(AND(AG82&lt;=AD82,AE82&gt;=AD82),0,IF(AF82&gt;AE82,((AG82-AD82)*12)*Q82,0)))))</f>
        <v>97205.135999999999</v>
      </c>
      <c r="Y82">
        <f>X82*U82</f>
        <v>97205.135999999999</v>
      </c>
      <c r="Z82">
        <v>1</v>
      </c>
      <c r="AA82">
        <f>Y82*Z82</f>
        <v>97205.135999999999</v>
      </c>
      <c r="AB82">
        <f>IF(O82&gt;0,0,AA82+V82*Z82)*Z82</f>
        <v>97205.135999999999</v>
      </c>
      <c r="AC82">
        <f>IF(O82&gt;0,(N82-AA82)/2,IF(AD82&gt;=AG82,(((N82*U82)*Z82)-AB82)/2,((((N82*U82)*Z82)-AA82)+(((N82*U82)*Z82)-AB82))/2))</f>
        <v>24301.284</v>
      </c>
      <c r="AD82">
        <f t="shared" ref="AD82:AD112" si="29">$E82+(($F82-1)/12)</f>
        <v>2000.25</v>
      </c>
      <c r="AE82">
        <f t="shared" ref="AE82:AE112" si="30">($P$5+1)-($P$2/12)</f>
        <v>2018.0833333333333</v>
      </c>
      <c r="AF82">
        <f t="shared" ref="AF82:AF112" si="31">$K82+(($F82-1)/12)</f>
        <v>2007.25</v>
      </c>
      <c r="AG82">
        <f t="shared" ref="AG82:AG112" si="32">$P$4+($P$3/12)</f>
        <v>2017.0833333333333</v>
      </c>
      <c r="AH82">
        <f t="shared" ref="AH82:AH112" si="33">$L82+(($M82-1)/12)</f>
        <v>-8.3333333333333329E-2</v>
      </c>
      <c r="AJ82">
        <f>+IF((AF82-AG82)&gt;3,((N82-P82)/(AF82-AG82)),(N82-P82)/3)</f>
        <v>8100.4279999999999</v>
      </c>
      <c r="AL82">
        <f>+AJ82+V82</f>
        <v>8100.4279999999999</v>
      </c>
      <c r="AN82">
        <f>+IF(AF82&lt;AG82,-AC82,0)</f>
        <v>-24301.284</v>
      </c>
      <c r="AP82">
        <f>IF(AF82&gt;AG82,IF(AJ82&gt;0,IF(O82&gt;0,(N82-AA82)/2,IF(AD82&gt;=AG82,(((N82*U82)*Z82)-(AB82+AJ82))/2,((((N82*U82)*Z82)-AA82)+(((N82*U82)*Z82)-(AB82+AJ82)))/2)),0),0)</f>
        <v>0</v>
      </c>
      <c r="AR82">
        <f>+AC82+AN82+(IF(AP82&gt;0,(AP82-AC82),0))</f>
        <v>0</v>
      </c>
    </row>
    <row r="83" spans="1:44">
      <c r="A83" t="s">
        <v>283</v>
      </c>
      <c r="C83">
        <v>4030</v>
      </c>
      <c r="D83" t="s">
        <v>163</v>
      </c>
      <c r="E83">
        <v>2002</v>
      </c>
      <c r="F83">
        <v>6</v>
      </c>
      <c r="G83">
        <v>0.2</v>
      </c>
      <c r="I83" t="s">
        <v>78</v>
      </c>
      <c r="J83">
        <v>7</v>
      </c>
      <c r="K83">
        <f t="shared" si="26"/>
        <v>2009</v>
      </c>
      <c r="N83">
        <v>90620.97</v>
      </c>
      <c r="P83">
        <f t="shared" si="27"/>
        <v>72496.775999999998</v>
      </c>
      <c r="Q83">
        <f t="shared" si="28"/>
        <v>863.0568571428571</v>
      </c>
      <c r="R83">
        <f t="shared" ref="R83:R107" si="34">IF(O83&gt;0,0,IF(OR(AD83&gt;AE83,AF83&lt;AG83),0,IF(AND(AF83&gt;=AG83,AF83&lt;=AE83),Q83*((AF83-AG83)*12),IF(AND(AG83&lt;=AD83,AE83&gt;=AD83),((AE83-AD83)*12)*Q83,IF(AF83&gt;AE83,12*Q83,0)))))</f>
        <v>0</v>
      </c>
      <c r="S83">
        <f t="shared" ref="S83:S107" si="35">IF(O83=0,0,IF(AND(AH83&gt;=AG83,AH83&lt;=AF83),((AH83-AG83)*12)*Q83,0))</f>
        <v>0</v>
      </c>
      <c r="T83">
        <f t="shared" ref="T83:T107" si="36">IF(S83&gt;0,S83,R83)</f>
        <v>0</v>
      </c>
      <c r="U83">
        <v>1</v>
      </c>
      <c r="V83">
        <f t="shared" ref="V83:V107" si="37">U83*SUM(R83:S83)</f>
        <v>0</v>
      </c>
      <c r="X83">
        <f t="shared" ref="X83:X107" si="38">IF(AD83&gt;AE83,0,IF(AF83&lt;AG83,P83,IF(AND(AF83&gt;=AG83,AF83&lt;=AE83),(P83-T83),IF(AND(AG83&lt;=AD83,AE83&gt;=AD83),0,IF(AF83&gt;AE83,((AG83-AD83)*12)*Q83,0)))))</f>
        <v>72496.775999999998</v>
      </c>
      <c r="Y83">
        <f t="shared" ref="Y83:Y107" si="39">X83*U83</f>
        <v>72496.775999999998</v>
      </c>
      <c r="Z83">
        <v>1</v>
      </c>
      <c r="AA83">
        <f t="shared" ref="AA83:AA107" si="40">Y83*Z83</f>
        <v>72496.775999999998</v>
      </c>
      <c r="AB83">
        <f t="shared" ref="AB83:AB107" si="41">IF(O83&gt;0,0,AA83+V83*Z83)*Z83</f>
        <v>72496.775999999998</v>
      </c>
      <c r="AC83">
        <f t="shared" ref="AC83:AC107" si="42">IF(O83&gt;0,(N83-AA83)/2,IF(AD83&gt;=AG83,(((N83*U83)*Z83)-AB83)/2,((((N83*U83)*Z83)-AA83)+(((N83*U83)*Z83)-AB83))/2))</f>
        <v>18124.194000000003</v>
      </c>
      <c r="AD83">
        <f t="shared" si="29"/>
        <v>2002.4166666666667</v>
      </c>
      <c r="AE83">
        <f t="shared" si="30"/>
        <v>2018.0833333333333</v>
      </c>
      <c r="AF83">
        <f t="shared" si="31"/>
        <v>2009.4166666666667</v>
      </c>
      <c r="AG83">
        <f t="shared" si="32"/>
        <v>2017.0833333333333</v>
      </c>
      <c r="AH83">
        <f t="shared" si="33"/>
        <v>-8.3333333333333329E-2</v>
      </c>
      <c r="AJ83">
        <f t="shared" ref="AJ83:AJ112" si="43">+IF((AF83-AG83)&gt;3,((N83-P83)/(AF83-AG83)),(N83-P83)/3)</f>
        <v>6041.398000000001</v>
      </c>
      <c r="AL83">
        <f t="shared" ref="AL83:AL112" si="44">+AJ83+V83</f>
        <v>6041.398000000001</v>
      </c>
      <c r="AN83">
        <f t="shared" ref="AN83:AN112" si="45">+IF(AF83&lt;AG83,-AC83,0)</f>
        <v>-18124.194000000003</v>
      </c>
      <c r="AP83">
        <f t="shared" ref="AP83:AP112" si="46">IF(AF83&gt;AG83,IF(AJ83&gt;0,IF(O83&gt;0,(N83-AA83)/2,IF(AD83&gt;=AG83,(((N83*U83)*Z83)-(AB83+AJ83))/2,((((N83*U83)*Z83)-AA83)+(((N83*U83)*Z83)-(AB83+AJ83)))/2)),0),0)</f>
        <v>0</v>
      </c>
      <c r="AR83">
        <f t="shared" ref="AR83:AR112" si="47">+AC83+AN83+(IF(AP83&gt;0,(AP83-AC83),0))</f>
        <v>0</v>
      </c>
    </row>
    <row r="84" spans="1:44">
      <c r="A84" t="s">
        <v>529</v>
      </c>
      <c r="C84">
        <v>4033</v>
      </c>
      <c r="D84" t="s">
        <v>174</v>
      </c>
      <c r="E84">
        <v>2002</v>
      </c>
      <c r="F84">
        <v>9</v>
      </c>
      <c r="G84">
        <v>0.2</v>
      </c>
      <c r="I84" t="s">
        <v>78</v>
      </c>
      <c r="J84">
        <v>7</v>
      </c>
      <c r="K84">
        <f>E84+J84</f>
        <v>2009</v>
      </c>
      <c r="N84">
        <v>100482.95</v>
      </c>
      <c r="P84">
        <f t="shared" si="27"/>
        <v>80386.36</v>
      </c>
      <c r="Q84">
        <f t="shared" si="28"/>
        <v>956.98047619047622</v>
      </c>
      <c r="R84">
        <f t="shared" si="34"/>
        <v>0</v>
      </c>
      <c r="S84">
        <f t="shared" si="35"/>
        <v>0</v>
      </c>
      <c r="T84">
        <f t="shared" si="36"/>
        <v>0</v>
      </c>
      <c r="U84">
        <v>1</v>
      </c>
      <c r="V84">
        <f t="shared" si="37"/>
        <v>0</v>
      </c>
      <c r="X84">
        <f t="shared" si="38"/>
        <v>80386.36</v>
      </c>
      <c r="Y84">
        <f t="shared" si="39"/>
        <v>80386.36</v>
      </c>
      <c r="Z84">
        <v>1</v>
      </c>
      <c r="AA84">
        <f t="shared" si="40"/>
        <v>80386.36</v>
      </c>
      <c r="AB84">
        <f t="shared" si="41"/>
        <v>80386.36</v>
      </c>
      <c r="AC84">
        <f t="shared" si="42"/>
        <v>20096.589999999997</v>
      </c>
      <c r="AD84">
        <f t="shared" si="29"/>
        <v>2002.6666666666667</v>
      </c>
      <c r="AE84">
        <f t="shared" si="30"/>
        <v>2018.0833333333333</v>
      </c>
      <c r="AF84">
        <f t="shared" si="31"/>
        <v>2009.6666666666667</v>
      </c>
      <c r="AG84">
        <f t="shared" si="32"/>
        <v>2017.0833333333333</v>
      </c>
      <c r="AH84">
        <f t="shared" si="33"/>
        <v>-8.3333333333333329E-2</v>
      </c>
      <c r="AJ84">
        <f t="shared" si="43"/>
        <v>6698.8633333333319</v>
      </c>
      <c r="AL84">
        <f t="shared" si="44"/>
        <v>6698.8633333333319</v>
      </c>
      <c r="AN84">
        <f t="shared" si="45"/>
        <v>-20096.589999999997</v>
      </c>
      <c r="AP84">
        <f t="shared" si="46"/>
        <v>0</v>
      </c>
      <c r="AR84">
        <f t="shared" si="47"/>
        <v>0</v>
      </c>
    </row>
    <row r="85" spans="1:44">
      <c r="A85" t="s">
        <v>283</v>
      </c>
      <c r="C85">
        <v>4046</v>
      </c>
      <c r="D85" t="s">
        <v>165</v>
      </c>
      <c r="E85">
        <v>2005</v>
      </c>
      <c r="F85">
        <v>10</v>
      </c>
      <c r="G85">
        <v>0.2</v>
      </c>
      <c r="I85" t="s">
        <v>78</v>
      </c>
      <c r="J85">
        <v>7</v>
      </c>
      <c r="K85">
        <f t="shared" si="26"/>
        <v>2012</v>
      </c>
      <c r="N85">
        <v>149379.65</v>
      </c>
      <c r="P85">
        <f t="shared" si="27"/>
        <v>119503.72</v>
      </c>
      <c r="Q85">
        <f t="shared" si="28"/>
        <v>1422.6633333333332</v>
      </c>
      <c r="R85">
        <f t="shared" si="34"/>
        <v>0</v>
      </c>
      <c r="S85">
        <f t="shared" si="35"/>
        <v>0</v>
      </c>
      <c r="T85">
        <f t="shared" si="36"/>
        <v>0</v>
      </c>
      <c r="U85">
        <v>1</v>
      </c>
      <c r="V85">
        <f t="shared" si="37"/>
        <v>0</v>
      </c>
      <c r="X85">
        <f t="shared" si="38"/>
        <v>119503.72</v>
      </c>
      <c r="Y85">
        <f t="shared" si="39"/>
        <v>119503.72</v>
      </c>
      <c r="Z85">
        <v>1</v>
      </c>
      <c r="AA85">
        <f t="shared" si="40"/>
        <v>119503.72</v>
      </c>
      <c r="AB85">
        <f t="shared" si="41"/>
        <v>119503.72</v>
      </c>
      <c r="AC85">
        <f t="shared" si="42"/>
        <v>29875.929999999993</v>
      </c>
      <c r="AD85">
        <f t="shared" si="29"/>
        <v>2005.75</v>
      </c>
      <c r="AE85">
        <f t="shared" si="30"/>
        <v>2018.0833333333333</v>
      </c>
      <c r="AF85">
        <f t="shared" si="31"/>
        <v>2012.75</v>
      </c>
      <c r="AG85">
        <f t="shared" si="32"/>
        <v>2017.0833333333333</v>
      </c>
      <c r="AH85">
        <f t="shared" si="33"/>
        <v>-8.3333333333333329E-2</v>
      </c>
      <c r="AJ85">
        <f t="shared" si="43"/>
        <v>9958.6433333333316</v>
      </c>
      <c r="AL85">
        <f t="shared" si="44"/>
        <v>9958.6433333333316</v>
      </c>
      <c r="AN85">
        <f t="shared" si="45"/>
        <v>-29875.929999999993</v>
      </c>
      <c r="AP85">
        <f t="shared" si="46"/>
        <v>0</v>
      </c>
      <c r="AR85">
        <f t="shared" si="47"/>
        <v>0</v>
      </c>
    </row>
    <row r="86" spans="1:44">
      <c r="A86" t="s">
        <v>283</v>
      </c>
      <c r="C86">
        <v>4047</v>
      </c>
      <c r="D86" t="s">
        <v>166</v>
      </c>
      <c r="E86">
        <v>2005</v>
      </c>
      <c r="F86">
        <v>11</v>
      </c>
      <c r="G86">
        <v>0.2</v>
      </c>
      <c r="I86" t="s">
        <v>78</v>
      </c>
      <c r="J86">
        <v>7</v>
      </c>
      <c r="K86">
        <f t="shared" si="26"/>
        <v>2012</v>
      </c>
      <c r="N86">
        <v>146156.71</v>
      </c>
      <c r="P86">
        <f t="shared" si="27"/>
        <v>116925.36799999999</v>
      </c>
      <c r="Q86">
        <f t="shared" si="28"/>
        <v>1391.9686666666666</v>
      </c>
      <c r="R86">
        <f t="shared" si="34"/>
        <v>0</v>
      </c>
      <c r="S86">
        <f t="shared" si="35"/>
        <v>0</v>
      </c>
      <c r="T86">
        <f t="shared" si="36"/>
        <v>0</v>
      </c>
      <c r="U86">
        <v>1</v>
      </c>
      <c r="V86">
        <f t="shared" si="37"/>
        <v>0</v>
      </c>
      <c r="X86">
        <f t="shared" si="38"/>
        <v>116925.36799999999</v>
      </c>
      <c r="Y86">
        <f t="shared" si="39"/>
        <v>116925.36799999999</v>
      </c>
      <c r="Z86">
        <v>1</v>
      </c>
      <c r="AA86">
        <f t="shared" si="40"/>
        <v>116925.36799999999</v>
      </c>
      <c r="AB86">
        <f t="shared" si="41"/>
        <v>116925.36799999999</v>
      </c>
      <c r="AC86">
        <f t="shared" si="42"/>
        <v>29231.342000000004</v>
      </c>
      <c r="AD86">
        <f t="shared" si="29"/>
        <v>2005.8333333333333</v>
      </c>
      <c r="AE86">
        <f t="shared" si="30"/>
        <v>2018.0833333333333</v>
      </c>
      <c r="AF86">
        <f t="shared" si="31"/>
        <v>2012.8333333333333</v>
      </c>
      <c r="AG86">
        <f t="shared" si="32"/>
        <v>2017.0833333333333</v>
      </c>
      <c r="AH86">
        <f t="shared" si="33"/>
        <v>-8.3333333333333329E-2</v>
      </c>
      <c r="AJ86">
        <f t="shared" si="43"/>
        <v>9743.7806666666675</v>
      </c>
      <c r="AL86">
        <f t="shared" si="44"/>
        <v>9743.7806666666675</v>
      </c>
      <c r="AN86">
        <f t="shared" si="45"/>
        <v>-29231.342000000004</v>
      </c>
      <c r="AP86">
        <f t="shared" si="46"/>
        <v>0</v>
      </c>
      <c r="AR86">
        <f t="shared" si="47"/>
        <v>0</v>
      </c>
    </row>
    <row r="87" spans="1:44">
      <c r="A87" t="s">
        <v>283</v>
      </c>
      <c r="B87">
        <v>114283</v>
      </c>
      <c r="C87">
        <v>4049</v>
      </c>
      <c r="D87" t="s">
        <v>550</v>
      </c>
      <c r="E87">
        <v>2006</v>
      </c>
      <c r="F87">
        <v>4</v>
      </c>
      <c r="G87">
        <v>0.2</v>
      </c>
      <c r="I87" t="s">
        <v>78</v>
      </c>
      <c r="J87">
        <v>7</v>
      </c>
      <c r="K87">
        <f>E87+J87</f>
        <v>2013</v>
      </c>
      <c r="N87">
        <v>145020.18</v>
      </c>
      <c r="P87">
        <f t="shared" si="27"/>
        <v>116016.144</v>
      </c>
      <c r="Q87">
        <f t="shared" si="28"/>
        <v>1381.1445714285712</v>
      </c>
      <c r="R87">
        <f t="shared" si="34"/>
        <v>0</v>
      </c>
      <c r="S87">
        <f t="shared" si="35"/>
        <v>0</v>
      </c>
      <c r="T87">
        <f t="shared" si="36"/>
        <v>0</v>
      </c>
      <c r="U87">
        <v>1</v>
      </c>
      <c r="V87">
        <f t="shared" si="37"/>
        <v>0</v>
      </c>
      <c r="X87">
        <f t="shared" si="38"/>
        <v>116016.144</v>
      </c>
      <c r="Y87">
        <f t="shared" si="39"/>
        <v>116016.144</v>
      </c>
      <c r="Z87">
        <v>1</v>
      </c>
      <c r="AA87">
        <f t="shared" si="40"/>
        <v>116016.144</v>
      </c>
      <c r="AB87">
        <f t="shared" si="41"/>
        <v>116016.144</v>
      </c>
      <c r="AC87">
        <f t="shared" si="42"/>
        <v>29004.035999999993</v>
      </c>
      <c r="AD87">
        <f t="shared" si="29"/>
        <v>2006.25</v>
      </c>
      <c r="AE87">
        <f t="shared" si="30"/>
        <v>2018.0833333333333</v>
      </c>
      <c r="AF87">
        <f t="shared" si="31"/>
        <v>2013.25</v>
      </c>
      <c r="AG87">
        <f t="shared" si="32"/>
        <v>2017.0833333333333</v>
      </c>
      <c r="AH87">
        <f t="shared" si="33"/>
        <v>-8.3333333333333329E-2</v>
      </c>
      <c r="AJ87">
        <f t="shared" si="43"/>
        <v>9668.011999999997</v>
      </c>
      <c r="AL87">
        <f t="shared" si="44"/>
        <v>9668.011999999997</v>
      </c>
      <c r="AN87">
        <f t="shared" si="45"/>
        <v>-29004.035999999993</v>
      </c>
      <c r="AP87">
        <f t="shared" si="46"/>
        <v>0</v>
      </c>
      <c r="AR87">
        <f t="shared" si="47"/>
        <v>0</v>
      </c>
    </row>
    <row r="88" spans="1:44">
      <c r="A88" t="s">
        <v>283</v>
      </c>
      <c r="C88">
        <v>4049</v>
      </c>
      <c r="D88" t="s">
        <v>549</v>
      </c>
      <c r="E88">
        <v>2006</v>
      </c>
      <c r="F88">
        <v>4</v>
      </c>
      <c r="G88">
        <v>0.2</v>
      </c>
      <c r="I88" t="s">
        <v>78</v>
      </c>
      <c r="J88">
        <v>7</v>
      </c>
      <c r="K88">
        <f>E88+J88</f>
        <v>2013</v>
      </c>
      <c r="N88">
        <v>3916.63</v>
      </c>
      <c r="P88">
        <f t="shared" si="27"/>
        <v>3133.3040000000001</v>
      </c>
      <c r="Q88">
        <f t="shared" si="28"/>
        <v>37.301238095238098</v>
      </c>
      <c r="R88">
        <f t="shared" si="34"/>
        <v>0</v>
      </c>
      <c r="S88">
        <f t="shared" si="35"/>
        <v>0</v>
      </c>
      <c r="T88">
        <f t="shared" si="36"/>
        <v>0</v>
      </c>
      <c r="U88">
        <v>1</v>
      </c>
      <c r="V88">
        <f t="shared" si="37"/>
        <v>0</v>
      </c>
      <c r="X88">
        <f t="shared" si="38"/>
        <v>3133.3040000000001</v>
      </c>
      <c r="Y88">
        <f t="shared" si="39"/>
        <v>3133.3040000000001</v>
      </c>
      <c r="Z88">
        <v>1</v>
      </c>
      <c r="AA88">
        <f t="shared" si="40"/>
        <v>3133.3040000000001</v>
      </c>
      <c r="AB88">
        <f t="shared" si="41"/>
        <v>3133.3040000000001</v>
      </c>
      <c r="AC88">
        <f t="shared" si="42"/>
        <v>783.32600000000002</v>
      </c>
      <c r="AD88">
        <f t="shared" si="29"/>
        <v>2006.25</v>
      </c>
      <c r="AE88">
        <f t="shared" si="30"/>
        <v>2018.0833333333333</v>
      </c>
      <c r="AF88">
        <f t="shared" si="31"/>
        <v>2013.25</v>
      </c>
      <c r="AG88">
        <f t="shared" si="32"/>
        <v>2017.0833333333333</v>
      </c>
      <c r="AH88">
        <f t="shared" si="33"/>
        <v>-8.3333333333333329E-2</v>
      </c>
      <c r="AJ88">
        <f t="shared" si="43"/>
        <v>261.10866666666669</v>
      </c>
      <c r="AL88">
        <f t="shared" si="44"/>
        <v>261.10866666666669</v>
      </c>
      <c r="AN88">
        <f t="shared" si="45"/>
        <v>-783.32600000000002</v>
      </c>
      <c r="AP88">
        <f t="shared" si="46"/>
        <v>0</v>
      </c>
      <c r="AR88">
        <f t="shared" si="47"/>
        <v>0</v>
      </c>
    </row>
    <row r="89" spans="1:44">
      <c r="A89" t="s">
        <v>283</v>
      </c>
      <c r="C89">
        <v>4054</v>
      </c>
      <c r="D89" t="s">
        <v>167</v>
      </c>
      <c r="E89">
        <v>2006</v>
      </c>
      <c r="F89">
        <v>12</v>
      </c>
      <c r="G89">
        <v>0.2</v>
      </c>
      <c r="I89" t="s">
        <v>78</v>
      </c>
      <c r="J89">
        <v>7</v>
      </c>
      <c r="K89">
        <f t="shared" si="26"/>
        <v>2013</v>
      </c>
      <c r="N89">
        <v>151535.41</v>
      </c>
      <c r="P89">
        <f t="shared" si="27"/>
        <v>121228.32800000001</v>
      </c>
      <c r="Q89">
        <f t="shared" si="28"/>
        <v>1443.1943809523809</v>
      </c>
      <c r="R89">
        <f t="shared" si="34"/>
        <v>0</v>
      </c>
      <c r="S89">
        <f t="shared" si="35"/>
        <v>0</v>
      </c>
      <c r="T89">
        <f t="shared" si="36"/>
        <v>0</v>
      </c>
      <c r="U89">
        <v>1</v>
      </c>
      <c r="V89">
        <f t="shared" si="37"/>
        <v>0</v>
      </c>
      <c r="X89">
        <f t="shared" si="38"/>
        <v>121228.32800000001</v>
      </c>
      <c r="Y89">
        <f t="shared" si="39"/>
        <v>121228.32800000001</v>
      </c>
      <c r="Z89">
        <v>1</v>
      </c>
      <c r="AA89">
        <f t="shared" si="40"/>
        <v>121228.32800000001</v>
      </c>
      <c r="AB89">
        <f t="shared" si="41"/>
        <v>121228.32800000001</v>
      </c>
      <c r="AC89">
        <f t="shared" si="42"/>
        <v>30307.081999999995</v>
      </c>
      <c r="AD89">
        <f t="shared" si="29"/>
        <v>2006.9166666666667</v>
      </c>
      <c r="AE89">
        <f t="shared" si="30"/>
        <v>2018.0833333333333</v>
      </c>
      <c r="AF89">
        <f t="shared" si="31"/>
        <v>2013.9166666666667</v>
      </c>
      <c r="AG89">
        <f t="shared" si="32"/>
        <v>2017.0833333333333</v>
      </c>
      <c r="AH89">
        <f t="shared" si="33"/>
        <v>-8.3333333333333329E-2</v>
      </c>
      <c r="AJ89">
        <f t="shared" si="43"/>
        <v>10102.360666666666</v>
      </c>
      <c r="AL89">
        <f t="shared" si="44"/>
        <v>10102.360666666666</v>
      </c>
      <c r="AN89">
        <f t="shared" si="45"/>
        <v>-30307.081999999995</v>
      </c>
      <c r="AP89">
        <f t="shared" si="46"/>
        <v>0</v>
      </c>
      <c r="AR89">
        <f t="shared" si="47"/>
        <v>0</v>
      </c>
    </row>
    <row r="90" spans="1:44">
      <c r="A90" t="s">
        <v>283</v>
      </c>
      <c r="C90">
        <v>4054</v>
      </c>
      <c r="D90" t="s">
        <v>289</v>
      </c>
      <c r="E90">
        <v>2007</v>
      </c>
      <c r="F90">
        <v>1</v>
      </c>
      <c r="G90">
        <v>0.2</v>
      </c>
      <c r="I90" t="s">
        <v>78</v>
      </c>
      <c r="J90">
        <v>7</v>
      </c>
      <c r="K90">
        <f t="shared" si="26"/>
        <v>2014</v>
      </c>
      <c r="N90">
        <v>3916.63</v>
      </c>
      <c r="P90">
        <f t="shared" si="27"/>
        <v>3133.3040000000001</v>
      </c>
      <c r="Q90">
        <f t="shared" si="28"/>
        <v>37.301238095238098</v>
      </c>
      <c r="R90">
        <f t="shared" si="34"/>
        <v>0</v>
      </c>
      <c r="S90">
        <f t="shared" si="35"/>
        <v>0</v>
      </c>
      <c r="T90">
        <f t="shared" si="36"/>
        <v>0</v>
      </c>
      <c r="U90">
        <v>1</v>
      </c>
      <c r="V90">
        <f t="shared" si="37"/>
        <v>0</v>
      </c>
      <c r="X90">
        <f t="shared" si="38"/>
        <v>3133.3040000000001</v>
      </c>
      <c r="Y90">
        <f t="shared" si="39"/>
        <v>3133.3040000000001</v>
      </c>
      <c r="Z90">
        <v>1</v>
      </c>
      <c r="AA90">
        <f t="shared" si="40"/>
        <v>3133.3040000000001</v>
      </c>
      <c r="AB90">
        <f t="shared" si="41"/>
        <v>3133.3040000000001</v>
      </c>
      <c r="AC90">
        <f t="shared" si="42"/>
        <v>783.32600000000002</v>
      </c>
      <c r="AD90">
        <f t="shared" si="29"/>
        <v>2007</v>
      </c>
      <c r="AE90">
        <f t="shared" si="30"/>
        <v>2018.0833333333333</v>
      </c>
      <c r="AF90">
        <f t="shared" si="31"/>
        <v>2014</v>
      </c>
      <c r="AG90">
        <f t="shared" si="32"/>
        <v>2017.0833333333333</v>
      </c>
      <c r="AH90">
        <f t="shared" si="33"/>
        <v>-8.3333333333333329E-2</v>
      </c>
      <c r="AJ90">
        <f t="shared" si="43"/>
        <v>261.10866666666669</v>
      </c>
      <c r="AL90">
        <f t="shared" si="44"/>
        <v>261.10866666666669</v>
      </c>
      <c r="AN90">
        <f t="shared" si="45"/>
        <v>-783.32600000000002</v>
      </c>
      <c r="AP90">
        <f t="shared" si="46"/>
        <v>0</v>
      </c>
      <c r="AR90">
        <f t="shared" si="47"/>
        <v>0</v>
      </c>
    </row>
    <row r="91" spans="1:44">
      <c r="A91" t="s">
        <v>283</v>
      </c>
      <c r="C91">
        <v>4061</v>
      </c>
      <c r="D91" t="s">
        <v>332</v>
      </c>
      <c r="E91">
        <v>2007</v>
      </c>
      <c r="F91">
        <v>9</v>
      </c>
      <c r="G91">
        <v>0.2</v>
      </c>
      <c r="I91" t="s">
        <v>78</v>
      </c>
      <c r="J91">
        <v>7</v>
      </c>
      <c r="K91">
        <f t="shared" si="26"/>
        <v>2014</v>
      </c>
      <c r="N91">
        <v>157161.14000000001</v>
      </c>
      <c r="P91">
        <f t="shared" si="27"/>
        <v>125728.91200000001</v>
      </c>
      <c r="Q91">
        <f t="shared" si="28"/>
        <v>1496.7727619047621</v>
      </c>
      <c r="R91">
        <f t="shared" si="34"/>
        <v>0</v>
      </c>
      <c r="S91">
        <f t="shared" si="35"/>
        <v>0</v>
      </c>
      <c r="T91">
        <f t="shared" si="36"/>
        <v>0</v>
      </c>
      <c r="U91">
        <v>1</v>
      </c>
      <c r="V91">
        <f t="shared" si="37"/>
        <v>0</v>
      </c>
      <c r="X91">
        <f t="shared" si="38"/>
        <v>125728.91200000001</v>
      </c>
      <c r="Y91">
        <f t="shared" si="39"/>
        <v>125728.91200000001</v>
      </c>
      <c r="Z91">
        <v>1</v>
      </c>
      <c r="AA91">
        <f t="shared" si="40"/>
        <v>125728.91200000001</v>
      </c>
      <c r="AB91">
        <f t="shared" si="41"/>
        <v>125728.91200000001</v>
      </c>
      <c r="AC91">
        <f t="shared" si="42"/>
        <v>31432.228000000003</v>
      </c>
      <c r="AD91">
        <f t="shared" si="29"/>
        <v>2007.6666666666667</v>
      </c>
      <c r="AE91">
        <f t="shared" si="30"/>
        <v>2018.0833333333333</v>
      </c>
      <c r="AF91">
        <f t="shared" si="31"/>
        <v>2014.6666666666667</v>
      </c>
      <c r="AG91">
        <f t="shared" si="32"/>
        <v>2017.0833333333333</v>
      </c>
      <c r="AH91">
        <f t="shared" si="33"/>
        <v>-8.3333333333333329E-2</v>
      </c>
      <c r="AJ91">
        <f t="shared" si="43"/>
        <v>10477.409333333335</v>
      </c>
      <c r="AL91">
        <f t="shared" si="44"/>
        <v>10477.409333333335</v>
      </c>
      <c r="AN91">
        <f t="shared" si="45"/>
        <v>-31432.228000000003</v>
      </c>
      <c r="AP91">
        <f t="shared" si="46"/>
        <v>0</v>
      </c>
      <c r="AR91">
        <f t="shared" si="47"/>
        <v>0</v>
      </c>
    </row>
    <row r="92" spans="1:44">
      <c r="A92" t="s">
        <v>283</v>
      </c>
      <c r="B92">
        <v>114285</v>
      </c>
      <c r="C92">
        <v>4062</v>
      </c>
      <c r="D92" t="s">
        <v>551</v>
      </c>
      <c r="E92">
        <v>2007</v>
      </c>
      <c r="F92">
        <v>11</v>
      </c>
      <c r="G92">
        <v>0.2</v>
      </c>
      <c r="I92" t="s">
        <v>78</v>
      </c>
      <c r="J92">
        <v>7</v>
      </c>
      <c r="K92">
        <f>E92+J92</f>
        <v>2014</v>
      </c>
      <c r="N92">
        <v>163233.62</v>
      </c>
      <c r="P92">
        <f t="shared" si="27"/>
        <v>130586.89599999999</v>
      </c>
      <c r="Q92">
        <f t="shared" si="28"/>
        <v>1554.6059047619046</v>
      </c>
      <c r="R92">
        <f t="shared" si="34"/>
        <v>0</v>
      </c>
      <c r="S92">
        <f t="shared" si="35"/>
        <v>0</v>
      </c>
      <c r="T92">
        <f t="shared" si="36"/>
        <v>0</v>
      </c>
      <c r="U92">
        <v>1</v>
      </c>
      <c r="V92">
        <f t="shared" si="37"/>
        <v>0</v>
      </c>
      <c r="X92">
        <f t="shared" si="38"/>
        <v>130586.89599999999</v>
      </c>
      <c r="Y92">
        <f t="shared" si="39"/>
        <v>130586.89599999999</v>
      </c>
      <c r="Z92">
        <v>1</v>
      </c>
      <c r="AA92">
        <f t="shared" si="40"/>
        <v>130586.89599999999</v>
      </c>
      <c r="AB92">
        <f t="shared" si="41"/>
        <v>130586.89599999999</v>
      </c>
      <c r="AC92">
        <f t="shared" si="42"/>
        <v>32646.724000000002</v>
      </c>
      <c r="AD92">
        <f t="shared" si="29"/>
        <v>2007.8333333333333</v>
      </c>
      <c r="AE92">
        <f t="shared" si="30"/>
        <v>2018.0833333333333</v>
      </c>
      <c r="AF92">
        <f t="shared" si="31"/>
        <v>2014.8333333333333</v>
      </c>
      <c r="AG92">
        <f t="shared" si="32"/>
        <v>2017.0833333333333</v>
      </c>
      <c r="AH92">
        <f t="shared" si="33"/>
        <v>-8.3333333333333329E-2</v>
      </c>
      <c r="AJ92">
        <f t="shared" si="43"/>
        <v>10882.241333333333</v>
      </c>
      <c r="AL92">
        <f t="shared" si="44"/>
        <v>10882.241333333333</v>
      </c>
      <c r="AN92">
        <f t="shared" si="45"/>
        <v>-32646.724000000002</v>
      </c>
      <c r="AP92">
        <f t="shared" si="46"/>
        <v>0</v>
      </c>
      <c r="AR92">
        <f t="shared" si="47"/>
        <v>0</v>
      </c>
    </row>
    <row r="93" spans="1:44">
      <c r="A93" t="s">
        <v>283</v>
      </c>
      <c r="C93">
        <v>4068</v>
      </c>
      <c r="D93" t="s">
        <v>425</v>
      </c>
      <c r="E93">
        <v>2008</v>
      </c>
      <c r="F93">
        <v>10</v>
      </c>
      <c r="G93">
        <v>0.2</v>
      </c>
      <c r="I93" t="s">
        <v>78</v>
      </c>
      <c r="J93">
        <v>7</v>
      </c>
      <c r="K93">
        <f t="shared" si="26"/>
        <v>2015</v>
      </c>
      <c r="N93">
        <v>165485.70000000001</v>
      </c>
      <c r="P93">
        <f t="shared" si="27"/>
        <v>132388.56</v>
      </c>
      <c r="Q93">
        <f t="shared" si="28"/>
        <v>1576.0542857142857</v>
      </c>
      <c r="R93">
        <f t="shared" si="34"/>
        <v>0</v>
      </c>
      <c r="S93">
        <f t="shared" si="35"/>
        <v>0</v>
      </c>
      <c r="T93">
        <f t="shared" si="36"/>
        <v>0</v>
      </c>
      <c r="U93">
        <v>1</v>
      </c>
      <c r="V93">
        <f t="shared" si="37"/>
        <v>0</v>
      </c>
      <c r="X93">
        <f t="shared" si="38"/>
        <v>132388.56</v>
      </c>
      <c r="Y93">
        <f t="shared" si="39"/>
        <v>132388.56</v>
      </c>
      <c r="Z93">
        <v>1</v>
      </c>
      <c r="AA93">
        <f t="shared" si="40"/>
        <v>132388.56</v>
      </c>
      <c r="AB93">
        <f t="shared" si="41"/>
        <v>132388.56</v>
      </c>
      <c r="AC93">
        <f t="shared" si="42"/>
        <v>33097.140000000014</v>
      </c>
      <c r="AD93">
        <f t="shared" si="29"/>
        <v>2008.75</v>
      </c>
      <c r="AE93">
        <f t="shared" si="30"/>
        <v>2018.0833333333333</v>
      </c>
      <c r="AF93">
        <f t="shared" si="31"/>
        <v>2015.75</v>
      </c>
      <c r="AG93">
        <f t="shared" si="32"/>
        <v>2017.0833333333333</v>
      </c>
      <c r="AH93">
        <f t="shared" si="33"/>
        <v>-8.3333333333333329E-2</v>
      </c>
      <c r="AJ93">
        <f t="shared" si="43"/>
        <v>11032.380000000005</v>
      </c>
      <c r="AL93">
        <f t="shared" si="44"/>
        <v>11032.380000000005</v>
      </c>
      <c r="AN93">
        <f t="shared" si="45"/>
        <v>-33097.140000000014</v>
      </c>
      <c r="AP93">
        <f t="shared" si="46"/>
        <v>0</v>
      </c>
      <c r="AR93">
        <f t="shared" si="47"/>
        <v>0</v>
      </c>
    </row>
    <row r="94" spans="1:44">
      <c r="A94" t="s">
        <v>283</v>
      </c>
      <c r="C94">
        <v>4033</v>
      </c>
      <c r="D94" t="s">
        <v>82</v>
      </c>
      <c r="E94">
        <v>2009</v>
      </c>
      <c r="F94">
        <v>5</v>
      </c>
      <c r="G94">
        <v>0</v>
      </c>
      <c r="I94" t="s">
        <v>78</v>
      </c>
      <c r="J94">
        <v>3</v>
      </c>
      <c r="K94">
        <f>E94+J94</f>
        <v>2012</v>
      </c>
      <c r="N94">
        <v>3577.2</v>
      </c>
      <c r="P94">
        <f t="shared" si="27"/>
        <v>3577.2</v>
      </c>
      <c r="Q94">
        <f t="shared" si="28"/>
        <v>99.36666666666666</v>
      </c>
      <c r="R94">
        <f t="shared" si="34"/>
        <v>0</v>
      </c>
      <c r="S94">
        <f t="shared" si="35"/>
        <v>0</v>
      </c>
      <c r="T94">
        <f t="shared" si="36"/>
        <v>0</v>
      </c>
      <c r="U94">
        <v>1</v>
      </c>
      <c r="V94">
        <f t="shared" si="37"/>
        <v>0</v>
      </c>
      <c r="X94">
        <f t="shared" si="38"/>
        <v>3577.2</v>
      </c>
      <c r="Y94">
        <f t="shared" si="39"/>
        <v>3577.2</v>
      </c>
      <c r="Z94">
        <v>1</v>
      </c>
      <c r="AA94">
        <f t="shared" si="40"/>
        <v>3577.2</v>
      </c>
      <c r="AB94">
        <f t="shared" si="41"/>
        <v>3577.2</v>
      </c>
      <c r="AC94">
        <f t="shared" si="42"/>
        <v>0</v>
      </c>
      <c r="AD94">
        <f t="shared" si="29"/>
        <v>2009.3333333333333</v>
      </c>
      <c r="AE94">
        <f t="shared" si="30"/>
        <v>2018.0833333333333</v>
      </c>
      <c r="AF94">
        <f t="shared" si="31"/>
        <v>2012.3333333333333</v>
      </c>
      <c r="AG94">
        <f t="shared" si="32"/>
        <v>2017.0833333333333</v>
      </c>
      <c r="AH94">
        <f t="shared" si="33"/>
        <v>-8.3333333333333329E-2</v>
      </c>
      <c r="AJ94">
        <f t="shared" si="43"/>
        <v>0</v>
      </c>
      <c r="AL94">
        <f t="shared" si="44"/>
        <v>0</v>
      </c>
      <c r="AN94">
        <f t="shared" si="45"/>
        <v>0</v>
      </c>
      <c r="AP94">
        <f t="shared" si="46"/>
        <v>0</v>
      </c>
      <c r="AR94">
        <f t="shared" si="47"/>
        <v>0</v>
      </c>
    </row>
    <row r="95" spans="1:44">
      <c r="A95" t="s">
        <v>283</v>
      </c>
      <c r="C95">
        <v>4033</v>
      </c>
      <c r="D95" t="s">
        <v>331</v>
      </c>
      <c r="E95">
        <v>2009</v>
      </c>
      <c r="F95">
        <v>5</v>
      </c>
      <c r="G95">
        <v>0</v>
      </c>
      <c r="I95" t="s">
        <v>78</v>
      </c>
      <c r="J95">
        <v>3</v>
      </c>
      <c r="K95">
        <f>E95+J95</f>
        <v>2012</v>
      </c>
      <c r="N95">
        <v>5775.33</v>
      </c>
      <c r="P95">
        <f t="shared" si="27"/>
        <v>5775.33</v>
      </c>
      <c r="Q95">
        <f t="shared" si="28"/>
        <v>160.42583333333332</v>
      </c>
      <c r="R95">
        <f t="shared" si="34"/>
        <v>0</v>
      </c>
      <c r="S95">
        <f t="shared" si="35"/>
        <v>0</v>
      </c>
      <c r="T95">
        <f t="shared" si="36"/>
        <v>0</v>
      </c>
      <c r="U95">
        <v>1</v>
      </c>
      <c r="V95">
        <f t="shared" si="37"/>
        <v>0</v>
      </c>
      <c r="X95">
        <f t="shared" si="38"/>
        <v>5775.33</v>
      </c>
      <c r="Y95">
        <f t="shared" si="39"/>
        <v>5775.33</v>
      </c>
      <c r="Z95">
        <v>1</v>
      </c>
      <c r="AA95">
        <f t="shared" si="40"/>
        <v>5775.33</v>
      </c>
      <c r="AB95">
        <f t="shared" si="41"/>
        <v>5775.33</v>
      </c>
      <c r="AC95">
        <f t="shared" si="42"/>
        <v>0</v>
      </c>
      <c r="AD95">
        <f t="shared" si="29"/>
        <v>2009.3333333333333</v>
      </c>
      <c r="AE95">
        <f t="shared" si="30"/>
        <v>2018.0833333333333</v>
      </c>
      <c r="AF95">
        <f t="shared" si="31"/>
        <v>2012.3333333333333</v>
      </c>
      <c r="AG95">
        <f t="shared" si="32"/>
        <v>2017.0833333333333</v>
      </c>
      <c r="AH95">
        <f t="shared" si="33"/>
        <v>-8.3333333333333329E-2</v>
      </c>
      <c r="AJ95">
        <f t="shared" si="43"/>
        <v>0</v>
      </c>
      <c r="AL95">
        <f t="shared" si="44"/>
        <v>0</v>
      </c>
      <c r="AN95">
        <f t="shared" si="45"/>
        <v>0</v>
      </c>
      <c r="AP95">
        <f t="shared" si="46"/>
        <v>0</v>
      </c>
      <c r="AR95">
        <f t="shared" si="47"/>
        <v>0</v>
      </c>
    </row>
    <row r="96" spans="1:44">
      <c r="A96" t="s">
        <v>283</v>
      </c>
      <c r="C96">
        <v>4025</v>
      </c>
      <c r="D96" t="s">
        <v>329</v>
      </c>
      <c r="E96">
        <v>2009</v>
      </c>
      <c r="F96">
        <v>6</v>
      </c>
      <c r="G96">
        <v>0</v>
      </c>
      <c r="I96" t="s">
        <v>78</v>
      </c>
      <c r="J96">
        <v>3</v>
      </c>
      <c r="K96">
        <f t="shared" si="26"/>
        <v>2012</v>
      </c>
      <c r="N96">
        <v>4615.03</v>
      </c>
      <c r="P96">
        <f t="shared" si="27"/>
        <v>4615.03</v>
      </c>
      <c r="Q96">
        <f t="shared" si="28"/>
        <v>128.19527777777776</v>
      </c>
      <c r="R96">
        <f t="shared" si="34"/>
        <v>0</v>
      </c>
      <c r="S96">
        <f t="shared" si="35"/>
        <v>0</v>
      </c>
      <c r="T96">
        <f t="shared" si="36"/>
        <v>0</v>
      </c>
      <c r="U96">
        <v>1</v>
      </c>
      <c r="V96">
        <f t="shared" si="37"/>
        <v>0</v>
      </c>
      <c r="X96">
        <f t="shared" si="38"/>
        <v>4615.03</v>
      </c>
      <c r="Y96">
        <f t="shared" si="39"/>
        <v>4615.03</v>
      </c>
      <c r="Z96">
        <v>1</v>
      </c>
      <c r="AA96">
        <f t="shared" si="40"/>
        <v>4615.03</v>
      </c>
      <c r="AB96">
        <f t="shared" si="41"/>
        <v>4615.03</v>
      </c>
      <c r="AC96">
        <f t="shared" si="42"/>
        <v>0</v>
      </c>
      <c r="AD96">
        <f t="shared" si="29"/>
        <v>2009.4166666666667</v>
      </c>
      <c r="AE96">
        <f t="shared" si="30"/>
        <v>2018.0833333333333</v>
      </c>
      <c r="AF96">
        <f t="shared" si="31"/>
        <v>2012.4166666666667</v>
      </c>
      <c r="AG96">
        <f t="shared" si="32"/>
        <v>2017.0833333333333</v>
      </c>
      <c r="AH96">
        <f t="shared" si="33"/>
        <v>-8.3333333333333329E-2</v>
      </c>
      <c r="AJ96">
        <f t="shared" si="43"/>
        <v>0</v>
      </c>
      <c r="AL96">
        <f t="shared" si="44"/>
        <v>0</v>
      </c>
      <c r="AN96">
        <f t="shared" si="45"/>
        <v>0</v>
      </c>
      <c r="AP96">
        <f t="shared" si="46"/>
        <v>0</v>
      </c>
      <c r="AR96">
        <f t="shared" si="47"/>
        <v>0</v>
      </c>
    </row>
    <row r="97" spans="1:44">
      <c r="A97" t="s">
        <v>283</v>
      </c>
      <c r="C97">
        <v>4030</v>
      </c>
      <c r="D97" t="s">
        <v>330</v>
      </c>
      <c r="E97">
        <v>2009</v>
      </c>
      <c r="F97">
        <v>6</v>
      </c>
      <c r="G97">
        <v>0</v>
      </c>
      <c r="I97" t="s">
        <v>78</v>
      </c>
      <c r="J97">
        <v>3</v>
      </c>
      <c r="K97">
        <f t="shared" si="26"/>
        <v>2012</v>
      </c>
      <c r="N97">
        <v>2556.91</v>
      </c>
      <c r="P97">
        <f t="shared" si="27"/>
        <v>2556.91</v>
      </c>
      <c r="Q97">
        <f t="shared" si="28"/>
        <v>71.025277777777774</v>
      </c>
      <c r="R97">
        <f t="shared" si="34"/>
        <v>0</v>
      </c>
      <c r="S97">
        <f t="shared" si="35"/>
        <v>0</v>
      </c>
      <c r="T97">
        <f t="shared" si="36"/>
        <v>0</v>
      </c>
      <c r="U97">
        <v>1</v>
      </c>
      <c r="V97">
        <f t="shared" si="37"/>
        <v>0</v>
      </c>
      <c r="X97">
        <f t="shared" si="38"/>
        <v>2556.91</v>
      </c>
      <c r="Y97">
        <f t="shared" si="39"/>
        <v>2556.91</v>
      </c>
      <c r="Z97">
        <v>1</v>
      </c>
      <c r="AA97">
        <f t="shared" si="40"/>
        <v>2556.91</v>
      </c>
      <c r="AB97">
        <f t="shared" si="41"/>
        <v>2556.91</v>
      </c>
      <c r="AC97">
        <f t="shared" si="42"/>
        <v>0</v>
      </c>
      <c r="AD97">
        <f t="shared" si="29"/>
        <v>2009.4166666666667</v>
      </c>
      <c r="AE97">
        <f t="shared" si="30"/>
        <v>2018.0833333333333</v>
      </c>
      <c r="AF97">
        <f t="shared" si="31"/>
        <v>2012.4166666666667</v>
      </c>
      <c r="AG97">
        <f t="shared" si="32"/>
        <v>2017.0833333333333</v>
      </c>
      <c r="AH97">
        <f t="shared" si="33"/>
        <v>-8.3333333333333329E-2</v>
      </c>
      <c r="AJ97">
        <f t="shared" si="43"/>
        <v>0</v>
      </c>
      <c r="AL97">
        <f t="shared" si="44"/>
        <v>0</v>
      </c>
      <c r="AN97">
        <f t="shared" si="45"/>
        <v>0</v>
      </c>
      <c r="AP97">
        <f t="shared" si="46"/>
        <v>0</v>
      </c>
      <c r="AR97">
        <f t="shared" si="47"/>
        <v>0</v>
      </c>
    </row>
    <row r="98" spans="1:44">
      <c r="B98">
        <v>88721</v>
      </c>
      <c r="D98" t="s">
        <v>437</v>
      </c>
      <c r="E98">
        <v>2011</v>
      </c>
      <c r="F98">
        <v>12</v>
      </c>
      <c r="G98">
        <v>0</v>
      </c>
      <c r="I98" t="s">
        <v>78</v>
      </c>
      <c r="J98">
        <v>5</v>
      </c>
      <c r="K98">
        <f t="shared" si="26"/>
        <v>2016</v>
      </c>
      <c r="N98">
        <f>487.65*11</f>
        <v>5364.15</v>
      </c>
      <c r="P98">
        <f t="shared" si="27"/>
        <v>5364.15</v>
      </c>
      <c r="Q98">
        <f t="shared" si="28"/>
        <v>89.402499999999989</v>
      </c>
      <c r="R98">
        <f t="shared" si="34"/>
        <v>0</v>
      </c>
      <c r="S98">
        <f t="shared" si="35"/>
        <v>0</v>
      </c>
      <c r="T98">
        <f t="shared" si="36"/>
        <v>0</v>
      </c>
      <c r="U98">
        <v>1</v>
      </c>
      <c r="V98">
        <f t="shared" si="37"/>
        <v>0</v>
      </c>
      <c r="X98">
        <f t="shared" si="38"/>
        <v>5364.15</v>
      </c>
      <c r="Y98">
        <f t="shared" si="39"/>
        <v>5364.15</v>
      </c>
      <c r="Z98">
        <v>1</v>
      </c>
      <c r="AA98">
        <f t="shared" si="40"/>
        <v>5364.15</v>
      </c>
      <c r="AB98">
        <f t="shared" si="41"/>
        <v>5364.15</v>
      </c>
      <c r="AC98">
        <f t="shared" si="42"/>
        <v>0</v>
      </c>
      <c r="AD98">
        <f t="shared" si="29"/>
        <v>2011.9166666666667</v>
      </c>
      <c r="AE98">
        <f t="shared" si="30"/>
        <v>2018.0833333333333</v>
      </c>
      <c r="AF98">
        <f t="shared" si="31"/>
        <v>2016.9166666666667</v>
      </c>
      <c r="AG98">
        <f t="shared" si="32"/>
        <v>2017.0833333333333</v>
      </c>
      <c r="AH98">
        <f t="shared" si="33"/>
        <v>-8.3333333333333329E-2</v>
      </c>
      <c r="AJ98">
        <f t="shared" si="43"/>
        <v>0</v>
      </c>
      <c r="AL98">
        <f t="shared" si="44"/>
        <v>0</v>
      </c>
      <c r="AN98">
        <f t="shared" si="45"/>
        <v>0</v>
      </c>
      <c r="AP98">
        <f t="shared" si="46"/>
        <v>0</v>
      </c>
      <c r="AR98">
        <f t="shared" si="47"/>
        <v>0</v>
      </c>
    </row>
    <row r="99" spans="1:44">
      <c r="B99">
        <v>95840</v>
      </c>
      <c r="C99">
        <v>4030</v>
      </c>
      <c r="D99" t="s">
        <v>467</v>
      </c>
      <c r="E99">
        <v>2012</v>
      </c>
      <c r="F99">
        <v>7</v>
      </c>
      <c r="G99">
        <v>0</v>
      </c>
      <c r="I99" t="s">
        <v>78</v>
      </c>
      <c r="J99">
        <v>7</v>
      </c>
      <c r="K99">
        <f t="shared" si="26"/>
        <v>2019</v>
      </c>
      <c r="N99">
        <v>45311</v>
      </c>
      <c r="P99">
        <f t="shared" si="27"/>
        <v>45311</v>
      </c>
      <c r="Q99">
        <f t="shared" si="28"/>
        <v>539.41666666666663</v>
      </c>
      <c r="R99">
        <f t="shared" si="34"/>
        <v>6473</v>
      </c>
      <c r="S99">
        <f t="shared" si="35"/>
        <v>0</v>
      </c>
      <c r="T99">
        <f t="shared" si="36"/>
        <v>6473</v>
      </c>
      <c r="U99">
        <v>1</v>
      </c>
      <c r="V99">
        <f t="shared" si="37"/>
        <v>6473</v>
      </c>
      <c r="X99">
        <f t="shared" si="38"/>
        <v>29667.916666666173</v>
      </c>
      <c r="Y99">
        <f t="shared" si="39"/>
        <v>29667.916666666173</v>
      </c>
      <c r="Z99">
        <v>1</v>
      </c>
      <c r="AA99">
        <f t="shared" si="40"/>
        <v>29667.916666666173</v>
      </c>
      <c r="AB99">
        <f t="shared" si="41"/>
        <v>36140.916666666177</v>
      </c>
      <c r="AC99">
        <f t="shared" si="42"/>
        <v>12406.583333333825</v>
      </c>
      <c r="AD99">
        <f t="shared" si="29"/>
        <v>2012.5</v>
      </c>
      <c r="AE99">
        <f t="shared" si="30"/>
        <v>2018.0833333333333</v>
      </c>
      <c r="AF99">
        <f t="shared" si="31"/>
        <v>2019.5</v>
      </c>
      <c r="AG99">
        <f t="shared" si="32"/>
        <v>2017.0833333333333</v>
      </c>
      <c r="AH99">
        <f t="shared" si="33"/>
        <v>-8.3333333333333329E-2</v>
      </c>
      <c r="AJ99">
        <f t="shared" si="43"/>
        <v>0</v>
      </c>
      <c r="AL99">
        <f t="shared" si="44"/>
        <v>6473</v>
      </c>
      <c r="AN99">
        <f t="shared" si="45"/>
        <v>0</v>
      </c>
      <c r="AP99">
        <f t="shared" si="46"/>
        <v>0</v>
      </c>
      <c r="AR99">
        <f t="shared" si="47"/>
        <v>12406.583333333825</v>
      </c>
    </row>
    <row r="100" spans="1:44">
      <c r="B100">
        <v>114284</v>
      </c>
      <c r="C100">
        <v>4049</v>
      </c>
      <c r="D100" t="s">
        <v>553</v>
      </c>
      <c r="E100">
        <v>2013</v>
      </c>
      <c r="F100">
        <v>10</v>
      </c>
      <c r="G100">
        <v>0.2</v>
      </c>
      <c r="I100" t="s">
        <v>78</v>
      </c>
      <c r="J100">
        <v>7</v>
      </c>
      <c r="K100">
        <f>E100+J100</f>
        <v>2020</v>
      </c>
      <c r="N100">
        <v>8837.86</v>
      </c>
      <c r="P100">
        <f t="shared" si="27"/>
        <v>7070.2880000000005</v>
      </c>
      <c r="Q100">
        <f t="shared" si="28"/>
        <v>84.170095238095243</v>
      </c>
      <c r="R100">
        <f t="shared" si="34"/>
        <v>1010.0411428571429</v>
      </c>
      <c r="S100">
        <f t="shared" si="35"/>
        <v>0</v>
      </c>
      <c r="T100">
        <f t="shared" si="36"/>
        <v>1010.0411428571429</v>
      </c>
      <c r="U100">
        <v>1</v>
      </c>
      <c r="V100">
        <f t="shared" si="37"/>
        <v>1010.0411428571429</v>
      </c>
      <c r="X100">
        <f t="shared" si="38"/>
        <v>3366.803809523733</v>
      </c>
      <c r="Y100">
        <f t="shared" si="39"/>
        <v>3366.803809523733</v>
      </c>
      <c r="Z100">
        <v>1</v>
      </c>
      <c r="AA100">
        <f t="shared" si="40"/>
        <v>3366.803809523733</v>
      </c>
      <c r="AB100">
        <f t="shared" si="41"/>
        <v>4376.8449523808758</v>
      </c>
      <c r="AC100">
        <f t="shared" si="42"/>
        <v>4966.0356190476959</v>
      </c>
      <c r="AD100">
        <f t="shared" si="29"/>
        <v>2013.75</v>
      </c>
      <c r="AE100">
        <f t="shared" si="30"/>
        <v>2018.0833333333333</v>
      </c>
      <c r="AF100">
        <f t="shared" si="31"/>
        <v>2020.75</v>
      </c>
      <c r="AG100">
        <f t="shared" si="32"/>
        <v>2017.0833333333333</v>
      </c>
      <c r="AH100">
        <f t="shared" si="33"/>
        <v>-8.3333333333333329E-2</v>
      </c>
      <c r="AJ100">
        <f t="shared" si="43"/>
        <v>482.06509090908099</v>
      </c>
      <c r="AL100">
        <f t="shared" si="44"/>
        <v>1492.1062337662238</v>
      </c>
      <c r="AN100">
        <f t="shared" si="45"/>
        <v>0</v>
      </c>
      <c r="AP100">
        <f t="shared" si="46"/>
        <v>4725.0030735931559</v>
      </c>
      <c r="AR100">
        <f t="shared" si="47"/>
        <v>4725.0030735931559</v>
      </c>
    </row>
    <row r="101" spans="1:44">
      <c r="B101">
        <v>114286</v>
      </c>
      <c r="C101">
        <v>4062</v>
      </c>
      <c r="D101" t="s">
        <v>552</v>
      </c>
      <c r="E101">
        <v>2013</v>
      </c>
      <c r="F101">
        <v>11</v>
      </c>
      <c r="G101">
        <v>0.2</v>
      </c>
      <c r="I101" t="s">
        <v>78</v>
      </c>
      <c r="J101">
        <v>7</v>
      </c>
      <c r="K101">
        <f>E101+J101</f>
        <v>2020</v>
      </c>
      <c r="N101">
        <v>8837.86</v>
      </c>
      <c r="P101">
        <f t="shared" si="27"/>
        <v>7070.2880000000005</v>
      </c>
      <c r="Q101">
        <f t="shared" si="28"/>
        <v>84.170095238095243</v>
      </c>
      <c r="R101">
        <f t="shared" si="34"/>
        <v>1010.0411428571429</v>
      </c>
      <c r="S101">
        <f t="shared" si="35"/>
        <v>0</v>
      </c>
      <c r="T101">
        <f t="shared" si="36"/>
        <v>1010.0411428571429</v>
      </c>
      <c r="U101">
        <v>1</v>
      </c>
      <c r="V101">
        <f t="shared" si="37"/>
        <v>1010.0411428571429</v>
      </c>
      <c r="X101">
        <f t="shared" si="38"/>
        <v>3282.6337142857146</v>
      </c>
      <c r="Y101">
        <f t="shared" si="39"/>
        <v>3282.6337142857146</v>
      </c>
      <c r="Z101">
        <v>1</v>
      </c>
      <c r="AA101">
        <f t="shared" si="40"/>
        <v>3282.6337142857146</v>
      </c>
      <c r="AB101">
        <f t="shared" si="41"/>
        <v>4292.6748571428579</v>
      </c>
      <c r="AC101">
        <f t="shared" si="42"/>
        <v>5050.2057142857138</v>
      </c>
      <c r="AD101">
        <f t="shared" si="29"/>
        <v>2013.8333333333333</v>
      </c>
      <c r="AE101">
        <f t="shared" si="30"/>
        <v>2018.0833333333333</v>
      </c>
      <c r="AF101">
        <f t="shared" si="31"/>
        <v>2020.8333333333333</v>
      </c>
      <c r="AG101">
        <f t="shared" si="32"/>
        <v>2017.0833333333333</v>
      </c>
      <c r="AH101">
        <f t="shared" si="33"/>
        <v>-8.3333333333333329E-2</v>
      </c>
      <c r="AJ101">
        <f t="shared" si="43"/>
        <v>471.35253333333338</v>
      </c>
      <c r="AL101">
        <f t="shared" si="44"/>
        <v>1481.3936761904763</v>
      </c>
      <c r="AN101">
        <f t="shared" si="45"/>
        <v>0</v>
      </c>
      <c r="AP101">
        <f t="shared" si="46"/>
        <v>4814.5294476190475</v>
      </c>
      <c r="AR101">
        <f t="shared" si="47"/>
        <v>4814.5294476190475</v>
      </c>
    </row>
    <row r="102" spans="1:44">
      <c r="B102">
        <v>109182</v>
      </c>
      <c r="C102">
        <v>4046</v>
      </c>
      <c r="D102" t="s">
        <v>494</v>
      </c>
      <c r="E102">
        <v>2013</v>
      </c>
      <c r="F102">
        <v>10</v>
      </c>
      <c r="G102">
        <v>0.2</v>
      </c>
      <c r="I102" t="s">
        <v>78</v>
      </c>
      <c r="J102">
        <v>7</v>
      </c>
      <c r="K102">
        <f t="shared" si="26"/>
        <v>2020</v>
      </c>
      <c r="N102">
        <v>8837.86</v>
      </c>
      <c r="P102">
        <f t="shared" si="27"/>
        <v>7070.2880000000005</v>
      </c>
      <c r="Q102">
        <f t="shared" si="28"/>
        <v>84.170095238095243</v>
      </c>
      <c r="R102">
        <f t="shared" si="34"/>
        <v>1010.0411428571429</v>
      </c>
      <c r="S102">
        <f t="shared" si="35"/>
        <v>0</v>
      </c>
      <c r="T102">
        <f t="shared" si="36"/>
        <v>1010.0411428571429</v>
      </c>
      <c r="U102">
        <v>1</v>
      </c>
      <c r="V102">
        <f t="shared" si="37"/>
        <v>1010.0411428571429</v>
      </c>
      <c r="X102">
        <f t="shared" si="38"/>
        <v>3366.803809523733</v>
      </c>
      <c r="Y102">
        <f t="shared" si="39"/>
        <v>3366.803809523733</v>
      </c>
      <c r="Z102">
        <v>1</v>
      </c>
      <c r="AA102">
        <f t="shared" si="40"/>
        <v>3366.803809523733</v>
      </c>
      <c r="AB102">
        <f t="shared" si="41"/>
        <v>4376.8449523808758</v>
      </c>
      <c r="AC102">
        <f t="shared" si="42"/>
        <v>4966.0356190476959</v>
      </c>
      <c r="AD102">
        <f t="shared" si="29"/>
        <v>2013.75</v>
      </c>
      <c r="AE102">
        <f t="shared" si="30"/>
        <v>2018.0833333333333</v>
      </c>
      <c r="AF102">
        <f t="shared" si="31"/>
        <v>2020.75</v>
      </c>
      <c r="AG102">
        <f t="shared" si="32"/>
        <v>2017.0833333333333</v>
      </c>
      <c r="AH102">
        <f t="shared" si="33"/>
        <v>-8.3333333333333329E-2</v>
      </c>
      <c r="AJ102">
        <f t="shared" si="43"/>
        <v>482.06509090908099</v>
      </c>
      <c r="AL102">
        <f t="shared" si="44"/>
        <v>1492.1062337662238</v>
      </c>
      <c r="AN102">
        <f t="shared" si="45"/>
        <v>0</v>
      </c>
      <c r="AP102">
        <f t="shared" si="46"/>
        <v>4725.0030735931559</v>
      </c>
      <c r="AR102">
        <f t="shared" si="47"/>
        <v>4725.0030735931559</v>
      </c>
    </row>
    <row r="103" spans="1:44">
      <c r="B103">
        <v>109180</v>
      </c>
      <c r="C103">
        <v>4047</v>
      </c>
      <c r="D103" t="s">
        <v>495</v>
      </c>
      <c r="E103">
        <v>2013</v>
      </c>
      <c r="F103">
        <v>10</v>
      </c>
      <c r="G103">
        <v>0.2</v>
      </c>
      <c r="I103" t="s">
        <v>78</v>
      </c>
      <c r="J103">
        <v>7</v>
      </c>
      <c r="K103">
        <f t="shared" si="26"/>
        <v>2020</v>
      </c>
      <c r="N103">
        <v>8837.86</v>
      </c>
      <c r="P103">
        <f t="shared" si="27"/>
        <v>7070.2880000000005</v>
      </c>
      <c r="Q103">
        <f t="shared" si="28"/>
        <v>84.170095238095243</v>
      </c>
      <c r="R103">
        <f t="shared" si="34"/>
        <v>1010.0411428571429</v>
      </c>
      <c r="S103">
        <f t="shared" si="35"/>
        <v>0</v>
      </c>
      <c r="T103">
        <f t="shared" si="36"/>
        <v>1010.0411428571429</v>
      </c>
      <c r="U103">
        <v>1</v>
      </c>
      <c r="V103">
        <f t="shared" si="37"/>
        <v>1010.0411428571429</v>
      </c>
      <c r="X103">
        <f t="shared" si="38"/>
        <v>3366.803809523733</v>
      </c>
      <c r="Y103">
        <f t="shared" si="39"/>
        <v>3366.803809523733</v>
      </c>
      <c r="Z103">
        <v>1</v>
      </c>
      <c r="AA103">
        <f t="shared" si="40"/>
        <v>3366.803809523733</v>
      </c>
      <c r="AB103">
        <f t="shared" si="41"/>
        <v>4376.8449523808758</v>
      </c>
      <c r="AC103">
        <f t="shared" si="42"/>
        <v>4966.0356190476959</v>
      </c>
      <c r="AD103">
        <f t="shared" si="29"/>
        <v>2013.75</v>
      </c>
      <c r="AE103">
        <f t="shared" si="30"/>
        <v>2018.0833333333333</v>
      </c>
      <c r="AF103">
        <f t="shared" si="31"/>
        <v>2020.75</v>
      </c>
      <c r="AG103">
        <f t="shared" si="32"/>
        <v>2017.0833333333333</v>
      </c>
      <c r="AH103">
        <f t="shared" si="33"/>
        <v>-8.3333333333333329E-2</v>
      </c>
      <c r="AJ103">
        <f t="shared" si="43"/>
        <v>482.06509090908099</v>
      </c>
      <c r="AL103">
        <f t="shared" si="44"/>
        <v>1492.1062337662238</v>
      </c>
      <c r="AN103">
        <f t="shared" si="45"/>
        <v>0</v>
      </c>
      <c r="AP103">
        <f t="shared" si="46"/>
        <v>4725.0030735931559</v>
      </c>
      <c r="AR103">
        <f t="shared" si="47"/>
        <v>4725.0030735931559</v>
      </c>
    </row>
    <row r="104" spans="1:44">
      <c r="B104">
        <v>109181</v>
      </c>
      <c r="C104">
        <v>4061</v>
      </c>
      <c r="D104" t="s">
        <v>496</v>
      </c>
      <c r="E104">
        <v>2013</v>
      </c>
      <c r="F104">
        <v>10</v>
      </c>
      <c r="G104">
        <v>0.2</v>
      </c>
      <c r="I104" t="s">
        <v>78</v>
      </c>
      <c r="J104">
        <v>7</v>
      </c>
      <c r="K104">
        <f t="shared" si="26"/>
        <v>2020</v>
      </c>
      <c r="N104">
        <v>8837.86</v>
      </c>
      <c r="P104">
        <f t="shared" si="27"/>
        <v>7070.2880000000005</v>
      </c>
      <c r="Q104">
        <f t="shared" si="28"/>
        <v>84.170095238095243</v>
      </c>
      <c r="R104">
        <f t="shared" si="34"/>
        <v>1010.0411428571429</v>
      </c>
      <c r="S104">
        <f t="shared" si="35"/>
        <v>0</v>
      </c>
      <c r="T104">
        <f t="shared" si="36"/>
        <v>1010.0411428571429</v>
      </c>
      <c r="U104">
        <v>1</v>
      </c>
      <c r="V104">
        <f t="shared" si="37"/>
        <v>1010.0411428571429</v>
      </c>
      <c r="X104">
        <f t="shared" si="38"/>
        <v>3366.803809523733</v>
      </c>
      <c r="Y104">
        <f t="shared" si="39"/>
        <v>3366.803809523733</v>
      </c>
      <c r="Z104">
        <v>1</v>
      </c>
      <c r="AA104">
        <f t="shared" si="40"/>
        <v>3366.803809523733</v>
      </c>
      <c r="AB104">
        <f t="shared" si="41"/>
        <v>4376.8449523808758</v>
      </c>
      <c r="AC104">
        <f t="shared" si="42"/>
        <v>4966.0356190476959</v>
      </c>
      <c r="AD104">
        <f t="shared" si="29"/>
        <v>2013.75</v>
      </c>
      <c r="AE104">
        <f t="shared" si="30"/>
        <v>2018.0833333333333</v>
      </c>
      <c r="AF104">
        <f t="shared" si="31"/>
        <v>2020.75</v>
      </c>
      <c r="AG104">
        <f t="shared" si="32"/>
        <v>2017.0833333333333</v>
      </c>
      <c r="AH104">
        <f t="shared" si="33"/>
        <v>-8.3333333333333329E-2</v>
      </c>
      <c r="AJ104">
        <f t="shared" si="43"/>
        <v>482.06509090908099</v>
      </c>
      <c r="AL104">
        <f t="shared" si="44"/>
        <v>1492.1062337662238</v>
      </c>
      <c r="AN104">
        <f t="shared" si="45"/>
        <v>0</v>
      </c>
      <c r="AP104">
        <f t="shared" si="46"/>
        <v>4725.0030735931559</v>
      </c>
      <c r="AR104">
        <f t="shared" si="47"/>
        <v>4725.0030735931559</v>
      </c>
    </row>
    <row r="105" spans="1:44">
      <c r="B105">
        <v>108675</v>
      </c>
      <c r="C105">
        <v>4054</v>
      </c>
      <c r="D105" t="s">
        <v>498</v>
      </c>
      <c r="E105">
        <v>2013</v>
      </c>
      <c r="F105">
        <v>11</v>
      </c>
      <c r="G105">
        <v>0.2</v>
      </c>
      <c r="I105" t="s">
        <v>78</v>
      </c>
      <c r="J105">
        <v>7</v>
      </c>
      <c r="K105">
        <f t="shared" si="26"/>
        <v>2020</v>
      </c>
      <c r="N105">
        <v>8837.86</v>
      </c>
      <c r="P105">
        <f t="shared" si="27"/>
        <v>7070.2880000000005</v>
      </c>
      <c r="Q105">
        <f t="shared" si="28"/>
        <v>84.170095238095243</v>
      </c>
      <c r="R105">
        <f t="shared" si="34"/>
        <v>1010.0411428571429</v>
      </c>
      <c r="S105">
        <f t="shared" si="35"/>
        <v>0</v>
      </c>
      <c r="T105">
        <f t="shared" si="36"/>
        <v>1010.0411428571429</v>
      </c>
      <c r="U105">
        <v>1</v>
      </c>
      <c r="V105">
        <f t="shared" si="37"/>
        <v>1010.0411428571429</v>
      </c>
      <c r="X105">
        <f t="shared" si="38"/>
        <v>3282.6337142857146</v>
      </c>
      <c r="Y105">
        <f t="shared" si="39"/>
        <v>3282.6337142857146</v>
      </c>
      <c r="Z105">
        <v>1</v>
      </c>
      <c r="AA105">
        <f t="shared" si="40"/>
        <v>3282.6337142857146</v>
      </c>
      <c r="AB105">
        <f t="shared" si="41"/>
        <v>4292.6748571428579</v>
      </c>
      <c r="AC105">
        <f t="shared" si="42"/>
        <v>5050.2057142857138</v>
      </c>
      <c r="AD105">
        <f t="shared" si="29"/>
        <v>2013.8333333333333</v>
      </c>
      <c r="AE105">
        <f t="shared" si="30"/>
        <v>2018.0833333333333</v>
      </c>
      <c r="AF105">
        <f t="shared" si="31"/>
        <v>2020.8333333333333</v>
      </c>
      <c r="AG105">
        <f t="shared" si="32"/>
        <v>2017.0833333333333</v>
      </c>
      <c r="AH105">
        <f t="shared" si="33"/>
        <v>-8.3333333333333329E-2</v>
      </c>
      <c r="AJ105">
        <f t="shared" si="43"/>
        <v>471.35253333333338</v>
      </c>
      <c r="AL105">
        <f t="shared" si="44"/>
        <v>1481.3936761904763</v>
      </c>
      <c r="AN105">
        <f t="shared" si="45"/>
        <v>0</v>
      </c>
      <c r="AP105">
        <f t="shared" si="46"/>
        <v>4814.5294476190475</v>
      </c>
      <c r="AR105">
        <f t="shared" si="47"/>
        <v>4814.5294476190475</v>
      </c>
    </row>
    <row r="106" spans="1:44">
      <c r="B106">
        <v>108676</v>
      </c>
      <c r="C106">
        <v>4068</v>
      </c>
      <c r="D106" t="s">
        <v>497</v>
      </c>
      <c r="E106">
        <v>2013</v>
      </c>
      <c r="F106">
        <v>11</v>
      </c>
      <c r="G106">
        <v>0.2</v>
      </c>
      <c r="I106" t="s">
        <v>78</v>
      </c>
      <c r="J106">
        <v>7</v>
      </c>
      <c r="K106">
        <f t="shared" si="26"/>
        <v>2020</v>
      </c>
      <c r="N106">
        <v>8837.86</v>
      </c>
      <c r="P106">
        <f t="shared" si="27"/>
        <v>7070.2880000000005</v>
      </c>
      <c r="Q106">
        <f t="shared" si="28"/>
        <v>84.170095238095243</v>
      </c>
      <c r="R106">
        <f t="shared" si="34"/>
        <v>1010.0411428571429</v>
      </c>
      <c r="S106">
        <f t="shared" si="35"/>
        <v>0</v>
      </c>
      <c r="T106">
        <f t="shared" si="36"/>
        <v>1010.0411428571429</v>
      </c>
      <c r="U106">
        <v>1</v>
      </c>
      <c r="V106">
        <f t="shared" si="37"/>
        <v>1010.0411428571429</v>
      </c>
      <c r="X106">
        <f t="shared" si="38"/>
        <v>3282.6337142857146</v>
      </c>
      <c r="Y106">
        <f t="shared" si="39"/>
        <v>3282.6337142857146</v>
      </c>
      <c r="Z106">
        <v>1</v>
      </c>
      <c r="AA106">
        <f t="shared" si="40"/>
        <v>3282.6337142857146</v>
      </c>
      <c r="AB106">
        <f t="shared" si="41"/>
        <v>4292.6748571428579</v>
      </c>
      <c r="AC106">
        <f t="shared" si="42"/>
        <v>5050.2057142857138</v>
      </c>
      <c r="AD106">
        <f t="shared" si="29"/>
        <v>2013.8333333333333</v>
      </c>
      <c r="AE106">
        <f t="shared" si="30"/>
        <v>2018.0833333333333</v>
      </c>
      <c r="AF106">
        <f t="shared" si="31"/>
        <v>2020.8333333333333</v>
      </c>
      <c r="AG106">
        <f t="shared" si="32"/>
        <v>2017.0833333333333</v>
      </c>
      <c r="AH106">
        <f t="shared" si="33"/>
        <v>-8.3333333333333329E-2</v>
      </c>
      <c r="AJ106">
        <f t="shared" si="43"/>
        <v>471.35253333333338</v>
      </c>
      <c r="AL106">
        <f t="shared" si="44"/>
        <v>1481.3936761904763</v>
      </c>
      <c r="AN106">
        <f t="shared" si="45"/>
        <v>0</v>
      </c>
      <c r="AP106">
        <f t="shared" si="46"/>
        <v>4814.5294476190475</v>
      </c>
      <c r="AR106">
        <f t="shared" si="47"/>
        <v>4814.5294476190475</v>
      </c>
    </row>
    <row r="107" spans="1:44">
      <c r="B107">
        <v>117825</v>
      </c>
      <c r="C107">
        <v>4033</v>
      </c>
      <c r="D107" t="s">
        <v>530</v>
      </c>
      <c r="E107">
        <v>2014</v>
      </c>
      <c r="F107">
        <v>11</v>
      </c>
      <c r="G107">
        <v>0</v>
      </c>
      <c r="I107" t="s">
        <v>78</v>
      </c>
      <c r="J107">
        <v>3</v>
      </c>
      <c r="K107">
        <f t="shared" si="26"/>
        <v>2017</v>
      </c>
      <c r="N107">
        <v>7331.82</v>
      </c>
      <c r="P107">
        <f t="shared" si="27"/>
        <v>7331.82</v>
      </c>
      <c r="Q107">
        <f t="shared" si="28"/>
        <v>203.66166666666666</v>
      </c>
      <c r="R107">
        <f t="shared" si="34"/>
        <v>1832.9549999999999</v>
      </c>
      <c r="S107">
        <f t="shared" si="35"/>
        <v>0</v>
      </c>
      <c r="T107">
        <f t="shared" si="36"/>
        <v>1832.9549999999999</v>
      </c>
      <c r="U107">
        <v>1</v>
      </c>
      <c r="V107">
        <f t="shared" si="37"/>
        <v>1832.9549999999999</v>
      </c>
      <c r="X107">
        <f t="shared" si="38"/>
        <v>5498.8649999999998</v>
      </c>
      <c r="Y107">
        <f t="shared" si="39"/>
        <v>5498.8649999999998</v>
      </c>
      <c r="Z107">
        <v>1</v>
      </c>
      <c r="AA107">
        <f t="shared" si="40"/>
        <v>5498.8649999999998</v>
      </c>
      <c r="AB107">
        <f t="shared" si="41"/>
        <v>7331.82</v>
      </c>
      <c r="AC107">
        <f t="shared" si="42"/>
        <v>916.47749999999996</v>
      </c>
      <c r="AD107">
        <f t="shared" si="29"/>
        <v>2014.8333333333333</v>
      </c>
      <c r="AE107">
        <f t="shared" si="30"/>
        <v>2018.0833333333333</v>
      </c>
      <c r="AF107">
        <f t="shared" si="31"/>
        <v>2017.8333333333333</v>
      </c>
      <c r="AG107">
        <f t="shared" si="32"/>
        <v>2017.0833333333333</v>
      </c>
      <c r="AH107">
        <f t="shared" si="33"/>
        <v>-8.3333333333333329E-2</v>
      </c>
      <c r="AJ107">
        <f t="shared" si="43"/>
        <v>0</v>
      </c>
      <c r="AL107">
        <f t="shared" si="44"/>
        <v>1832.9549999999999</v>
      </c>
      <c r="AN107">
        <f t="shared" si="45"/>
        <v>0</v>
      </c>
      <c r="AP107">
        <f t="shared" si="46"/>
        <v>0</v>
      </c>
      <c r="AR107">
        <f t="shared" si="47"/>
        <v>916.47749999999996</v>
      </c>
    </row>
    <row r="108" spans="1:44">
      <c r="B108">
        <v>122012</v>
      </c>
      <c r="C108">
        <v>4061</v>
      </c>
      <c r="D108" t="s">
        <v>571</v>
      </c>
      <c r="E108">
        <v>2015</v>
      </c>
      <c r="F108">
        <v>2</v>
      </c>
      <c r="G108">
        <v>0</v>
      </c>
      <c r="I108" t="s">
        <v>78</v>
      </c>
      <c r="J108">
        <v>3</v>
      </c>
      <c r="K108">
        <f t="shared" si="26"/>
        <v>2018</v>
      </c>
      <c r="N108">
        <v>5574.98</v>
      </c>
      <c r="P108">
        <f t="shared" si="27"/>
        <v>5574.98</v>
      </c>
      <c r="Q108">
        <f t="shared" si="28"/>
        <v>154.86055555555555</v>
      </c>
      <c r="R108">
        <f>IF(O108&gt;0,0,IF(OR(AD108&gt;AE108,AF108&lt;AG108),0,IF(AND(AF108&gt;=AG108,AF108&lt;=AE108),Q108*((AF108-AG108)*12),IF(AND(AG108&lt;=AD108,AE108&gt;=AD108),((AE108-AD108)*12)*Q108,IF(AF108&gt;AE108,12*Q108,0)))))</f>
        <v>1858.3266666666666</v>
      </c>
      <c r="S108">
        <f>IF(O108=0,0,IF(AND(AH108&gt;=AG108,AH108&lt;=AF108),((AH108-AG108)*12)*Q108,0))</f>
        <v>0</v>
      </c>
      <c r="T108">
        <f>IF(S108&gt;0,S108,R108)</f>
        <v>1858.3266666666666</v>
      </c>
      <c r="U108">
        <v>1</v>
      </c>
      <c r="V108">
        <f>U108*SUM(R108:S108)</f>
        <v>1858.3266666666666</v>
      </c>
      <c r="X108">
        <f>IF(AD108&gt;AE108,0,IF(AF108&lt;AG108,P108,IF(AND(AF108&gt;=AG108,AF108&lt;=AE108),(P108-T108),IF(AND(AG108&lt;=AD108,AE108&gt;=AD108),0,IF(AF108&gt;AE108,((AG108-AD108)*12)*Q108,0)))))</f>
        <v>3716.6533333333327</v>
      </c>
      <c r="Y108">
        <f>X108*U108</f>
        <v>3716.6533333333327</v>
      </c>
      <c r="Z108">
        <v>1</v>
      </c>
      <c r="AA108">
        <f>Y108*Z108</f>
        <v>3716.6533333333327</v>
      </c>
      <c r="AB108">
        <f>IF(O108&gt;0,0,AA108+V108*Z108)*Z108</f>
        <v>5574.98</v>
      </c>
      <c r="AC108">
        <f>IF(O108&gt;0,(N108-AA108)/2,IF(AD108&gt;=AG108,(((N108*U108)*Z108)-AB108)/2,((((N108*U108)*Z108)-AA108)+(((N108*U108)*Z108)-AB108))/2))</f>
        <v>929.16333333333341</v>
      </c>
      <c r="AD108">
        <f t="shared" si="29"/>
        <v>2015.0833333333333</v>
      </c>
      <c r="AE108">
        <f t="shared" si="30"/>
        <v>2018.0833333333333</v>
      </c>
      <c r="AF108">
        <f t="shared" si="31"/>
        <v>2018.0833333333333</v>
      </c>
      <c r="AG108">
        <f t="shared" si="32"/>
        <v>2017.0833333333333</v>
      </c>
      <c r="AH108">
        <f t="shared" si="33"/>
        <v>-8.3333333333333329E-2</v>
      </c>
      <c r="AJ108">
        <f t="shared" si="43"/>
        <v>0</v>
      </c>
      <c r="AL108">
        <f t="shared" si="44"/>
        <v>1858.3266666666666</v>
      </c>
      <c r="AN108">
        <f t="shared" si="45"/>
        <v>0</v>
      </c>
      <c r="AP108">
        <f t="shared" si="46"/>
        <v>0</v>
      </c>
      <c r="AR108">
        <f t="shared" si="47"/>
        <v>929.16333333333341</v>
      </c>
    </row>
    <row r="109" spans="1:44">
      <c r="B109" t="s">
        <v>593</v>
      </c>
      <c r="D109" t="s">
        <v>592</v>
      </c>
      <c r="E109">
        <v>2016</v>
      </c>
      <c r="F109">
        <v>4</v>
      </c>
      <c r="G109">
        <v>0</v>
      </c>
      <c r="I109" t="s">
        <v>78</v>
      </c>
      <c r="J109">
        <v>1</v>
      </c>
      <c r="K109">
        <f t="shared" si="26"/>
        <v>2017</v>
      </c>
      <c r="N109">
        <f>((14612.94+16641.82+675)/75)*2</f>
        <v>851.46026666666671</v>
      </c>
      <c r="P109">
        <f t="shared" si="27"/>
        <v>851.46026666666671</v>
      </c>
      <c r="Q109">
        <f t="shared" si="28"/>
        <v>70.955022222222226</v>
      </c>
      <c r="R109">
        <f>IF(O109&gt;0,0,IF(OR(AD109&gt;AE109,AF109&lt;AG109),0,IF(AND(AF109&gt;=AG109,AF109&lt;=AE109),Q109*((AF109-AG109)*12),IF(AND(AG109&lt;=AD109,AE109&gt;=AD109),((AE109-AD109)*12)*Q109,IF(AF109&gt;AE109,12*Q109,0)))))</f>
        <v>141.910044444509</v>
      </c>
      <c r="S109">
        <f>IF(O109=0,0,IF(AND(AH109&gt;=AG109,AH109&lt;=AF109),((AH109-AG109)*12)*Q109,0))</f>
        <v>0</v>
      </c>
      <c r="T109">
        <f>IF(S109&gt;0,S109,R109)</f>
        <v>141.910044444509</v>
      </c>
      <c r="U109">
        <v>1</v>
      </c>
      <c r="V109">
        <f>U109*SUM(R109:S109)</f>
        <v>141.910044444509</v>
      </c>
      <c r="X109">
        <f>IF(AD109&gt;AE109,0,IF(AF109&lt;AG109,P109,IF(AND(AF109&gt;=AG109,AF109&lt;=AE109),(P109-T109),IF(AND(AG109&lt;=AD109,AE109&gt;=AD109),0,IF(AF109&gt;AE109,((AG109-AD109)*12)*Q109,0)))))</f>
        <v>709.55022222215769</v>
      </c>
      <c r="Y109">
        <f>X109*U109</f>
        <v>709.55022222215769</v>
      </c>
      <c r="Z109">
        <v>1</v>
      </c>
      <c r="AA109">
        <f>Y109*Z109</f>
        <v>709.55022222215769</v>
      </c>
      <c r="AB109">
        <f>IF(O109&gt;0,0,AA109+V109*Z109)*Z109</f>
        <v>851.46026666666671</v>
      </c>
      <c r="AC109">
        <f>IF(O109&gt;0,(N109-AA109)/2,IF(AD109&gt;=AG109,(((N109*U109)*Z109)-AB109)/2,((((N109*U109)*Z109)-AA109)+(((N109*U109)*Z109)-AB109))/2))</f>
        <v>70.955022222254513</v>
      </c>
      <c r="AD109">
        <f t="shared" si="29"/>
        <v>2016.25</v>
      </c>
      <c r="AE109">
        <f t="shared" si="30"/>
        <v>2018.0833333333333</v>
      </c>
      <c r="AF109">
        <f t="shared" si="31"/>
        <v>2017.25</v>
      </c>
      <c r="AG109">
        <f t="shared" si="32"/>
        <v>2017.0833333333333</v>
      </c>
      <c r="AH109">
        <f t="shared" si="33"/>
        <v>-8.3333333333333329E-2</v>
      </c>
      <c r="AJ109">
        <f t="shared" si="43"/>
        <v>0</v>
      </c>
      <c r="AL109">
        <f t="shared" si="44"/>
        <v>141.910044444509</v>
      </c>
      <c r="AN109">
        <f t="shared" si="45"/>
        <v>0</v>
      </c>
      <c r="AP109">
        <f t="shared" si="46"/>
        <v>0</v>
      </c>
      <c r="AR109">
        <f t="shared" si="47"/>
        <v>70.955022222254513</v>
      </c>
    </row>
    <row r="110" spans="1:44">
      <c r="B110">
        <v>169041</v>
      </c>
      <c r="C110">
        <v>4076</v>
      </c>
      <c r="D110" t="s">
        <v>597</v>
      </c>
      <c r="E110">
        <v>2016</v>
      </c>
      <c r="F110">
        <v>10</v>
      </c>
      <c r="G110">
        <v>0</v>
      </c>
      <c r="I110" t="s">
        <v>78</v>
      </c>
      <c r="J110">
        <v>10</v>
      </c>
      <c r="K110">
        <f>E110+J110</f>
        <v>2026</v>
      </c>
      <c r="N110">
        <v>231607.35</v>
      </c>
      <c r="P110">
        <f t="shared" si="27"/>
        <v>231607.35</v>
      </c>
      <c r="Q110">
        <f t="shared" si="28"/>
        <v>1930.06125</v>
      </c>
      <c r="R110">
        <f>IF(O110&gt;0,0,IF(OR(AD110&gt;AE110,AF110&lt;AG110),0,IF(AND(AF110&gt;=AG110,AF110&lt;=AE110),Q110*((AF110-AG110)*12),IF(AND(AG110&lt;=AD110,AE110&gt;=AD110),((AE110-AD110)*12)*Q110,IF(AF110&gt;AE110,12*Q110,0)))))</f>
        <v>23160.735000000001</v>
      </c>
      <c r="S110">
        <f>IF(O110=0,0,IF(AND(AH110&gt;=AG110,AH110&lt;=AF110),((AH110-AG110)*12)*Q110,0))</f>
        <v>0</v>
      </c>
      <c r="T110">
        <f>IF(S110&gt;0,S110,R110)</f>
        <v>23160.735000000001</v>
      </c>
      <c r="U110">
        <v>1</v>
      </c>
      <c r="V110">
        <f>U110*SUM(R110:S110)</f>
        <v>23160.735000000001</v>
      </c>
      <c r="X110">
        <f>IF(AD110&gt;AE110,0,IF(AF110&lt;AG110,P110,IF(AND(AF110&gt;=AG110,AF110&lt;=AE110),(P110-T110),IF(AND(AG110&lt;=AD110,AE110&gt;=AD110),0,IF(AF110&gt;AE110,((AG110-AD110)*12)*Q110,0)))))</f>
        <v>7720.2449999982446</v>
      </c>
      <c r="Y110">
        <f>X110*U110</f>
        <v>7720.2449999982446</v>
      </c>
      <c r="Z110">
        <v>1</v>
      </c>
      <c r="AA110">
        <f>Y110*Z110</f>
        <v>7720.2449999982446</v>
      </c>
      <c r="AB110">
        <f>IF(O110&gt;0,0,AA110+V110*Z110)*Z110</f>
        <v>30880.979999998246</v>
      </c>
      <c r="AC110">
        <f>IF(O110&gt;0,(N110-AA110)/2,IF(AD110&gt;=AG110,(((N110*U110)*Z110)-AB110)/2,((((N110*U110)*Z110)-AA110)+(((N110*U110)*Z110)-AB110))/2))</f>
        <v>212306.73750000176</v>
      </c>
      <c r="AD110">
        <f t="shared" si="29"/>
        <v>2016.75</v>
      </c>
      <c r="AE110">
        <f t="shared" si="30"/>
        <v>2018.0833333333333</v>
      </c>
      <c r="AF110">
        <f t="shared" si="31"/>
        <v>2026.75</v>
      </c>
      <c r="AG110">
        <f t="shared" si="32"/>
        <v>2017.0833333333333</v>
      </c>
      <c r="AH110">
        <f t="shared" si="33"/>
        <v>-8.3333333333333329E-2</v>
      </c>
      <c r="AJ110">
        <f t="shared" si="43"/>
        <v>0</v>
      </c>
      <c r="AL110">
        <f t="shared" si="44"/>
        <v>23160.735000000001</v>
      </c>
      <c r="AN110">
        <f t="shared" si="45"/>
        <v>0</v>
      </c>
      <c r="AP110">
        <f t="shared" si="46"/>
        <v>0</v>
      </c>
      <c r="AR110">
        <f t="shared" si="47"/>
        <v>212306.73750000176</v>
      </c>
    </row>
    <row r="111" spans="1:44">
      <c r="B111" t="s">
        <v>629</v>
      </c>
      <c r="D111" t="s">
        <v>631</v>
      </c>
      <c r="E111">
        <v>2017</v>
      </c>
      <c r="F111">
        <v>9</v>
      </c>
      <c r="G111">
        <v>0</v>
      </c>
      <c r="I111" t="s">
        <v>78</v>
      </c>
      <c r="J111">
        <v>3</v>
      </c>
      <c r="K111">
        <f>E111+J111</f>
        <v>2020</v>
      </c>
      <c r="N111">
        <v>59424.88</v>
      </c>
      <c r="P111">
        <f t="shared" si="27"/>
        <v>59424.88</v>
      </c>
      <c r="Q111">
        <f t="shared" si="28"/>
        <v>1650.691111111111</v>
      </c>
      <c r="R111">
        <f>IF(O111&gt;0,0,IF(OR(AD111&gt;AE111,AF111&lt;AG111),0,IF(AND(AF111&gt;=AG111,AF111&lt;=AE111),Q111*((AF111-AG111)*12),IF(AND(AG111&lt;=AD111,AE111&gt;=AD111),((AE111-AD111)*12)*Q111,IF(AF111&gt;AE111,12*Q111,0)))))</f>
        <v>8253.4555555525531</v>
      </c>
      <c r="S111">
        <f>IF(O111=0,0,IF(AND(AH111&gt;=AG111,AH111&lt;=AF111),((AH111-AG111)*12)*Q111,0))</f>
        <v>0</v>
      </c>
      <c r="T111">
        <f>IF(S111&gt;0,S111,R111)</f>
        <v>8253.4555555525531</v>
      </c>
      <c r="U111">
        <v>1</v>
      </c>
      <c r="V111">
        <f>U111*SUM(R111:S111)</f>
        <v>8253.4555555525531</v>
      </c>
      <c r="X111">
        <f>IF(AD111&gt;AE111,0,IF(AF111&lt;AG111,P111,IF(AND(AF111&gt;=AG111,AF111&lt;=AE111),(P111-T111),IF(AND(AG111&lt;=AD111,AE111&gt;=AD111),0,IF(AF111&gt;AE111,((AG111-AD111)*12)*Q111,0)))))</f>
        <v>0</v>
      </c>
      <c r="Y111">
        <f>X111*U111</f>
        <v>0</v>
      </c>
      <c r="Z111">
        <v>1</v>
      </c>
      <c r="AA111">
        <f>Y111*Z111</f>
        <v>0</v>
      </c>
      <c r="AB111">
        <f>IF(O111&gt;0,0,AA111+V111*Z111)*Z111</f>
        <v>8253.4555555525531</v>
      </c>
      <c r="AC111">
        <f>IF(O111&gt;0,(N111-AA111)/2,IF(AD111&gt;=AG111,(((N111*U111)*Z111)-AB111)/2,((((N111*U111)*Z111)-AA111)+(((N111*U111)*Z111)-AB111))/2))</f>
        <v>25585.712222223723</v>
      </c>
      <c r="AD111">
        <f t="shared" si="29"/>
        <v>2017.6666666666667</v>
      </c>
      <c r="AE111">
        <f t="shared" si="30"/>
        <v>2018.0833333333333</v>
      </c>
      <c r="AF111">
        <f t="shared" si="31"/>
        <v>2020.6666666666667</v>
      </c>
      <c r="AG111">
        <f t="shared" si="32"/>
        <v>2017.0833333333333</v>
      </c>
      <c r="AH111">
        <f t="shared" si="33"/>
        <v>-8.3333333333333329E-2</v>
      </c>
      <c r="AJ111">
        <f t="shared" si="43"/>
        <v>0</v>
      </c>
      <c r="AL111">
        <f t="shared" si="44"/>
        <v>8253.4555555525531</v>
      </c>
      <c r="AN111">
        <f t="shared" si="45"/>
        <v>0</v>
      </c>
      <c r="AP111">
        <f t="shared" si="46"/>
        <v>0</v>
      </c>
      <c r="AR111">
        <f t="shared" si="47"/>
        <v>25585.712222223723</v>
      </c>
    </row>
    <row r="112" spans="1:44">
      <c r="B112" t="s">
        <v>630</v>
      </c>
      <c r="D112" t="s">
        <v>631</v>
      </c>
      <c r="E112">
        <v>2017</v>
      </c>
      <c r="F112">
        <v>9</v>
      </c>
      <c r="G112">
        <v>0</v>
      </c>
      <c r="I112" t="s">
        <v>78</v>
      </c>
      <c r="J112">
        <v>3</v>
      </c>
      <c r="K112">
        <f>E112+J112</f>
        <v>2020</v>
      </c>
      <c r="N112">
        <v>59424.88</v>
      </c>
      <c r="P112">
        <f t="shared" si="27"/>
        <v>59424.88</v>
      </c>
      <c r="Q112">
        <f t="shared" si="28"/>
        <v>1650.691111111111</v>
      </c>
      <c r="R112">
        <f>IF(O112&gt;0,0,IF(OR(AD112&gt;AE112,AF112&lt;AG112),0,IF(AND(AF112&gt;=AG112,AF112&lt;=AE112),Q112*((AF112-AG112)*12),IF(AND(AG112&lt;=AD112,AE112&gt;=AD112),((AE112-AD112)*12)*Q112,IF(AF112&gt;AE112,12*Q112,0)))))</f>
        <v>8253.4555555525531</v>
      </c>
      <c r="S112">
        <f>IF(O112=0,0,IF(AND(AH112&gt;=AG112,AH112&lt;=AF112),((AH112-AG112)*12)*Q112,0))</f>
        <v>0</v>
      </c>
      <c r="T112">
        <f>IF(S112&gt;0,S112,R112)</f>
        <v>8253.4555555525531</v>
      </c>
      <c r="U112">
        <v>1</v>
      </c>
      <c r="V112">
        <f>U112*SUM(R112:S112)</f>
        <v>8253.4555555525531</v>
      </c>
      <c r="X112">
        <f>IF(AD112&gt;AE112,0,IF(AF112&lt;AG112,P112,IF(AND(AF112&gt;=AG112,AF112&lt;=AE112),(P112-T112),IF(AND(AG112&lt;=AD112,AE112&gt;=AD112),0,IF(AF112&gt;AE112,((AG112-AD112)*12)*Q112,0)))))</f>
        <v>0</v>
      </c>
      <c r="Y112">
        <f>X112*U112</f>
        <v>0</v>
      </c>
      <c r="Z112">
        <v>1</v>
      </c>
      <c r="AA112">
        <f>Y112*Z112</f>
        <v>0</v>
      </c>
      <c r="AB112">
        <f>IF(O112&gt;0,0,AA112+V112*Z112)*Z112</f>
        <v>8253.4555555525531</v>
      </c>
      <c r="AC112">
        <f>IF(O112&gt;0,(N112-AA112)/2,IF(AD112&gt;=AG112,(((N112*U112)*Z112)-AB112)/2,((((N112*U112)*Z112)-AA112)+(((N112*U112)*Z112)-AB112))/2))</f>
        <v>25585.712222223723</v>
      </c>
      <c r="AD112">
        <f t="shared" si="29"/>
        <v>2017.6666666666667</v>
      </c>
      <c r="AE112">
        <f t="shared" si="30"/>
        <v>2018.0833333333333</v>
      </c>
      <c r="AF112">
        <f t="shared" si="31"/>
        <v>2020.6666666666667</v>
      </c>
      <c r="AG112">
        <f t="shared" si="32"/>
        <v>2017.0833333333333</v>
      </c>
      <c r="AH112">
        <f t="shared" si="33"/>
        <v>-8.3333333333333329E-2</v>
      </c>
      <c r="AJ112">
        <f t="shared" si="43"/>
        <v>0</v>
      </c>
      <c r="AL112">
        <f t="shared" si="44"/>
        <v>8253.4555555525531</v>
      </c>
      <c r="AN112">
        <f t="shared" si="45"/>
        <v>0</v>
      </c>
      <c r="AP112">
        <f t="shared" si="46"/>
        <v>0</v>
      </c>
      <c r="AR112">
        <f t="shared" si="47"/>
        <v>25585.712222223723</v>
      </c>
    </row>
    <row r="114" spans="1:44">
      <c r="C114">
        <v>11</v>
      </c>
      <c r="D114" t="s">
        <v>146</v>
      </c>
      <c r="N114">
        <f>SUM(N82:N113)</f>
        <v>1891696.0202666672</v>
      </c>
      <c r="P114">
        <f>SUM(P82:P113)</f>
        <v>1599639.8142666661</v>
      </c>
      <c r="Q114">
        <f>SUM(Q82:Q113)</f>
        <v>20656.191319841273</v>
      </c>
      <c r="R114">
        <f>SUM(R82:R113)</f>
        <v>57044.125822216272</v>
      </c>
      <c r="V114">
        <f>SUM(V82:V113)</f>
        <v>57044.125822216272</v>
      </c>
      <c r="AA114">
        <f>SUM(AA82:AA113)</f>
        <v>1211249.7746031722</v>
      </c>
      <c r="AB114">
        <f>SUM(AB82:AB113)</f>
        <v>1268293.9004253889</v>
      </c>
      <c r="AC114">
        <f>SUM(AC82:AC113)</f>
        <v>592499.30275238666</v>
      </c>
      <c r="AJ114">
        <f t="shared" ref="AJ114:AR114" si="48">SUM(AJ82:AJ113)</f>
        <v>96570.051963636317</v>
      </c>
      <c r="AL114">
        <f t="shared" si="48"/>
        <v>153614.17778585263</v>
      </c>
      <c r="AN114">
        <f t="shared" si="48"/>
        <v>-279683.20199999999</v>
      </c>
      <c r="AP114">
        <f t="shared" si="48"/>
        <v>33343.600637229763</v>
      </c>
      <c r="AR114">
        <f t="shared" si="48"/>
        <v>311144.94177056837</v>
      </c>
    </row>
    <row r="117" spans="1:44">
      <c r="D117" t="s">
        <v>386</v>
      </c>
    </row>
    <row r="119" spans="1:44">
      <c r="A119" t="s">
        <v>290</v>
      </c>
      <c r="C119">
        <v>5036</v>
      </c>
      <c r="D119" t="s">
        <v>450</v>
      </c>
      <c r="E119">
        <v>1998</v>
      </c>
      <c r="F119">
        <v>1</v>
      </c>
      <c r="G119">
        <v>0.2</v>
      </c>
      <c r="I119" t="s">
        <v>78</v>
      </c>
      <c r="J119">
        <v>7</v>
      </c>
      <c r="K119">
        <f t="shared" ref="K119:K143" si="49">E119+J119</f>
        <v>2005</v>
      </c>
      <c r="N119">
        <v>43902</v>
      </c>
      <c r="P119">
        <f t="shared" ref="P119:P143" si="50">N119-N119*G119</f>
        <v>35121.599999999999</v>
      </c>
      <c r="Q119">
        <f t="shared" ref="Q119:Q143" si="51">P119/J119/12</f>
        <v>418.1142857142857</v>
      </c>
      <c r="R119">
        <f t="shared" ref="R119:R143" si="52">IF(O119&gt;0,0,IF(OR(AD119&gt;AE119,AF119&lt;AG119),0,IF(AND(AF119&gt;=AG119,AF119&lt;=AE119),Q119*((AF119-AG119)*12),IF(AND(AG119&lt;=AD119,AE119&gt;=AD119),((AE119-AD119)*12)*Q119,IF(AF119&gt;AE119,12*Q119,0)))))</f>
        <v>0</v>
      </c>
      <c r="S119">
        <f t="shared" ref="S119:S143" si="53">IF(O119=0,0,IF(AND(AH119&gt;=AG119,AH119&lt;=AF119),((AH119-AG119)*12)*Q119,0))</f>
        <v>0</v>
      </c>
      <c r="T119">
        <f t="shared" ref="T119:T143" si="54">IF(S119&gt;0,S119,R119)</f>
        <v>0</v>
      </c>
      <c r="U119">
        <v>1</v>
      </c>
      <c r="V119">
        <f t="shared" ref="V119:V143" si="55">U119*SUM(R119:S119)</f>
        <v>0</v>
      </c>
      <c r="X119">
        <f t="shared" ref="X119:X143" si="56">IF(AD119&gt;AE119,0,IF(AF119&lt;AG119,P119,IF(AND(AF119&gt;=AG119,AF119&lt;=AE119),(P119-T119),IF(AND(AG119&lt;=AD119,AE119&gt;=AD119),0,IF(AF119&gt;AE119,((AG119-AD119)*12)*Q119,0)))))</f>
        <v>35121.599999999999</v>
      </c>
      <c r="Y119">
        <f t="shared" ref="Y119:Y143" si="57">X119*U119</f>
        <v>35121.599999999999</v>
      </c>
      <c r="Z119">
        <v>1</v>
      </c>
      <c r="AA119">
        <f t="shared" ref="AA119:AA143" si="58">Y119*Z119</f>
        <v>35121.599999999999</v>
      </c>
      <c r="AB119">
        <f t="shared" ref="AB119:AB143" si="59">IF(O119&gt;0,0,AA119+V119*Z119)*Z119</f>
        <v>35121.599999999999</v>
      </c>
      <c r="AC119">
        <f t="shared" ref="AC119:AC143" si="60">IF(O119&gt;0,(N119-AA119)/2,IF(AD119&gt;=AG119,(((N119*U119)*Z119)-AB119)/2,((((N119*U119)*Z119)-AA119)+(((N119*U119)*Z119)-AB119))/2))</f>
        <v>8780.4000000000015</v>
      </c>
      <c r="AD119">
        <f t="shared" ref="AD119:AD143" si="61">$E119+(($F119-1)/12)</f>
        <v>1998</v>
      </c>
      <c r="AE119">
        <f t="shared" ref="AE119:AE143" si="62">($P$5+1)-($P$2/12)</f>
        <v>2018.0833333333333</v>
      </c>
      <c r="AF119">
        <f t="shared" ref="AF119:AF143" si="63">$K119+(($F119-1)/12)</f>
        <v>2005</v>
      </c>
      <c r="AG119">
        <f t="shared" ref="AG119:AG143" si="64">$P$4+($P$3/12)</f>
        <v>2017.0833333333333</v>
      </c>
      <c r="AH119">
        <f t="shared" ref="AH119:AH143" si="65">$L119+(($M119-1)/12)</f>
        <v>-8.3333333333333329E-2</v>
      </c>
      <c r="AJ119">
        <f>+IF((AF119-AG119)&gt;3,((N119-P119)/(AF119-AG119)),(N119-P119)/3)</f>
        <v>2926.8000000000006</v>
      </c>
      <c r="AL119">
        <f>+AJ119+V119</f>
        <v>2926.8000000000006</v>
      </c>
      <c r="AN119">
        <f>+IF(AF119&lt;AG119,-AC119,0)</f>
        <v>-8780.4000000000015</v>
      </c>
      <c r="AP119">
        <f>IF(AF119&gt;AG119,IF(AJ119&gt;0,IF(O119&gt;0,(N119-AA119)/2,IF(AD119&gt;=AG119,(((N119*U119)*Z119)-(AB119+AJ119))/2,((((N119*U119)*Z119)-AA119)+(((N119*U119)*Z119)-(AB119+AJ119)))/2)),0),0)</f>
        <v>0</v>
      </c>
      <c r="AR119">
        <f>+AC119+AN119+(IF(AP119&gt;0,(AP119-AC119),0))</f>
        <v>0</v>
      </c>
    </row>
    <row r="120" spans="1:44">
      <c r="A120" t="s">
        <v>290</v>
      </c>
      <c r="C120">
        <v>5035</v>
      </c>
      <c r="D120" t="s">
        <v>457</v>
      </c>
      <c r="E120">
        <v>1998</v>
      </c>
      <c r="F120">
        <v>12</v>
      </c>
      <c r="G120">
        <v>0.2</v>
      </c>
      <c r="I120" t="s">
        <v>78</v>
      </c>
      <c r="J120">
        <v>7</v>
      </c>
      <c r="K120">
        <f t="shared" si="49"/>
        <v>2005</v>
      </c>
      <c r="N120">
        <v>43902</v>
      </c>
      <c r="P120">
        <f t="shared" si="50"/>
        <v>35121.599999999999</v>
      </c>
      <c r="Q120">
        <f t="shared" si="51"/>
        <v>418.1142857142857</v>
      </c>
      <c r="R120">
        <f t="shared" si="52"/>
        <v>0</v>
      </c>
      <c r="S120">
        <f t="shared" si="53"/>
        <v>0</v>
      </c>
      <c r="T120">
        <f t="shared" si="54"/>
        <v>0</v>
      </c>
      <c r="U120">
        <v>1</v>
      </c>
      <c r="V120">
        <f t="shared" si="55"/>
        <v>0</v>
      </c>
      <c r="X120">
        <f t="shared" si="56"/>
        <v>35121.599999999999</v>
      </c>
      <c r="Y120">
        <f t="shared" si="57"/>
        <v>35121.599999999999</v>
      </c>
      <c r="Z120">
        <v>1</v>
      </c>
      <c r="AA120">
        <f t="shared" si="58"/>
        <v>35121.599999999999</v>
      </c>
      <c r="AB120">
        <f t="shared" si="59"/>
        <v>35121.599999999999</v>
      </c>
      <c r="AC120">
        <f t="shared" si="60"/>
        <v>8780.4000000000015</v>
      </c>
      <c r="AD120">
        <f t="shared" si="61"/>
        <v>1998.9166666666667</v>
      </c>
      <c r="AE120">
        <f t="shared" si="62"/>
        <v>2018.0833333333333</v>
      </c>
      <c r="AF120">
        <f t="shared" si="63"/>
        <v>2005.9166666666667</v>
      </c>
      <c r="AG120">
        <f t="shared" si="64"/>
        <v>2017.0833333333333</v>
      </c>
      <c r="AH120">
        <f t="shared" si="65"/>
        <v>-8.3333333333333329E-2</v>
      </c>
      <c r="AJ120">
        <f t="shared" ref="AJ120:AJ143" si="66">+IF((AF120-AG120)&gt;3,((N120-P120)/(AF120-AG120)),(N120-P120)/3)</f>
        <v>2926.8000000000006</v>
      </c>
      <c r="AL120">
        <f t="shared" ref="AL120:AL143" si="67">+AJ120+V120</f>
        <v>2926.8000000000006</v>
      </c>
      <c r="AN120">
        <f t="shared" ref="AN120:AN143" si="68">+IF(AF120&lt;AG120,-AC120,0)</f>
        <v>-8780.4000000000015</v>
      </c>
      <c r="AP120">
        <f t="shared" ref="AP120:AP143" si="69">IF(AF120&gt;AG120,IF(AJ120&gt;0,IF(O120&gt;0,(N120-AA120)/2,IF(AD120&gt;=AG120,(((N120*U120)*Z120)-(AB120+AJ120))/2,((((N120*U120)*Z120)-AA120)+(((N120*U120)*Z120)-(AB120+AJ120)))/2)),0),0)</f>
        <v>0</v>
      </c>
      <c r="AR120">
        <f t="shared" ref="AR120:AR143" si="70">+AC120+AN120+(IF(AP120&gt;0,(AP120-AC120),0))</f>
        <v>0</v>
      </c>
    </row>
    <row r="121" spans="1:44">
      <c r="A121" t="s">
        <v>290</v>
      </c>
      <c r="C121">
        <v>5035</v>
      </c>
      <c r="D121" t="s">
        <v>305</v>
      </c>
      <c r="E121">
        <v>1999</v>
      </c>
      <c r="F121">
        <v>8</v>
      </c>
      <c r="G121">
        <v>0.2</v>
      </c>
      <c r="I121" t="s">
        <v>78</v>
      </c>
      <c r="J121">
        <v>7</v>
      </c>
      <c r="K121">
        <f t="shared" si="49"/>
        <v>2006</v>
      </c>
      <c r="N121">
        <v>21720</v>
      </c>
      <c r="P121">
        <f t="shared" si="50"/>
        <v>17376</v>
      </c>
      <c r="Q121">
        <f t="shared" si="51"/>
        <v>206.85714285714286</v>
      </c>
      <c r="R121">
        <f t="shared" si="52"/>
        <v>0</v>
      </c>
      <c r="S121">
        <f t="shared" si="53"/>
        <v>0</v>
      </c>
      <c r="T121">
        <f t="shared" si="54"/>
        <v>0</v>
      </c>
      <c r="U121">
        <v>1</v>
      </c>
      <c r="V121">
        <f t="shared" si="55"/>
        <v>0</v>
      </c>
      <c r="X121">
        <f t="shared" si="56"/>
        <v>17376</v>
      </c>
      <c r="Y121">
        <f t="shared" si="57"/>
        <v>17376</v>
      </c>
      <c r="Z121">
        <v>1</v>
      </c>
      <c r="AA121">
        <f t="shared" si="58"/>
        <v>17376</v>
      </c>
      <c r="AB121">
        <f t="shared" si="59"/>
        <v>17376</v>
      </c>
      <c r="AC121">
        <f t="shared" si="60"/>
        <v>4344</v>
      </c>
      <c r="AD121">
        <f t="shared" si="61"/>
        <v>1999.5833333333333</v>
      </c>
      <c r="AE121">
        <f t="shared" si="62"/>
        <v>2018.0833333333333</v>
      </c>
      <c r="AF121">
        <f t="shared" si="63"/>
        <v>2006.5833333333333</v>
      </c>
      <c r="AG121">
        <f t="shared" si="64"/>
        <v>2017.0833333333333</v>
      </c>
      <c r="AH121">
        <f t="shared" si="65"/>
        <v>-8.3333333333333329E-2</v>
      </c>
      <c r="AJ121">
        <f t="shared" si="66"/>
        <v>1448</v>
      </c>
      <c r="AL121">
        <f t="shared" si="67"/>
        <v>1448</v>
      </c>
      <c r="AN121">
        <f t="shared" si="68"/>
        <v>-4344</v>
      </c>
      <c r="AP121">
        <f t="shared" si="69"/>
        <v>0</v>
      </c>
      <c r="AR121">
        <f t="shared" si="70"/>
        <v>0</v>
      </c>
    </row>
    <row r="122" spans="1:44">
      <c r="A122" t="s">
        <v>290</v>
      </c>
      <c r="C122">
        <v>5036</v>
      </c>
      <c r="D122" t="s">
        <v>451</v>
      </c>
      <c r="E122">
        <v>1999</v>
      </c>
      <c r="F122">
        <v>10</v>
      </c>
      <c r="G122">
        <v>0.2</v>
      </c>
      <c r="I122" t="s">
        <v>78</v>
      </c>
      <c r="J122">
        <v>7</v>
      </c>
      <c r="K122">
        <f t="shared" si="49"/>
        <v>2006</v>
      </c>
      <c r="N122">
        <v>21680</v>
      </c>
      <c r="P122">
        <f t="shared" si="50"/>
        <v>17344</v>
      </c>
      <c r="Q122">
        <f t="shared" si="51"/>
        <v>206.47619047619048</v>
      </c>
      <c r="R122">
        <f t="shared" si="52"/>
        <v>0</v>
      </c>
      <c r="S122">
        <f t="shared" si="53"/>
        <v>0</v>
      </c>
      <c r="T122">
        <f t="shared" si="54"/>
        <v>0</v>
      </c>
      <c r="U122">
        <v>1</v>
      </c>
      <c r="V122">
        <f t="shared" si="55"/>
        <v>0</v>
      </c>
      <c r="X122">
        <f t="shared" si="56"/>
        <v>17344</v>
      </c>
      <c r="Y122">
        <f t="shared" si="57"/>
        <v>17344</v>
      </c>
      <c r="Z122">
        <v>1</v>
      </c>
      <c r="AA122">
        <f t="shared" si="58"/>
        <v>17344</v>
      </c>
      <c r="AB122">
        <f t="shared" si="59"/>
        <v>17344</v>
      </c>
      <c r="AC122">
        <f t="shared" si="60"/>
        <v>4336</v>
      </c>
      <c r="AD122">
        <f t="shared" si="61"/>
        <v>1999.75</v>
      </c>
      <c r="AE122">
        <f t="shared" si="62"/>
        <v>2018.0833333333333</v>
      </c>
      <c r="AF122">
        <f t="shared" si="63"/>
        <v>2006.75</v>
      </c>
      <c r="AG122">
        <f t="shared" si="64"/>
        <v>2017.0833333333333</v>
      </c>
      <c r="AH122">
        <f t="shared" si="65"/>
        <v>-8.3333333333333329E-2</v>
      </c>
      <c r="AJ122">
        <f t="shared" si="66"/>
        <v>1445.3333333333333</v>
      </c>
      <c r="AL122">
        <f t="shared" si="67"/>
        <v>1445.3333333333333</v>
      </c>
      <c r="AN122">
        <f t="shared" si="68"/>
        <v>-4336</v>
      </c>
      <c r="AP122">
        <f t="shared" si="69"/>
        <v>0</v>
      </c>
      <c r="AR122">
        <f t="shared" si="70"/>
        <v>0</v>
      </c>
    </row>
    <row r="123" spans="1:44">
      <c r="A123" t="s">
        <v>288</v>
      </c>
      <c r="C123">
        <v>5041</v>
      </c>
      <c r="D123" t="s">
        <v>333</v>
      </c>
      <c r="E123">
        <v>2001</v>
      </c>
      <c r="F123">
        <v>11</v>
      </c>
      <c r="G123">
        <v>0.2</v>
      </c>
      <c r="I123" t="s">
        <v>78</v>
      </c>
      <c r="J123">
        <v>7</v>
      </c>
      <c r="K123">
        <f t="shared" si="49"/>
        <v>2008</v>
      </c>
      <c r="N123">
        <v>63164.77</v>
      </c>
      <c r="P123">
        <f t="shared" si="50"/>
        <v>50531.815999999999</v>
      </c>
      <c r="Q123">
        <f t="shared" si="51"/>
        <v>601.56923809523812</v>
      </c>
      <c r="R123">
        <f t="shared" si="52"/>
        <v>0</v>
      </c>
      <c r="S123">
        <f t="shared" si="53"/>
        <v>0</v>
      </c>
      <c r="T123">
        <f t="shared" si="54"/>
        <v>0</v>
      </c>
      <c r="U123">
        <v>1</v>
      </c>
      <c r="V123">
        <f t="shared" si="55"/>
        <v>0</v>
      </c>
      <c r="X123">
        <f t="shared" si="56"/>
        <v>50531.815999999999</v>
      </c>
      <c r="Y123">
        <f t="shared" si="57"/>
        <v>50531.815999999999</v>
      </c>
      <c r="Z123">
        <v>1</v>
      </c>
      <c r="AA123">
        <f t="shared" si="58"/>
        <v>50531.815999999999</v>
      </c>
      <c r="AB123">
        <f t="shared" si="59"/>
        <v>50531.815999999999</v>
      </c>
      <c r="AC123">
        <f t="shared" si="60"/>
        <v>12632.953999999998</v>
      </c>
      <c r="AD123">
        <f t="shared" si="61"/>
        <v>2001.8333333333333</v>
      </c>
      <c r="AE123">
        <f t="shared" si="62"/>
        <v>2018.0833333333333</v>
      </c>
      <c r="AF123">
        <f t="shared" si="63"/>
        <v>2008.8333333333333</v>
      </c>
      <c r="AG123">
        <f t="shared" si="64"/>
        <v>2017.0833333333333</v>
      </c>
      <c r="AH123">
        <f t="shared" si="65"/>
        <v>-8.3333333333333329E-2</v>
      </c>
      <c r="AJ123">
        <f t="shared" si="66"/>
        <v>4210.9846666666663</v>
      </c>
      <c r="AL123">
        <f t="shared" si="67"/>
        <v>4210.9846666666663</v>
      </c>
      <c r="AN123">
        <f t="shared" si="68"/>
        <v>-12632.953999999998</v>
      </c>
      <c r="AP123">
        <f t="shared" si="69"/>
        <v>0</v>
      </c>
      <c r="AR123">
        <f t="shared" si="70"/>
        <v>0</v>
      </c>
    </row>
    <row r="124" spans="1:44">
      <c r="A124" t="s">
        <v>292</v>
      </c>
      <c r="C124">
        <v>5042</v>
      </c>
      <c r="D124" t="s">
        <v>452</v>
      </c>
      <c r="E124">
        <v>2002</v>
      </c>
      <c r="F124">
        <v>6</v>
      </c>
      <c r="G124">
        <v>0.2</v>
      </c>
      <c r="I124" t="s">
        <v>78</v>
      </c>
      <c r="J124">
        <v>7</v>
      </c>
      <c r="K124">
        <f t="shared" si="49"/>
        <v>2009</v>
      </c>
      <c r="N124">
        <v>75792.84</v>
      </c>
      <c r="P124">
        <f t="shared" si="50"/>
        <v>60634.271999999997</v>
      </c>
      <c r="Q124">
        <f t="shared" si="51"/>
        <v>721.83657142857146</v>
      </c>
      <c r="R124">
        <f t="shared" si="52"/>
        <v>0</v>
      </c>
      <c r="S124">
        <f t="shared" si="53"/>
        <v>0</v>
      </c>
      <c r="T124">
        <f t="shared" si="54"/>
        <v>0</v>
      </c>
      <c r="U124">
        <v>1</v>
      </c>
      <c r="V124">
        <f t="shared" si="55"/>
        <v>0</v>
      </c>
      <c r="X124">
        <f t="shared" si="56"/>
        <v>60634.271999999997</v>
      </c>
      <c r="Y124">
        <f t="shared" si="57"/>
        <v>60634.271999999997</v>
      </c>
      <c r="Z124">
        <v>1</v>
      </c>
      <c r="AA124">
        <f t="shared" si="58"/>
        <v>60634.271999999997</v>
      </c>
      <c r="AB124">
        <f t="shared" si="59"/>
        <v>60634.271999999997</v>
      </c>
      <c r="AC124">
        <f t="shared" si="60"/>
        <v>15158.567999999999</v>
      </c>
      <c r="AD124">
        <f t="shared" si="61"/>
        <v>2002.4166666666667</v>
      </c>
      <c r="AE124">
        <f t="shared" si="62"/>
        <v>2018.0833333333333</v>
      </c>
      <c r="AF124">
        <f t="shared" si="63"/>
        <v>2009.4166666666667</v>
      </c>
      <c r="AG124">
        <f t="shared" si="64"/>
        <v>2017.0833333333333</v>
      </c>
      <c r="AH124">
        <f t="shared" si="65"/>
        <v>-8.3333333333333329E-2</v>
      </c>
      <c r="AJ124">
        <f t="shared" si="66"/>
        <v>5052.8559999999998</v>
      </c>
      <c r="AL124">
        <f t="shared" si="67"/>
        <v>5052.8559999999998</v>
      </c>
      <c r="AN124">
        <f t="shared" si="68"/>
        <v>-15158.567999999999</v>
      </c>
      <c r="AP124">
        <f t="shared" si="69"/>
        <v>0</v>
      </c>
      <c r="AR124">
        <f t="shared" si="70"/>
        <v>0</v>
      </c>
    </row>
    <row r="125" spans="1:44">
      <c r="A125" t="s">
        <v>292</v>
      </c>
      <c r="C125">
        <v>5043</v>
      </c>
      <c r="D125" t="s">
        <v>452</v>
      </c>
      <c r="E125">
        <v>2002</v>
      </c>
      <c r="F125">
        <v>6</v>
      </c>
      <c r="G125">
        <v>0.2</v>
      </c>
      <c r="I125" t="s">
        <v>78</v>
      </c>
      <c r="J125">
        <v>7</v>
      </c>
      <c r="K125">
        <f t="shared" si="49"/>
        <v>2009</v>
      </c>
      <c r="N125">
        <v>74182.33</v>
      </c>
      <c r="P125">
        <f t="shared" si="50"/>
        <v>59345.864000000001</v>
      </c>
      <c r="Q125">
        <f t="shared" si="51"/>
        <v>706.49838095238101</v>
      </c>
      <c r="R125">
        <f t="shared" si="52"/>
        <v>0</v>
      </c>
      <c r="S125">
        <f t="shared" si="53"/>
        <v>0</v>
      </c>
      <c r="T125">
        <f t="shared" si="54"/>
        <v>0</v>
      </c>
      <c r="U125">
        <v>1</v>
      </c>
      <c r="V125">
        <f t="shared" si="55"/>
        <v>0</v>
      </c>
      <c r="X125">
        <f t="shared" si="56"/>
        <v>59345.864000000001</v>
      </c>
      <c r="Y125">
        <f t="shared" si="57"/>
        <v>59345.864000000001</v>
      </c>
      <c r="Z125">
        <v>1</v>
      </c>
      <c r="AA125">
        <f t="shared" si="58"/>
        <v>59345.864000000001</v>
      </c>
      <c r="AB125">
        <f t="shared" si="59"/>
        <v>59345.864000000001</v>
      </c>
      <c r="AC125">
        <f t="shared" si="60"/>
        <v>14836.466</v>
      </c>
      <c r="AD125">
        <f t="shared" si="61"/>
        <v>2002.4166666666667</v>
      </c>
      <c r="AE125">
        <f t="shared" si="62"/>
        <v>2018.0833333333333</v>
      </c>
      <c r="AF125">
        <f t="shared" si="63"/>
        <v>2009.4166666666667</v>
      </c>
      <c r="AG125">
        <f t="shared" si="64"/>
        <v>2017.0833333333333</v>
      </c>
      <c r="AH125">
        <f t="shared" si="65"/>
        <v>-8.3333333333333329E-2</v>
      </c>
      <c r="AJ125">
        <f t="shared" si="66"/>
        <v>4945.4886666666671</v>
      </c>
      <c r="AL125">
        <f t="shared" si="67"/>
        <v>4945.4886666666671</v>
      </c>
      <c r="AN125">
        <f t="shared" si="68"/>
        <v>-14836.466</v>
      </c>
      <c r="AP125">
        <f t="shared" si="69"/>
        <v>0</v>
      </c>
      <c r="AR125">
        <f t="shared" si="70"/>
        <v>0</v>
      </c>
    </row>
    <row r="126" spans="1:44">
      <c r="A126" t="s">
        <v>292</v>
      </c>
      <c r="C126">
        <v>5045</v>
      </c>
      <c r="D126" t="s">
        <v>452</v>
      </c>
      <c r="E126">
        <v>2002</v>
      </c>
      <c r="F126">
        <v>6</v>
      </c>
      <c r="G126">
        <v>0.2</v>
      </c>
      <c r="I126" t="s">
        <v>78</v>
      </c>
      <c r="J126">
        <v>7</v>
      </c>
      <c r="K126">
        <f t="shared" si="49"/>
        <v>2009</v>
      </c>
      <c r="N126">
        <v>75139.73</v>
      </c>
      <c r="P126">
        <f t="shared" si="50"/>
        <v>60111.784</v>
      </c>
      <c r="Q126">
        <f t="shared" si="51"/>
        <v>715.61647619047619</v>
      </c>
      <c r="R126">
        <f t="shared" si="52"/>
        <v>0</v>
      </c>
      <c r="S126">
        <f t="shared" si="53"/>
        <v>0</v>
      </c>
      <c r="T126">
        <f t="shared" si="54"/>
        <v>0</v>
      </c>
      <c r="U126">
        <v>1</v>
      </c>
      <c r="V126">
        <f t="shared" si="55"/>
        <v>0</v>
      </c>
      <c r="X126">
        <f t="shared" si="56"/>
        <v>60111.784</v>
      </c>
      <c r="Y126">
        <f t="shared" si="57"/>
        <v>60111.784</v>
      </c>
      <c r="Z126">
        <v>1</v>
      </c>
      <c r="AA126">
        <f t="shared" si="58"/>
        <v>60111.784</v>
      </c>
      <c r="AB126">
        <f t="shared" si="59"/>
        <v>60111.784</v>
      </c>
      <c r="AC126">
        <f t="shared" si="60"/>
        <v>15027.945999999996</v>
      </c>
      <c r="AD126">
        <f t="shared" si="61"/>
        <v>2002.4166666666667</v>
      </c>
      <c r="AE126">
        <f t="shared" si="62"/>
        <v>2018.0833333333333</v>
      </c>
      <c r="AF126">
        <f t="shared" si="63"/>
        <v>2009.4166666666667</v>
      </c>
      <c r="AG126">
        <f t="shared" si="64"/>
        <v>2017.0833333333333</v>
      </c>
      <c r="AH126">
        <f t="shared" si="65"/>
        <v>-8.3333333333333329E-2</v>
      </c>
      <c r="AJ126">
        <f t="shared" si="66"/>
        <v>5009.3153333333321</v>
      </c>
      <c r="AL126">
        <f t="shared" si="67"/>
        <v>5009.3153333333321</v>
      </c>
      <c r="AN126">
        <f t="shared" si="68"/>
        <v>-15027.945999999996</v>
      </c>
      <c r="AP126">
        <f t="shared" si="69"/>
        <v>0</v>
      </c>
      <c r="AR126">
        <f t="shared" si="70"/>
        <v>0</v>
      </c>
    </row>
    <row r="127" spans="1:44">
      <c r="A127" t="s">
        <v>284</v>
      </c>
      <c r="C127">
        <v>3598</v>
      </c>
      <c r="D127" t="s">
        <v>161</v>
      </c>
      <c r="E127">
        <v>2007</v>
      </c>
      <c r="F127">
        <v>3</v>
      </c>
      <c r="G127">
        <v>0.2</v>
      </c>
      <c r="I127" t="s">
        <v>78</v>
      </c>
      <c r="J127">
        <v>7</v>
      </c>
      <c r="K127">
        <f t="shared" si="49"/>
        <v>2014</v>
      </c>
      <c r="N127">
        <v>194705.04</v>
      </c>
      <c r="P127">
        <f t="shared" si="50"/>
        <v>155764.03200000001</v>
      </c>
      <c r="Q127">
        <f t="shared" si="51"/>
        <v>1854.3337142857144</v>
      </c>
      <c r="R127">
        <f t="shared" si="52"/>
        <v>0</v>
      </c>
      <c r="S127">
        <f t="shared" si="53"/>
        <v>0</v>
      </c>
      <c r="T127">
        <f t="shared" si="54"/>
        <v>0</v>
      </c>
      <c r="U127">
        <v>1</v>
      </c>
      <c r="V127">
        <f t="shared" si="55"/>
        <v>0</v>
      </c>
      <c r="X127">
        <f t="shared" si="56"/>
        <v>155764.03200000001</v>
      </c>
      <c r="Y127">
        <f t="shared" si="57"/>
        <v>155764.03200000001</v>
      </c>
      <c r="Z127">
        <v>1</v>
      </c>
      <c r="AA127">
        <f t="shared" si="58"/>
        <v>155764.03200000001</v>
      </c>
      <c r="AB127">
        <f t="shared" si="59"/>
        <v>155764.03200000001</v>
      </c>
      <c r="AC127">
        <f t="shared" si="60"/>
        <v>38941.008000000002</v>
      </c>
      <c r="AD127">
        <f t="shared" si="61"/>
        <v>2007.1666666666667</v>
      </c>
      <c r="AE127">
        <f t="shared" si="62"/>
        <v>2018.0833333333333</v>
      </c>
      <c r="AF127">
        <f t="shared" si="63"/>
        <v>2014.1666666666667</v>
      </c>
      <c r="AG127">
        <f t="shared" si="64"/>
        <v>2017.0833333333333</v>
      </c>
      <c r="AH127">
        <f t="shared" si="65"/>
        <v>-8.3333333333333329E-2</v>
      </c>
      <c r="AJ127">
        <f t="shared" si="66"/>
        <v>12980.336000000001</v>
      </c>
      <c r="AL127">
        <f t="shared" si="67"/>
        <v>12980.336000000001</v>
      </c>
      <c r="AN127">
        <f t="shared" si="68"/>
        <v>-38941.008000000002</v>
      </c>
      <c r="AP127">
        <f t="shared" si="69"/>
        <v>0</v>
      </c>
      <c r="AR127">
        <f t="shared" si="70"/>
        <v>0</v>
      </c>
    </row>
    <row r="128" spans="1:44">
      <c r="A128" t="s">
        <v>284</v>
      </c>
      <c r="C128">
        <v>3599</v>
      </c>
      <c r="D128" t="s">
        <v>161</v>
      </c>
      <c r="E128">
        <v>2007</v>
      </c>
      <c r="F128">
        <v>3</v>
      </c>
      <c r="G128">
        <v>0.2</v>
      </c>
      <c r="I128" t="s">
        <v>78</v>
      </c>
      <c r="J128">
        <v>7</v>
      </c>
      <c r="K128">
        <f t="shared" si="49"/>
        <v>2014</v>
      </c>
      <c r="N128">
        <v>195238.16</v>
      </c>
      <c r="P128">
        <f t="shared" si="50"/>
        <v>156190.52799999999</v>
      </c>
      <c r="Q128">
        <f t="shared" si="51"/>
        <v>1859.4110476190474</v>
      </c>
      <c r="R128">
        <f t="shared" si="52"/>
        <v>0</v>
      </c>
      <c r="S128">
        <f t="shared" si="53"/>
        <v>0</v>
      </c>
      <c r="T128">
        <f t="shared" si="54"/>
        <v>0</v>
      </c>
      <c r="U128">
        <v>1</v>
      </c>
      <c r="V128">
        <f t="shared" si="55"/>
        <v>0</v>
      </c>
      <c r="X128">
        <f t="shared" si="56"/>
        <v>156190.52799999999</v>
      </c>
      <c r="Y128">
        <f t="shared" si="57"/>
        <v>156190.52799999999</v>
      </c>
      <c r="Z128">
        <v>1</v>
      </c>
      <c r="AA128">
        <f t="shared" si="58"/>
        <v>156190.52799999999</v>
      </c>
      <c r="AB128">
        <f t="shared" si="59"/>
        <v>156190.52799999999</v>
      </c>
      <c r="AC128">
        <f t="shared" si="60"/>
        <v>39047.632000000012</v>
      </c>
      <c r="AD128">
        <f t="shared" si="61"/>
        <v>2007.1666666666667</v>
      </c>
      <c r="AE128">
        <f t="shared" si="62"/>
        <v>2018.0833333333333</v>
      </c>
      <c r="AF128">
        <f t="shared" si="63"/>
        <v>2014.1666666666667</v>
      </c>
      <c r="AG128">
        <f t="shared" si="64"/>
        <v>2017.0833333333333</v>
      </c>
      <c r="AH128">
        <f t="shared" si="65"/>
        <v>-8.3333333333333329E-2</v>
      </c>
      <c r="AJ128">
        <f t="shared" si="66"/>
        <v>13015.877333333337</v>
      </c>
      <c r="AL128">
        <f t="shared" si="67"/>
        <v>13015.877333333337</v>
      </c>
      <c r="AN128">
        <f t="shared" si="68"/>
        <v>-39047.632000000012</v>
      </c>
      <c r="AP128">
        <f t="shared" si="69"/>
        <v>0</v>
      </c>
      <c r="AR128">
        <f t="shared" si="70"/>
        <v>0</v>
      </c>
    </row>
    <row r="129" spans="1:44">
      <c r="A129" t="s">
        <v>284</v>
      </c>
      <c r="C129">
        <v>3600</v>
      </c>
      <c r="D129" t="s">
        <v>161</v>
      </c>
      <c r="E129">
        <v>2007</v>
      </c>
      <c r="F129">
        <v>3</v>
      </c>
      <c r="G129">
        <v>0.2</v>
      </c>
      <c r="I129" t="s">
        <v>78</v>
      </c>
      <c r="J129">
        <v>7</v>
      </c>
      <c r="K129">
        <f t="shared" si="49"/>
        <v>2014</v>
      </c>
      <c r="N129">
        <v>194705.04</v>
      </c>
      <c r="P129">
        <f t="shared" si="50"/>
        <v>155764.03200000001</v>
      </c>
      <c r="Q129">
        <f t="shared" si="51"/>
        <v>1854.3337142857144</v>
      </c>
      <c r="R129">
        <f t="shared" si="52"/>
        <v>0</v>
      </c>
      <c r="S129">
        <f t="shared" si="53"/>
        <v>0</v>
      </c>
      <c r="T129">
        <f t="shared" si="54"/>
        <v>0</v>
      </c>
      <c r="U129">
        <v>1</v>
      </c>
      <c r="V129">
        <f t="shared" si="55"/>
        <v>0</v>
      </c>
      <c r="X129">
        <f t="shared" si="56"/>
        <v>155764.03200000001</v>
      </c>
      <c r="Y129">
        <f t="shared" si="57"/>
        <v>155764.03200000001</v>
      </c>
      <c r="Z129">
        <v>1</v>
      </c>
      <c r="AA129">
        <f t="shared" si="58"/>
        <v>155764.03200000001</v>
      </c>
      <c r="AB129">
        <f t="shared" si="59"/>
        <v>155764.03200000001</v>
      </c>
      <c r="AC129">
        <f t="shared" si="60"/>
        <v>38941.008000000002</v>
      </c>
      <c r="AD129">
        <f t="shared" si="61"/>
        <v>2007.1666666666667</v>
      </c>
      <c r="AE129">
        <f t="shared" si="62"/>
        <v>2018.0833333333333</v>
      </c>
      <c r="AF129">
        <f t="shared" si="63"/>
        <v>2014.1666666666667</v>
      </c>
      <c r="AG129">
        <f t="shared" si="64"/>
        <v>2017.0833333333333</v>
      </c>
      <c r="AH129">
        <f t="shared" si="65"/>
        <v>-8.3333333333333329E-2</v>
      </c>
      <c r="AJ129">
        <f t="shared" si="66"/>
        <v>12980.336000000001</v>
      </c>
      <c r="AL129">
        <f t="shared" si="67"/>
        <v>12980.336000000001</v>
      </c>
      <c r="AN129">
        <f t="shared" si="68"/>
        <v>-38941.008000000002</v>
      </c>
      <c r="AP129">
        <f t="shared" si="69"/>
        <v>0</v>
      </c>
      <c r="AR129">
        <f t="shared" si="70"/>
        <v>0</v>
      </c>
    </row>
    <row r="130" spans="1:44">
      <c r="A130" t="s">
        <v>284</v>
      </c>
      <c r="C130">
        <v>3601</v>
      </c>
      <c r="D130" t="s">
        <v>161</v>
      </c>
      <c r="E130">
        <v>2007</v>
      </c>
      <c r="F130">
        <v>3</v>
      </c>
      <c r="G130">
        <v>0.2</v>
      </c>
      <c r="I130" t="s">
        <v>78</v>
      </c>
      <c r="J130">
        <v>7</v>
      </c>
      <c r="K130">
        <f t="shared" si="49"/>
        <v>2014</v>
      </c>
      <c r="N130">
        <v>194705.04</v>
      </c>
      <c r="P130">
        <f t="shared" si="50"/>
        <v>155764.03200000001</v>
      </c>
      <c r="Q130">
        <f t="shared" si="51"/>
        <v>1854.3337142857144</v>
      </c>
      <c r="R130">
        <f t="shared" si="52"/>
        <v>0</v>
      </c>
      <c r="S130">
        <f t="shared" si="53"/>
        <v>0</v>
      </c>
      <c r="T130">
        <f t="shared" si="54"/>
        <v>0</v>
      </c>
      <c r="U130">
        <v>1</v>
      </c>
      <c r="V130">
        <f t="shared" si="55"/>
        <v>0</v>
      </c>
      <c r="X130">
        <f t="shared" si="56"/>
        <v>155764.03200000001</v>
      </c>
      <c r="Y130">
        <f t="shared" si="57"/>
        <v>155764.03200000001</v>
      </c>
      <c r="Z130">
        <v>1</v>
      </c>
      <c r="AA130">
        <f t="shared" si="58"/>
        <v>155764.03200000001</v>
      </c>
      <c r="AB130">
        <f t="shared" si="59"/>
        <v>155764.03200000001</v>
      </c>
      <c r="AC130">
        <f t="shared" si="60"/>
        <v>38941.008000000002</v>
      </c>
      <c r="AD130">
        <f t="shared" si="61"/>
        <v>2007.1666666666667</v>
      </c>
      <c r="AE130">
        <f t="shared" si="62"/>
        <v>2018.0833333333333</v>
      </c>
      <c r="AF130">
        <f t="shared" si="63"/>
        <v>2014.1666666666667</v>
      </c>
      <c r="AG130">
        <f t="shared" si="64"/>
        <v>2017.0833333333333</v>
      </c>
      <c r="AH130">
        <f t="shared" si="65"/>
        <v>-8.3333333333333329E-2</v>
      </c>
      <c r="AJ130">
        <f t="shared" si="66"/>
        <v>12980.336000000001</v>
      </c>
      <c r="AL130">
        <f t="shared" si="67"/>
        <v>12980.336000000001</v>
      </c>
      <c r="AN130">
        <f t="shared" si="68"/>
        <v>-38941.008000000002</v>
      </c>
      <c r="AP130">
        <f t="shared" si="69"/>
        <v>0</v>
      </c>
      <c r="AR130">
        <f t="shared" si="70"/>
        <v>0</v>
      </c>
    </row>
    <row r="131" spans="1:44">
      <c r="A131" t="s">
        <v>284</v>
      </c>
      <c r="C131">
        <v>3602</v>
      </c>
      <c r="D131" t="s">
        <v>161</v>
      </c>
      <c r="E131">
        <v>2007</v>
      </c>
      <c r="F131">
        <v>3</v>
      </c>
      <c r="G131">
        <v>0.2</v>
      </c>
      <c r="I131" t="s">
        <v>78</v>
      </c>
      <c r="J131">
        <v>7</v>
      </c>
      <c r="K131">
        <f t="shared" si="49"/>
        <v>2014</v>
      </c>
      <c r="N131">
        <v>194705.04</v>
      </c>
      <c r="P131">
        <f t="shared" si="50"/>
        <v>155764.03200000001</v>
      </c>
      <c r="Q131">
        <f t="shared" si="51"/>
        <v>1854.3337142857144</v>
      </c>
      <c r="R131">
        <f t="shared" si="52"/>
        <v>0</v>
      </c>
      <c r="S131">
        <f t="shared" si="53"/>
        <v>0</v>
      </c>
      <c r="T131">
        <f t="shared" si="54"/>
        <v>0</v>
      </c>
      <c r="U131">
        <v>1</v>
      </c>
      <c r="V131">
        <f t="shared" si="55"/>
        <v>0</v>
      </c>
      <c r="X131">
        <f t="shared" si="56"/>
        <v>155764.03200000001</v>
      </c>
      <c r="Y131">
        <f t="shared" si="57"/>
        <v>155764.03200000001</v>
      </c>
      <c r="Z131">
        <v>1</v>
      </c>
      <c r="AA131">
        <f t="shared" si="58"/>
        <v>155764.03200000001</v>
      </c>
      <c r="AB131">
        <f t="shared" si="59"/>
        <v>155764.03200000001</v>
      </c>
      <c r="AC131">
        <f t="shared" si="60"/>
        <v>38941.008000000002</v>
      </c>
      <c r="AD131">
        <f t="shared" si="61"/>
        <v>2007.1666666666667</v>
      </c>
      <c r="AE131">
        <f t="shared" si="62"/>
        <v>2018.0833333333333</v>
      </c>
      <c r="AF131">
        <f t="shared" si="63"/>
        <v>2014.1666666666667</v>
      </c>
      <c r="AG131">
        <f t="shared" si="64"/>
        <v>2017.0833333333333</v>
      </c>
      <c r="AH131">
        <f t="shared" si="65"/>
        <v>-8.3333333333333329E-2</v>
      </c>
      <c r="AJ131">
        <f t="shared" si="66"/>
        <v>12980.336000000001</v>
      </c>
      <c r="AL131">
        <f t="shared" si="67"/>
        <v>12980.336000000001</v>
      </c>
      <c r="AN131">
        <f t="shared" si="68"/>
        <v>-38941.008000000002</v>
      </c>
      <c r="AP131">
        <f t="shared" si="69"/>
        <v>0</v>
      </c>
      <c r="AR131">
        <f t="shared" si="70"/>
        <v>0</v>
      </c>
    </row>
    <row r="132" spans="1:44">
      <c r="A132" t="s">
        <v>284</v>
      </c>
      <c r="C132">
        <v>3604</v>
      </c>
      <c r="D132" t="s">
        <v>162</v>
      </c>
      <c r="E132">
        <v>2007</v>
      </c>
      <c r="F132">
        <v>4</v>
      </c>
      <c r="G132">
        <v>0.2</v>
      </c>
      <c r="I132" t="s">
        <v>78</v>
      </c>
      <c r="J132">
        <v>7</v>
      </c>
      <c r="K132">
        <f t="shared" si="49"/>
        <v>2014</v>
      </c>
      <c r="N132">
        <v>194705.04</v>
      </c>
      <c r="P132">
        <f t="shared" si="50"/>
        <v>155764.03200000001</v>
      </c>
      <c r="Q132">
        <f t="shared" si="51"/>
        <v>1854.3337142857144</v>
      </c>
      <c r="R132">
        <f t="shared" si="52"/>
        <v>0</v>
      </c>
      <c r="S132">
        <f t="shared" si="53"/>
        <v>0</v>
      </c>
      <c r="T132">
        <f t="shared" si="54"/>
        <v>0</v>
      </c>
      <c r="U132">
        <v>1</v>
      </c>
      <c r="V132">
        <f t="shared" si="55"/>
        <v>0</v>
      </c>
      <c r="X132">
        <f t="shared" si="56"/>
        <v>155764.03200000001</v>
      </c>
      <c r="Y132">
        <f t="shared" si="57"/>
        <v>155764.03200000001</v>
      </c>
      <c r="Z132">
        <v>1</v>
      </c>
      <c r="AA132">
        <f t="shared" si="58"/>
        <v>155764.03200000001</v>
      </c>
      <c r="AB132">
        <f t="shared" si="59"/>
        <v>155764.03200000001</v>
      </c>
      <c r="AC132">
        <f t="shared" si="60"/>
        <v>38941.008000000002</v>
      </c>
      <c r="AD132">
        <f t="shared" si="61"/>
        <v>2007.25</v>
      </c>
      <c r="AE132">
        <f t="shared" si="62"/>
        <v>2018.0833333333333</v>
      </c>
      <c r="AF132">
        <f t="shared" si="63"/>
        <v>2014.25</v>
      </c>
      <c r="AG132">
        <f t="shared" si="64"/>
        <v>2017.0833333333333</v>
      </c>
      <c r="AH132">
        <f t="shared" si="65"/>
        <v>-8.3333333333333329E-2</v>
      </c>
      <c r="AJ132">
        <f t="shared" si="66"/>
        <v>12980.336000000001</v>
      </c>
      <c r="AL132">
        <f t="shared" si="67"/>
        <v>12980.336000000001</v>
      </c>
      <c r="AN132">
        <f t="shared" si="68"/>
        <v>-38941.008000000002</v>
      </c>
      <c r="AP132">
        <f t="shared" si="69"/>
        <v>0</v>
      </c>
      <c r="AR132">
        <f t="shared" si="70"/>
        <v>0</v>
      </c>
    </row>
    <row r="133" spans="1:44">
      <c r="A133" t="s">
        <v>288</v>
      </c>
      <c r="C133">
        <v>5041</v>
      </c>
      <c r="D133" t="s">
        <v>323</v>
      </c>
      <c r="E133">
        <v>2007</v>
      </c>
      <c r="F133">
        <v>7</v>
      </c>
      <c r="G133">
        <v>0.33</v>
      </c>
      <c r="I133" t="s">
        <v>78</v>
      </c>
      <c r="J133">
        <v>5</v>
      </c>
      <c r="K133">
        <f>E133+J133</f>
        <v>2012</v>
      </c>
      <c r="N133">
        <v>11924</v>
      </c>
      <c r="P133">
        <f t="shared" si="50"/>
        <v>7989.08</v>
      </c>
      <c r="Q133">
        <f t="shared" si="51"/>
        <v>133.15133333333333</v>
      </c>
      <c r="R133">
        <f>IF(O133&gt;0,0,IF(OR(AD133&gt;AE133,AF133&lt;AG133),0,IF(AND(AF133&gt;=AG133,AF133&lt;=AE133),Q133*((AF133-AG133)*12),IF(AND(AG133&lt;=AD133,AE133&gt;=AD133),((AE133-AD133)*12)*Q133,IF(AF133&gt;AE133,12*Q133,0)))))</f>
        <v>0</v>
      </c>
      <c r="S133">
        <f>IF(O133=0,0,IF(AND(AH133&gt;=AG133,AH133&lt;=AF133),((AH133-AG133)*12)*Q133,0))</f>
        <v>0</v>
      </c>
      <c r="T133">
        <f>IF(S133&gt;0,S133,R133)</f>
        <v>0</v>
      </c>
      <c r="U133">
        <v>1</v>
      </c>
      <c r="V133">
        <f>U133*SUM(R133:S133)</f>
        <v>0</v>
      </c>
      <c r="X133">
        <f>IF(AD133&gt;AE133,0,IF(AF133&lt;AG133,P133,IF(AND(AF133&gt;=AG133,AF133&lt;=AE133),(P133-T133),IF(AND(AG133&lt;=AD133,AE133&gt;=AD133),0,IF(AF133&gt;AE133,((AG133-AD133)*12)*Q133,0)))))</f>
        <v>7989.08</v>
      </c>
      <c r="Y133">
        <f>X133*U133</f>
        <v>7989.08</v>
      </c>
      <c r="Z133">
        <v>1</v>
      </c>
      <c r="AA133">
        <f>Y133*Z133</f>
        <v>7989.08</v>
      </c>
      <c r="AB133">
        <f>IF(O133&gt;0,0,AA133+V133*Z133)*Z133</f>
        <v>7989.08</v>
      </c>
      <c r="AC133">
        <f>IF(O133&gt;0,(N133-AA133)/2,IF(AD133&gt;=AG133,(((N133*U133)*Z133)-AB133)/2,((((N133*U133)*Z133)-AA133)+(((N133*U133)*Z133)-AB133))/2))</f>
        <v>3934.92</v>
      </c>
      <c r="AD133">
        <f>$E133+(($F133-1)/12)</f>
        <v>2007.5</v>
      </c>
      <c r="AE133">
        <f t="shared" si="62"/>
        <v>2018.0833333333333</v>
      </c>
      <c r="AF133">
        <f>$K133+(($F133-1)/12)</f>
        <v>2012.5</v>
      </c>
      <c r="AG133">
        <f t="shared" si="64"/>
        <v>2017.0833333333333</v>
      </c>
      <c r="AH133">
        <f t="shared" si="65"/>
        <v>-8.3333333333333329E-2</v>
      </c>
      <c r="AJ133">
        <f t="shared" si="66"/>
        <v>1311.64</v>
      </c>
      <c r="AL133">
        <f t="shared" si="67"/>
        <v>1311.64</v>
      </c>
      <c r="AN133">
        <f t="shared" si="68"/>
        <v>-3934.92</v>
      </c>
      <c r="AP133">
        <f t="shared" si="69"/>
        <v>0</v>
      </c>
      <c r="AR133">
        <f t="shared" si="70"/>
        <v>0</v>
      </c>
    </row>
    <row r="134" spans="1:44">
      <c r="A134" t="s">
        <v>284</v>
      </c>
      <c r="C134">
        <v>3615</v>
      </c>
      <c r="D134" t="s">
        <v>162</v>
      </c>
      <c r="E134">
        <v>2007</v>
      </c>
      <c r="F134">
        <v>8</v>
      </c>
      <c r="G134">
        <v>0.2</v>
      </c>
      <c r="I134" t="s">
        <v>78</v>
      </c>
      <c r="J134">
        <v>7</v>
      </c>
      <c r="K134">
        <f t="shared" si="49"/>
        <v>2014</v>
      </c>
      <c r="N134">
        <v>194705.04</v>
      </c>
      <c r="P134">
        <f t="shared" si="50"/>
        <v>155764.03200000001</v>
      </c>
      <c r="Q134">
        <f t="shared" si="51"/>
        <v>1854.3337142857144</v>
      </c>
      <c r="R134">
        <f t="shared" si="52"/>
        <v>0</v>
      </c>
      <c r="S134">
        <f t="shared" si="53"/>
        <v>0</v>
      </c>
      <c r="T134">
        <f t="shared" si="54"/>
        <v>0</v>
      </c>
      <c r="U134">
        <v>1</v>
      </c>
      <c r="V134">
        <f t="shared" si="55"/>
        <v>0</v>
      </c>
      <c r="X134">
        <f t="shared" si="56"/>
        <v>155764.03200000001</v>
      </c>
      <c r="Y134">
        <f t="shared" si="57"/>
        <v>155764.03200000001</v>
      </c>
      <c r="Z134">
        <v>1</v>
      </c>
      <c r="AA134">
        <f t="shared" si="58"/>
        <v>155764.03200000001</v>
      </c>
      <c r="AB134">
        <f t="shared" si="59"/>
        <v>155764.03200000001</v>
      </c>
      <c r="AC134">
        <f t="shared" si="60"/>
        <v>38941.008000000002</v>
      </c>
      <c r="AD134">
        <f t="shared" si="61"/>
        <v>2007.5833333333333</v>
      </c>
      <c r="AE134">
        <f t="shared" si="62"/>
        <v>2018.0833333333333</v>
      </c>
      <c r="AF134">
        <f t="shared" si="63"/>
        <v>2014.5833333333333</v>
      </c>
      <c r="AG134">
        <f t="shared" si="64"/>
        <v>2017.0833333333333</v>
      </c>
      <c r="AH134">
        <f t="shared" si="65"/>
        <v>-8.3333333333333329E-2</v>
      </c>
      <c r="AJ134">
        <f t="shared" si="66"/>
        <v>12980.336000000001</v>
      </c>
      <c r="AL134">
        <f t="shared" si="67"/>
        <v>12980.336000000001</v>
      </c>
      <c r="AN134">
        <f t="shared" si="68"/>
        <v>-38941.008000000002</v>
      </c>
      <c r="AP134">
        <f t="shared" si="69"/>
        <v>0</v>
      </c>
      <c r="AR134">
        <f t="shared" si="70"/>
        <v>0</v>
      </c>
    </row>
    <row r="135" spans="1:44">
      <c r="A135" t="s">
        <v>292</v>
      </c>
      <c r="C135">
        <v>5042</v>
      </c>
      <c r="D135" t="s">
        <v>334</v>
      </c>
      <c r="E135">
        <v>2009</v>
      </c>
      <c r="F135">
        <v>5</v>
      </c>
      <c r="G135">
        <v>0</v>
      </c>
      <c r="I135" t="s">
        <v>78</v>
      </c>
      <c r="J135">
        <v>3</v>
      </c>
      <c r="K135">
        <f t="shared" si="49"/>
        <v>2012</v>
      </c>
      <c r="N135">
        <v>7094.74</v>
      </c>
      <c r="P135">
        <f t="shared" si="50"/>
        <v>7094.74</v>
      </c>
      <c r="Q135">
        <f t="shared" si="51"/>
        <v>197.07611111111112</v>
      </c>
      <c r="R135">
        <f t="shared" si="52"/>
        <v>0</v>
      </c>
      <c r="S135">
        <f t="shared" si="53"/>
        <v>0</v>
      </c>
      <c r="T135">
        <f t="shared" si="54"/>
        <v>0</v>
      </c>
      <c r="U135">
        <v>1</v>
      </c>
      <c r="V135">
        <f t="shared" si="55"/>
        <v>0</v>
      </c>
      <c r="X135">
        <f t="shared" si="56"/>
        <v>7094.74</v>
      </c>
      <c r="Y135">
        <f t="shared" si="57"/>
        <v>7094.74</v>
      </c>
      <c r="Z135">
        <v>1</v>
      </c>
      <c r="AA135">
        <f t="shared" si="58"/>
        <v>7094.74</v>
      </c>
      <c r="AB135">
        <f t="shared" si="59"/>
        <v>7094.74</v>
      </c>
      <c r="AC135">
        <f>IF(O135&gt;0,(N135-AA135)/2,IF(AD135&gt;=AG135,(((N135*U135)*Z135)-AB135)/2,((((N135*U135)*Z135)-AA135)+(((N135*U135)*Z135)-AB135))/2))</f>
        <v>0</v>
      </c>
      <c r="AD135">
        <f t="shared" si="61"/>
        <v>2009.3333333333333</v>
      </c>
      <c r="AE135">
        <f t="shared" si="62"/>
        <v>2018.0833333333333</v>
      </c>
      <c r="AF135">
        <f t="shared" si="63"/>
        <v>2012.3333333333333</v>
      </c>
      <c r="AG135">
        <f t="shared" si="64"/>
        <v>2017.0833333333333</v>
      </c>
      <c r="AH135">
        <f t="shared" si="65"/>
        <v>-8.3333333333333329E-2</v>
      </c>
      <c r="AJ135">
        <f t="shared" si="66"/>
        <v>0</v>
      </c>
      <c r="AL135">
        <f t="shared" si="67"/>
        <v>0</v>
      </c>
      <c r="AN135">
        <f t="shared" si="68"/>
        <v>0</v>
      </c>
      <c r="AP135">
        <f t="shared" si="69"/>
        <v>0</v>
      </c>
      <c r="AR135">
        <f t="shared" si="70"/>
        <v>0</v>
      </c>
    </row>
    <row r="136" spans="1:44">
      <c r="A136" t="s">
        <v>292</v>
      </c>
      <c r="C136">
        <v>5043</v>
      </c>
      <c r="D136" t="s">
        <v>335</v>
      </c>
      <c r="E136">
        <v>2009</v>
      </c>
      <c r="F136">
        <v>5</v>
      </c>
      <c r="G136">
        <v>0</v>
      </c>
      <c r="I136" t="s">
        <v>78</v>
      </c>
      <c r="J136">
        <v>3</v>
      </c>
      <c r="K136">
        <f t="shared" si="49"/>
        <v>2012</v>
      </c>
      <c r="N136">
        <v>2801.33</v>
      </c>
      <c r="P136">
        <f t="shared" si="50"/>
        <v>2801.33</v>
      </c>
      <c r="Q136">
        <f t="shared" si="51"/>
        <v>77.814722222222215</v>
      </c>
      <c r="R136">
        <f t="shared" si="52"/>
        <v>0</v>
      </c>
      <c r="S136">
        <f t="shared" si="53"/>
        <v>0</v>
      </c>
      <c r="T136">
        <f t="shared" si="54"/>
        <v>0</v>
      </c>
      <c r="U136">
        <v>1</v>
      </c>
      <c r="V136">
        <f t="shared" si="55"/>
        <v>0</v>
      </c>
      <c r="X136">
        <f t="shared" si="56"/>
        <v>2801.33</v>
      </c>
      <c r="Y136">
        <f t="shared" si="57"/>
        <v>2801.33</v>
      </c>
      <c r="Z136">
        <v>1</v>
      </c>
      <c r="AA136">
        <f t="shared" si="58"/>
        <v>2801.33</v>
      </c>
      <c r="AB136">
        <f t="shared" si="59"/>
        <v>2801.33</v>
      </c>
      <c r="AC136">
        <f t="shared" si="60"/>
        <v>0</v>
      </c>
      <c r="AD136">
        <f t="shared" si="61"/>
        <v>2009.3333333333333</v>
      </c>
      <c r="AE136">
        <f t="shared" si="62"/>
        <v>2018.0833333333333</v>
      </c>
      <c r="AF136">
        <f t="shared" si="63"/>
        <v>2012.3333333333333</v>
      </c>
      <c r="AG136">
        <f t="shared" si="64"/>
        <v>2017.0833333333333</v>
      </c>
      <c r="AH136">
        <f t="shared" si="65"/>
        <v>-8.3333333333333329E-2</v>
      </c>
      <c r="AJ136">
        <f t="shared" si="66"/>
        <v>0</v>
      </c>
      <c r="AL136">
        <f t="shared" si="67"/>
        <v>0</v>
      </c>
      <c r="AN136">
        <f t="shared" si="68"/>
        <v>0</v>
      </c>
      <c r="AP136">
        <f t="shared" si="69"/>
        <v>0</v>
      </c>
      <c r="AR136">
        <f t="shared" si="70"/>
        <v>0</v>
      </c>
    </row>
    <row r="137" spans="1:44">
      <c r="A137" t="s">
        <v>311</v>
      </c>
      <c r="C137">
        <v>68612</v>
      </c>
      <c r="D137" t="s">
        <v>325</v>
      </c>
      <c r="E137">
        <v>2009</v>
      </c>
      <c r="F137">
        <v>7</v>
      </c>
      <c r="G137">
        <v>0.33</v>
      </c>
      <c r="I137" t="s">
        <v>78</v>
      </c>
      <c r="J137">
        <v>5</v>
      </c>
      <c r="K137">
        <f t="shared" si="49"/>
        <v>2014</v>
      </c>
      <c r="N137">
        <v>14393.06</v>
      </c>
      <c r="P137">
        <f t="shared" si="50"/>
        <v>9643.3502000000008</v>
      </c>
      <c r="Q137">
        <f t="shared" si="51"/>
        <v>160.72250333333335</v>
      </c>
      <c r="R137">
        <f t="shared" si="52"/>
        <v>0</v>
      </c>
      <c r="S137">
        <f t="shared" si="53"/>
        <v>0</v>
      </c>
      <c r="T137">
        <f t="shared" si="54"/>
        <v>0</v>
      </c>
      <c r="U137">
        <v>1</v>
      </c>
      <c r="V137">
        <f t="shared" si="55"/>
        <v>0</v>
      </c>
      <c r="X137">
        <f t="shared" si="56"/>
        <v>9643.3502000000008</v>
      </c>
      <c r="Y137">
        <f t="shared" si="57"/>
        <v>9643.3502000000008</v>
      </c>
      <c r="Z137">
        <v>1</v>
      </c>
      <c r="AA137">
        <f t="shared" si="58"/>
        <v>9643.3502000000008</v>
      </c>
      <c r="AB137">
        <f t="shared" si="59"/>
        <v>9643.3502000000008</v>
      </c>
      <c r="AC137">
        <f t="shared" si="60"/>
        <v>4749.7097999999987</v>
      </c>
      <c r="AD137">
        <f t="shared" si="61"/>
        <v>2009.5</v>
      </c>
      <c r="AE137">
        <f t="shared" si="62"/>
        <v>2018.0833333333333</v>
      </c>
      <c r="AF137">
        <f t="shared" si="63"/>
        <v>2014.5</v>
      </c>
      <c r="AG137">
        <f t="shared" si="64"/>
        <v>2017.0833333333333</v>
      </c>
      <c r="AH137">
        <f t="shared" si="65"/>
        <v>-8.3333333333333329E-2</v>
      </c>
      <c r="AJ137">
        <f t="shared" si="66"/>
        <v>1583.2365999999995</v>
      </c>
      <c r="AL137">
        <f t="shared" si="67"/>
        <v>1583.2365999999995</v>
      </c>
      <c r="AN137">
        <f t="shared" si="68"/>
        <v>-4749.7097999999987</v>
      </c>
      <c r="AP137">
        <f t="shared" si="69"/>
        <v>0</v>
      </c>
      <c r="AR137">
        <f t="shared" si="70"/>
        <v>0</v>
      </c>
    </row>
    <row r="138" spans="1:44">
      <c r="B138">
        <v>88721</v>
      </c>
      <c r="D138" t="s">
        <v>438</v>
      </c>
      <c r="E138">
        <v>2011</v>
      </c>
      <c r="F138">
        <v>12</v>
      </c>
      <c r="G138">
        <v>0</v>
      </c>
      <c r="I138" t="s">
        <v>78</v>
      </c>
      <c r="J138">
        <v>5</v>
      </c>
      <c r="K138">
        <f t="shared" si="49"/>
        <v>2016</v>
      </c>
      <c r="N138">
        <f>487.65*18</f>
        <v>8777.6999999999989</v>
      </c>
      <c r="P138">
        <f t="shared" si="50"/>
        <v>8777.6999999999989</v>
      </c>
      <c r="Q138">
        <f t="shared" si="51"/>
        <v>146.29499999999999</v>
      </c>
      <c r="R138">
        <f t="shared" si="52"/>
        <v>0</v>
      </c>
      <c r="S138">
        <f t="shared" si="53"/>
        <v>0</v>
      </c>
      <c r="T138">
        <f t="shared" si="54"/>
        <v>0</v>
      </c>
      <c r="U138">
        <v>1</v>
      </c>
      <c r="V138">
        <f t="shared" si="55"/>
        <v>0</v>
      </c>
      <c r="X138">
        <f t="shared" si="56"/>
        <v>8777.6999999999989</v>
      </c>
      <c r="Y138">
        <f t="shared" si="57"/>
        <v>8777.6999999999989</v>
      </c>
      <c r="Z138">
        <v>1</v>
      </c>
      <c r="AA138">
        <f t="shared" si="58"/>
        <v>8777.6999999999989</v>
      </c>
      <c r="AB138">
        <f t="shared" si="59"/>
        <v>8777.6999999999989</v>
      </c>
      <c r="AC138">
        <f t="shared" si="60"/>
        <v>0</v>
      </c>
      <c r="AD138">
        <f t="shared" si="61"/>
        <v>2011.9166666666667</v>
      </c>
      <c r="AE138">
        <f t="shared" si="62"/>
        <v>2018.0833333333333</v>
      </c>
      <c r="AF138">
        <f t="shared" si="63"/>
        <v>2016.9166666666667</v>
      </c>
      <c r="AG138">
        <f t="shared" si="64"/>
        <v>2017.0833333333333</v>
      </c>
      <c r="AH138">
        <f t="shared" si="65"/>
        <v>-8.3333333333333329E-2</v>
      </c>
      <c r="AJ138">
        <f t="shared" si="66"/>
        <v>0</v>
      </c>
      <c r="AL138">
        <f t="shared" si="67"/>
        <v>0</v>
      </c>
      <c r="AN138">
        <f t="shared" si="68"/>
        <v>0</v>
      </c>
      <c r="AP138">
        <f t="shared" si="69"/>
        <v>0</v>
      </c>
      <c r="AR138">
        <f t="shared" si="70"/>
        <v>0</v>
      </c>
    </row>
    <row r="139" spans="1:44">
      <c r="B139">
        <v>108086</v>
      </c>
      <c r="C139">
        <v>3604</v>
      </c>
      <c r="D139" t="s">
        <v>487</v>
      </c>
      <c r="E139">
        <v>2013</v>
      </c>
      <c r="F139">
        <v>10</v>
      </c>
      <c r="G139">
        <v>0</v>
      </c>
      <c r="I139" t="s">
        <v>78</v>
      </c>
      <c r="J139">
        <v>3</v>
      </c>
      <c r="K139">
        <f t="shared" si="49"/>
        <v>2016</v>
      </c>
      <c r="N139">
        <v>23561.96</v>
      </c>
      <c r="P139">
        <f t="shared" si="50"/>
        <v>23561.96</v>
      </c>
      <c r="Q139">
        <f t="shared" si="51"/>
        <v>654.49888888888893</v>
      </c>
      <c r="R139">
        <f t="shared" si="52"/>
        <v>0</v>
      </c>
      <c r="S139">
        <f t="shared" si="53"/>
        <v>0</v>
      </c>
      <c r="T139">
        <f t="shared" si="54"/>
        <v>0</v>
      </c>
      <c r="U139">
        <v>1</v>
      </c>
      <c r="V139">
        <f t="shared" si="55"/>
        <v>0</v>
      </c>
      <c r="X139">
        <f t="shared" si="56"/>
        <v>23561.96</v>
      </c>
      <c r="Y139">
        <f t="shared" si="57"/>
        <v>23561.96</v>
      </c>
      <c r="Z139">
        <v>1</v>
      </c>
      <c r="AA139">
        <f t="shared" si="58"/>
        <v>23561.96</v>
      </c>
      <c r="AB139">
        <f t="shared" si="59"/>
        <v>23561.96</v>
      </c>
      <c r="AC139">
        <f t="shared" si="60"/>
        <v>0</v>
      </c>
      <c r="AD139">
        <f t="shared" si="61"/>
        <v>2013.75</v>
      </c>
      <c r="AE139">
        <f t="shared" si="62"/>
        <v>2018.0833333333333</v>
      </c>
      <c r="AF139">
        <f t="shared" si="63"/>
        <v>2016.75</v>
      </c>
      <c r="AG139">
        <f t="shared" si="64"/>
        <v>2017.0833333333333</v>
      </c>
      <c r="AH139">
        <f t="shared" si="65"/>
        <v>-8.3333333333333329E-2</v>
      </c>
      <c r="AJ139">
        <f t="shared" si="66"/>
        <v>0</v>
      </c>
      <c r="AL139">
        <f t="shared" si="67"/>
        <v>0</v>
      </c>
      <c r="AN139">
        <f t="shared" si="68"/>
        <v>0</v>
      </c>
      <c r="AP139">
        <f t="shared" si="69"/>
        <v>0</v>
      </c>
      <c r="AR139">
        <f t="shared" si="70"/>
        <v>0</v>
      </c>
    </row>
    <row r="140" spans="1:44">
      <c r="B140" t="s">
        <v>593</v>
      </c>
      <c r="D140" t="s">
        <v>589</v>
      </c>
      <c r="E140">
        <v>2016</v>
      </c>
      <c r="F140">
        <v>4</v>
      </c>
      <c r="G140">
        <v>0</v>
      </c>
      <c r="I140" t="s">
        <v>78</v>
      </c>
      <c r="J140">
        <v>1</v>
      </c>
      <c r="K140">
        <f t="shared" si="49"/>
        <v>2017</v>
      </c>
      <c r="N140">
        <f>((14612.94+16641.82+675)/75)*14</f>
        <v>5960.2218666666668</v>
      </c>
      <c r="P140">
        <f t="shared" si="50"/>
        <v>5960.2218666666668</v>
      </c>
      <c r="Q140">
        <f t="shared" si="51"/>
        <v>496.68515555555558</v>
      </c>
      <c r="R140">
        <f t="shared" si="52"/>
        <v>993.37031111156284</v>
      </c>
      <c r="S140">
        <f t="shared" si="53"/>
        <v>0</v>
      </c>
      <c r="T140">
        <f t="shared" si="54"/>
        <v>993.37031111156284</v>
      </c>
      <c r="U140">
        <v>1</v>
      </c>
      <c r="V140">
        <f t="shared" si="55"/>
        <v>993.37031111156284</v>
      </c>
      <c r="X140">
        <f t="shared" si="56"/>
        <v>4966.8515555551039</v>
      </c>
      <c r="Y140">
        <f t="shared" si="57"/>
        <v>4966.8515555551039</v>
      </c>
      <c r="Z140">
        <v>1</v>
      </c>
      <c r="AA140">
        <f t="shared" si="58"/>
        <v>4966.8515555551039</v>
      </c>
      <c r="AB140">
        <f t="shared" si="59"/>
        <v>5960.2218666666668</v>
      </c>
      <c r="AC140">
        <f t="shared" si="60"/>
        <v>496.68515555578142</v>
      </c>
      <c r="AD140">
        <f t="shared" si="61"/>
        <v>2016.25</v>
      </c>
      <c r="AE140">
        <f t="shared" si="62"/>
        <v>2018.0833333333333</v>
      </c>
      <c r="AF140">
        <f t="shared" si="63"/>
        <v>2017.25</v>
      </c>
      <c r="AG140">
        <f t="shared" si="64"/>
        <v>2017.0833333333333</v>
      </c>
      <c r="AH140">
        <f t="shared" si="65"/>
        <v>-8.3333333333333329E-2</v>
      </c>
      <c r="AJ140">
        <f t="shared" si="66"/>
        <v>0</v>
      </c>
      <c r="AL140">
        <f t="shared" si="67"/>
        <v>993.37031111156284</v>
      </c>
      <c r="AN140">
        <f t="shared" si="68"/>
        <v>0</v>
      </c>
      <c r="AP140">
        <f t="shared" si="69"/>
        <v>0</v>
      </c>
      <c r="AR140">
        <f t="shared" si="70"/>
        <v>496.68515555578142</v>
      </c>
    </row>
    <row r="141" spans="1:44">
      <c r="B141" t="s">
        <v>599</v>
      </c>
      <c r="C141">
        <v>5049</v>
      </c>
      <c r="D141" t="s">
        <v>600</v>
      </c>
      <c r="E141">
        <v>2016</v>
      </c>
      <c r="F141">
        <v>11</v>
      </c>
      <c r="G141">
        <v>0</v>
      </c>
      <c r="I141" t="s">
        <v>78</v>
      </c>
      <c r="J141">
        <v>10</v>
      </c>
      <c r="K141">
        <f t="shared" si="49"/>
        <v>2026</v>
      </c>
      <c r="N141">
        <f>230356.84+152.33</f>
        <v>230509.16999999998</v>
      </c>
      <c r="P141">
        <f t="shared" si="50"/>
        <v>230509.16999999998</v>
      </c>
      <c r="Q141">
        <f t="shared" si="51"/>
        <v>1920.9097499999998</v>
      </c>
      <c r="R141">
        <f t="shared" si="52"/>
        <v>23050.916999999998</v>
      </c>
      <c r="S141">
        <f t="shared" si="53"/>
        <v>0</v>
      </c>
      <c r="T141">
        <f t="shared" si="54"/>
        <v>23050.916999999998</v>
      </c>
      <c r="U141">
        <v>1</v>
      </c>
      <c r="V141">
        <f t="shared" si="55"/>
        <v>23050.916999999998</v>
      </c>
      <c r="X141">
        <f t="shared" si="56"/>
        <v>5762.7292499999994</v>
      </c>
      <c r="Y141">
        <f t="shared" si="57"/>
        <v>5762.7292499999994</v>
      </c>
      <c r="Z141">
        <v>1</v>
      </c>
      <c r="AA141">
        <f t="shared" si="58"/>
        <v>5762.7292499999994</v>
      </c>
      <c r="AB141">
        <f t="shared" si="59"/>
        <v>28813.646249999998</v>
      </c>
      <c r="AC141">
        <f t="shared" si="60"/>
        <v>213220.98225</v>
      </c>
      <c r="AD141">
        <f t="shared" si="61"/>
        <v>2016.8333333333333</v>
      </c>
      <c r="AE141">
        <f t="shared" si="62"/>
        <v>2018.0833333333333</v>
      </c>
      <c r="AF141">
        <f t="shared" si="63"/>
        <v>2026.8333333333333</v>
      </c>
      <c r="AG141">
        <f t="shared" si="64"/>
        <v>2017.0833333333333</v>
      </c>
      <c r="AH141">
        <f t="shared" si="65"/>
        <v>-8.3333333333333329E-2</v>
      </c>
      <c r="AJ141">
        <f t="shared" si="66"/>
        <v>0</v>
      </c>
      <c r="AL141">
        <f t="shared" si="67"/>
        <v>23050.916999999998</v>
      </c>
      <c r="AN141">
        <f t="shared" si="68"/>
        <v>0</v>
      </c>
      <c r="AP141">
        <f t="shared" si="69"/>
        <v>0</v>
      </c>
      <c r="AR141">
        <f t="shared" si="70"/>
        <v>213220.98225</v>
      </c>
    </row>
    <row r="142" spans="1:44">
      <c r="B142">
        <v>170000</v>
      </c>
      <c r="C142">
        <v>5048</v>
      </c>
      <c r="D142" t="s">
        <v>598</v>
      </c>
      <c r="E142">
        <v>2016</v>
      </c>
      <c r="F142">
        <v>11</v>
      </c>
      <c r="G142">
        <v>0</v>
      </c>
      <c r="I142" t="s">
        <v>78</v>
      </c>
      <c r="J142">
        <v>10</v>
      </c>
      <c r="K142">
        <f t="shared" si="49"/>
        <v>2026</v>
      </c>
      <c r="N142">
        <v>230356.84</v>
      </c>
      <c r="P142">
        <f t="shared" si="50"/>
        <v>230356.84</v>
      </c>
      <c r="Q142">
        <f t="shared" si="51"/>
        <v>1919.6403333333335</v>
      </c>
      <c r="R142">
        <f t="shared" si="52"/>
        <v>23035.684000000001</v>
      </c>
      <c r="S142">
        <f t="shared" si="53"/>
        <v>0</v>
      </c>
      <c r="T142">
        <f t="shared" si="54"/>
        <v>23035.684000000001</v>
      </c>
      <c r="U142">
        <v>1</v>
      </c>
      <c r="V142">
        <f t="shared" si="55"/>
        <v>23035.684000000001</v>
      </c>
      <c r="X142">
        <f t="shared" si="56"/>
        <v>5758.9210000000003</v>
      </c>
      <c r="Y142">
        <f t="shared" si="57"/>
        <v>5758.9210000000003</v>
      </c>
      <c r="Z142">
        <v>1</v>
      </c>
      <c r="AA142">
        <f t="shared" si="58"/>
        <v>5758.9210000000003</v>
      </c>
      <c r="AB142">
        <f t="shared" si="59"/>
        <v>28794.605000000003</v>
      </c>
      <c r="AC142">
        <f t="shared" si="60"/>
        <v>213080.07699999999</v>
      </c>
      <c r="AD142">
        <f t="shared" si="61"/>
        <v>2016.8333333333333</v>
      </c>
      <c r="AE142">
        <f t="shared" si="62"/>
        <v>2018.0833333333333</v>
      </c>
      <c r="AF142">
        <f t="shared" si="63"/>
        <v>2026.8333333333333</v>
      </c>
      <c r="AG142">
        <f t="shared" si="64"/>
        <v>2017.0833333333333</v>
      </c>
      <c r="AH142">
        <f t="shared" si="65"/>
        <v>-8.3333333333333329E-2</v>
      </c>
      <c r="AJ142">
        <f t="shared" si="66"/>
        <v>0</v>
      </c>
      <c r="AL142">
        <f t="shared" si="67"/>
        <v>23035.684000000001</v>
      </c>
      <c r="AN142">
        <f t="shared" si="68"/>
        <v>0</v>
      </c>
      <c r="AP142">
        <f t="shared" si="69"/>
        <v>0</v>
      </c>
      <c r="AR142">
        <f t="shared" si="70"/>
        <v>213080.07699999999</v>
      </c>
    </row>
    <row r="143" spans="1:44">
      <c r="B143" t="s">
        <v>601</v>
      </c>
      <c r="C143">
        <v>5047</v>
      </c>
      <c r="D143" t="s">
        <v>600</v>
      </c>
      <c r="E143">
        <v>2016</v>
      </c>
      <c r="F143">
        <v>11</v>
      </c>
      <c r="G143">
        <v>0</v>
      </c>
      <c r="I143" t="s">
        <v>78</v>
      </c>
      <c r="J143">
        <v>10</v>
      </c>
      <c r="K143">
        <f t="shared" si="49"/>
        <v>2026</v>
      </c>
      <c r="N143">
        <f>230356.84+152.33</f>
        <v>230509.16999999998</v>
      </c>
      <c r="P143">
        <f t="shared" si="50"/>
        <v>230509.16999999998</v>
      </c>
      <c r="Q143">
        <f t="shared" si="51"/>
        <v>1920.9097499999998</v>
      </c>
      <c r="R143">
        <f t="shared" si="52"/>
        <v>23050.916999999998</v>
      </c>
      <c r="S143">
        <f t="shared" si="53"/>
        <v>0</v>
      </c>
      <c r="T143">
        <f t="shared" si="54"/>
        <v>23050.916999999998</v>
      </c>
      <c r="U143">
        <v>1</v>
      </c>
      <c r="V143">
        <f t="shared" si="55"/>
        <v>23050.916999999998</v>
      </c>
      <c r="X143">
        <f t="shared" si="56"/>
        <v>5762.7292499999994</v>
      </c>
      <c r="Y143">
        <f t="shared" si="57"/>
        <v>5762.7292499999994</v>
      </c>
      <c r="Z143">
        <v>1</v>
      </c>
      <c r="AA143">
        <f t="shared" si="58"/>
        <v>5762.7292499999994</v>
      </c>
      <c r="AB143">
        <f t="shared" si="59"/>
        <v>28813.646249999998</v>
      </c>
      <c r="AC143">
        <f t="shared" si="60"/>
        <v>213220.98225</v>
      </c>
      <c r="AD143">
        <f t="shared" si="61"/>
        <v>2016.8333333333333</v>
      </c>
      <c r="AE143">
        <f t="shared" si="62"/>
        <v>2018.0833333333333</v>
      </c>
      <c r="AF143">
        <f t="shared" si="63"/>
        <v>2026.8333333333333</v>
      </c>
      <c r="AG143">
        <f t="shared" si="64"/>
        <v>2017.0833333333333</v>
      </c>
      <c r="AH143">
        <f t="shared" si="65"/>
        <v>-8.3333333333333329E-2</v>
      </c>
      <c r="AJ143">
        <f t="shared" si="66"/>
        <v>0</v>
      </c>
      <c r="AL143">
        <f t="shared" si="67"/>
        <v>23050.916999999998</v>
      </c>
      <c r="AN143">
        <f t="shared" si="68"/>
        <v>0</v>
      </c>
      <c r="AP143">
        <f t="shared" si="69"/>
        <v>0</v>
      </c>
      <c r="AR143">
        <f t="shared" si="70"/>
        <v>213220.98225</v>
      </c>
    </row>
    <row r="145" spans="1:44">
      <c r="C145">
        <v>18</v>
      </c>
      <c r="D145" t="s">
        <v>405</v>
      </c>
      <c r="N145">
        <f>SUM(N119:N144)</f>
        <v>2548840.2618666664</v>
      </c>
      <c r="P145">
        <f>SUM(P119:P144)</f>
        <v>2183565.2180666672</v>
      </c>
      <c r="Q145">
        <f>SUM(Q119:Q144)</f>
        <v>24608.199452539677</v>
      </c>
      <c r="R145">
        <f>SUM(R119:R144)</f>
        <v>70130.888311111557</v>
      </c>
      <c r="V145">
        <f>SUM(V119:V144)</f>
        <v>70130.888311111557</v>
      </c>
      <c r="AA145">
        <f>SUM(AA119:AA144)</f>
        <v>1508481.0472555559</v>
      </c>
      <c r="AB145">
        <f>SUM(AB119:AB144)</f>
        <v>1578611.935566667</v>
      </c>
      <c r="AC145">
        <f>SUM(AC119:AC144)</f>
        <v>1005293.7704555559</v>
      </c>
      <c r="AJ145">
        <f t="shared" ref="AJ145:AR145" si="71">SUM(AJ119:AJ144)</f>
        <v>121758.34793333332</v>
      </c>
      <c r="AL145">
        <f t="shared" si="71"/>
        <v>191889.23624444488</v>
      </c>
      <c r="AN145">
        <f t="shared" si="71"/>
        <v>-365275.04380000004</v>
      </c>
      <c r="AP145">
        <f t="shared" si="71"/>
        <v>0</v>
      </c>
      <c r="AR145">
        <f t="shared" si="71"/>
        <v>640018.72665555577</v>
      </c>
    </row>
    <row r="148" spans="1:44">
      <c r="D148" t="s">
        <v>387</v>
      </c>
    </row>
    <row r="151" spans="1:44">
      <c r="C151">
        <v>2</v>
      </c>
      <c r="D151" t="s">
        <v>406</v>
      </c>
      <c r="N151">
        <f>SUM(N150:N150)</f>
        <v>0</v>
      </c>
      <c r="P151">
        <f>SUM(P150:P150)</f>
        <v>0</v>
      </c>
      <c r="Q151">
        <f>SUM(Q150:Q150)</f>
        <v>0</v>
      </c>
      <c r="R151">
        <f>SUM(R150:R150)</f>
        <v>0</v>
      </c>
      <c r="V151">
        <f>SUM(V150:V150)</f>
        <v>0</v>
      </c>
      <c r="AA151">
        <f>SUM(AA150:AA150)</f>
        <v>0</v>
      </c>
      <c r="AB151">
        <f>SUM(AB150:AB150)</f>
        <v>0</v>
      </c>
      <c r="AC151">
        <f>SUM(AC150:AC150)</f>
        <v>0</v>
      </c>
    </row>
    <row r="154" spans="1:44">
      <c r="D154" t="s">
        <v>295</v>
      </c>
    </row>
    <row r="156" spans="1:44">
      <c r="A156" t="s">
        <v>284</v>
      </c>
      <c r="C156">
        <v>3558</v>
      </c>
      <c r="D156" t="s">
        <v>379</v>
      </c>
      <c r="E156">
        <v>2000</v>
      </c>
      <c r="F156">
        <v>5</v>
      </c>
      <c r="G156">
        <v>0.2</v>
      </c>
      <c r="I156" t="s">
        <v>78</v>
      </c>
      <c r="J156">
        <v>7</v>
      </c>
      <c r="K156">
        <f t="shared" ref="K156:K162" si="72">E156+J156</f>
        <v>2007</v>
      </c>
      <c r="N156">
        <v>150337.32</v>
      </c>
      <c r="P156">
        <f t="shared" ref="P156:P162" si="73">N156-N156*G156</f>
        <v>120269.856</v>
      </c>
      <c r="Q156">
        <f t="shared" ref="Q156:Q162" si="74">P156/J156/12</f>
        <v>1431.7839999999999</v>
      </c>
      <c r="R156">
        <f t="shared" ref="R156:R161" si="75">IF(O156&gt;0,0,IF(OR(AD156&gt;AE156,AF156&lt;AG156),0,IF(AND(AF156&gt;=AG156,AF156&lt;=AE156),Q156*((AF156-AG156)*12),IF(AND(AG156&lt;=AD156,AE156&gt;=AD156),((AE156-AD156)*12)*Q156,IF(AF156&gt;AE156,12*Q156,0)))))</f>
        <v>0</v>
      </c>
      <c r="S156">
        <f t="shared" ref="S156:S161" si="76">IF(O156=0,0,IF(AND(AH156&gt;=AG156,AH156&lt;=AF156),((AH156-AG156)*12)*Q156,0))</f>
        <v>0</v>
      </c>
      <c r="T156">
        <f t="shared" ref="T156:T161" si="77">IF(S156&gt;0,S156,R156)</f>
        <v>0</v>
      </c>
      <c r="U156">
        <v>1</v>
      </c>
      <c r="V156">
        <f t="shared" ref="V156:V161" si="78">U156*SUM(R156:S156)</f>
        <v>0</v>
      </c>
      <c r="X156">
        <f t="shared" ref="X156:X161" si="79">IF(AD156&gt;AE156,0,IF(AF156&lt;AG156,P156,IF(AND(AF156&gt;=AG156,AF156&lt;=AE156),(P156-T156),IF(AND(AG156&lt;=AD156,AE156&gt;=AD156),0,IF(AF156&gt;AE156,((AG156-AD156)*12)*Q156,0)))))</f>
        <v>120269.856</v>
      </c>
      <c r="Y156">
        <f t="shared" ref="Y156:Y161" si="80">X156*U156</f>
        <v>120269.856</v>
      </c>
      <c r="Z156">
        <v>1</v>
      </c>
      <c r="AA156">
        <f t="shared" ref="AA156:AA161" si="81">Y156*Z156</f>
        <v>120269.856</v>
      </c>
      <c r="AB156">
        <f t="shared" ref="AB156:AB161" si="82">IF(O156&gt;0,0,AA156+V156*Z156)*Z156</f>
        <v>120269.856</v>
      </c>
      <c r="AC156">
        <f t="shared" ref="AC156:AC161" si="83">IF(O156&gt;0,(N156-AA156)/2,IF(AD156&gt;=AG156,(((N156*U156)*Z156)-AB156)/2,((((N156*U156)*Z156)-AA156)+(((N156*U156)*Z156)-AB156))/2))</f>
        <v>30067.464000000007</v>
      </c>
      <c r="AD156">
        <f t="shared" ref="AD156:AD162" si="84">$E156+(($F156-1)/12)</f>
        <v>2000.3333333333333</v>
      </c>
      <c r="AE156">
        <f t="shared" ref="AE156:AE162" si="85">($P$5+1)-($P$2/12)</f>
        <v>2018.0833333333333</v>
      </c>
      <c r="AF156">
        <f t="shared" ref="AF156:AF162" si="86">$K156+(($F156-1)/12)</f>
        <v>2007.3333333333333</v>
      </c>
      <c r="AG156">
        <f t="shared" ref="AG156:AG162" si="87">$P$4+($P$3/12)</f>
        <v>2017.0833333333333</v>
      </c>
      <c r="AH156">
        <f t="shared" ref="AH156:AH162" si="88">$L156+(($M156-1)/12)</f>
        <v>-8.3333333333333329E-2</v>
      </c>
      <c r="AJ156">
        <f>+IF((AF156-AG156)&gt;3,((N156-P156)/(AF156-AG156)),(N156-P156)/3)</f>
        <v>10022.488000000003</v>
      </c>
      <c r="AL156">
        <f>+AJ156+V156</f>
        <v>10022.488000000003</v>
      </c>
      <c r="AN156">
        <f>+IF(AF156&lt;AG156,-AC156,0)</f>
        <v>-30067.464000000007</v>
      </c>
      <c r="AP156">
        <f>IF(AF156&gt;AG156,IF(AJ156&gt;0,IF(O156&gt;0,(N156-AA156)/2,IF(AD156&gt;=AG156,(((N156*U156)*Z156)-(AB156+AJ156))/2,((((N156*U156)*Z156)-AA156)+(((N156*U156)*Z156)-(AB156+AJ156)))/2)),0),0)</f>
        <v>0</v>
      </c>
      <c r="AR156">
        <f>+AC156+AN156+(IF(AP156&gt;0,(AP156-AC156),0))</f>
        <v>0</v>
      </c>
    </row>
    <row r="157" spans="1:44">
      <c r="A157" t="s">
        <v>284</v>
      </c>
      <c r="C157">
        <v>3572</v>
      </c>
      <c r="D157" t="s">
        <v>380</v>
      </c>
      <c r="E157">
        <v>2003</v>
      </c>
      <c r="F157">
        <v>1</v>
      </c>
      <c r="G157">
        <v>0.2</v>
      </c>
      <c r="I157" t="s">
        <v>78</v>
      </c>
      <c r="J157">
        <v>7</v>
      </c>
      <c r="K157">
        <f t="shared" si="72"/>
        <v>2010</v>
      </c>
      <c r="N157">
        <v>160624.26</v>
      </c>
      <c r="P157">
        <f t="shared" si="73"/>
        <v>128499.40800000001</v>
      </c>
      <c r="Q157">
        <f t="shared" si="74"/>
        <v>1529.7548571428572</v>
      </c>
      <c r="R157">
        <f t="shared" si="75"/>
        <v>0</v>
      </c>
      <c r="S157">
        <f t="shared" si="76"/>
        <v>0</v>
      </c>
      <c r="T157">
        <f t="shared" si="77"/>
        <v>0</v>
      </c>
      <c r="U157">
        <v>1</v>
      </c>
      <c r="V157">
        <f t="shared" si="78"/>
        <v>0</v>
      </c>
      <c r="X157">
        <f t="shared" si="79"/>
        <v>128499.40800000001</v>
      </c>
      <c r="Y157">
        <f t="shared" si="80"/>
        <v>128499.40800000001</v>
      </c>
      <c r="Z157">
        <v>1</v>
      </c>
      <c r="AA157">
        <f t="shared" si="81"/>
        <v>128499.40800000001</v>
      </c>
      <c r="AB157">
        <f t="shared" si="82"/>
        <v>128499.40800000001</v>
      </c>
      <c r="AC157">
        <f t="shared" si="83"/>
        <v>32124.851999999999</v>
      </c>
      <c r="AD157">
        <f t="shared" si="84"/>
        <v>2003</v>
      </c>
      <c r="AE157">
        <f t="shared" si="85"/>
        <v>2018.0833333333333</v>
      </c>
      <c r="AF157">
        <f t="shared" si="86"/>
        <v>2010</v>
      </c>
      <c r="AG157">
        <f t="shared" si="87"/>
        <v>2017.0833333333333</v>
      </c>
      <c r="AH157">
        <f t="shared" si="88"/>
        <v>-8.3333333333333329E-2</v>
      </c>
      <c r="AJ157">
        <f t="shared" ref="AJ157:AJ162" si="89">+IF((AF157-AG157)&gt;3,((N157-P157)/(AF157-AG157)),(N157-P157)/3)</f>
        <v>10708.284</v>
      </c>
      <c r="AL157">
        <f t="shared" ref="AL157:AL162" si="90">+AJ157+V157</f>
        <v>10708.284</v>
      </c>
      <c r="AN157">
        <f t="shared" ref="AN157:AN162" si="91">+IF(AF157&lt;AG157,-AC157,0)</f>
        <v>-32124.851999999999</v>
      </c>
      <c r="AP157">
        <f t="shared" ref="AP157:AP162" si="92">IF(AF157&gt;AG157,IF(AJ157&gt;0,IF(O157&gt;0,(N157-AA157)/2,IF(AD157&gt;=AG157,(((N157*U157)*Z157)-(AB157+AJ157))/2,((((N157*U157)*Z157)-AA157)+(((N157*U157)*Z157)-(AB157+AJ157)))/2)),0),0)</f>
        <v>0</v>
      </c>
      <c r="AR157">
        <f t="shared" ref="AR157:AR162" si="93">+AC157+AN157+(IF(AP157&gt;0,(AP157-AC157),0))</f>
        <v>0</v>
      </c>
    </row>
    <row r="158" spans="1:44">
      <c r="A158" t="s">
        <v>284</v>
      </c>
      <c r="C158">
        <v>3605</v>
      </c>
      <c r="D158" t="s">
        <v>381</v>
      </c>
      <c r="E158">
        <v>2007</v>
      </c>
      <c r="F158">
        <v>7</v>
      </c>
      <c r="G158">
        <v>0.2</v>
      </c>
      <c r="I158" t="s">
        <v>78</v>
      </c>
      <c r="J158">
        <v>7</v>
      </c>
      <c r="K158">
        <f t="shared" si="72"/>
        <v>2014</v>
      </c>
      <c r="N158">
        <v>194705.04</v>
      </c>
      <c r="P158">
        <f t="shared" si="73"/>
        <v>155764.03200000001</v>
      </c>
      <c r="Q158">
        <f t="shared" si="74"/>
        <v>1854.3337142857144</v>
      </c>
      <c r="R158">
        <f t="shared" si="75"/>
        <v>0</v>
      </c>
      <c r="S158">
        <f t="shared" si="76"/>
        <v>0</v>
      </c>
      <c r="T158">
        <f t="shared" si="77"/>
        <v>0</v>
      </c>
      <c r="U158">
        <v>1</v>
      </c>
      <c r="V158">
        <f t="shared" si="78"/>
        <v>0</v>
      </c>
      <c r="X158">
        <f t="shared" si="79"/>
        <v>155764.03200000001</v>
      </c>
      <c r="Y158">
        <f t="shared" si="80"/>
        <v>155764.03200000001</v>
      </c>
      <c r="Z158">
        <v>1</v>
      </c>
      <c r="AA158">
        <f t="shared" si="81"/>
        <v>155764.03200000001</v>
      </c>
      <c r="AB158">
        <f t="shared" si="82"/>
        <v>155764.03200000001</v>
      </c>
      <c r="AC158">
        <f t="shared" si="83"/>
        <v>38941.008000000002</v>
      </c>
      <c r="AD158">
        <f t="shared" si="84"/>
        <v>2007.5</v>
      </c>
      <c r="AE158">
        <f t="shared" si="85"/>
        <v>2018.0833333333333</v>
      </c>
      <c r="AF158">
        <f t="shared" si="86"/>
        <v>2014.5</v>
      </c>
      <c r="AG158">
        <f t="shared" si="87"/>
        <v>2017.0833333333333</v>
      </c>
      <c r="AH158">
        <f t="shared" si="88"/>
        <v>-8.3333333333333329E-2</v>
      </c>
      <c r="AJ158">
        <f t="shared" si="89"/>
        <v>12980.336000000001</v>
      </c>
      <c r="AL158">
        <f t="shared" si="90"/>
        <v>12980.336000000001</v>
      </c>
      <c r="AN158">
        <f t="shared" si="91"/>
        <v>-38941.008000000002</v>
      </c>
      <c r="AP158">
        <f t="shared" si="92"/>
        <v>0</v>
      </c>
      <c r="AR158">
        <f t="shared" si="93"/>
        <v>0</v>
      </c>
    </row>
    <row r="159" spans="1:44">
      <c r="A159" t="s">
        <v>284</v>
      </c>
      <c r="C159">
        <v>3558</v>
      </c>
      <c r="D159" t="s">
        <v>339</v>
      </c>
      <c r="E159">
        <v>2009</v>
      </c>
      <c r="F159">
        <v>5</v>
      </c>
      <c r="G159">
        <v>0</v>
      </c>
      <c r="I159" t="s">
        <v>78</v>
      </c>
      <c r="J159">
        <v>3</v>
      </c>
      <c r="K159">
        <f t="shared" si="72"/>
        <v>2012</v>
      </c>
      <c r="N159">
        <v>2685.06</v>
      </c>
      <c r="P159">
        <f t="shared" si="73"/>
        <v>2685.06</v>
      </c>
      <c r="Q159">
        <f t="shared" si="74"/>
        <v>74.584999999999994</v>
      </c>
      <c r="R159">
        <f t="shared" si="75"/>
        <v>0</v>
      </c>
      <c r="S159">
        <f t="shared" si="76"/>
        <v>0</v>
      </c>
      <c r="T159">
        <f t="shared" si="77"/>
        <v>0</v>
      </c>
      <c r="U159">
        <v>1</v>
      </c>
      <c r="V159">
        <f t="shared" si="78"/>
        <v>0</v>
      </c>
      <c r="X159">
        <f t="shared" si="79"/>
        <v>2685.06</v>
      </c>
      <c r="Y159">
        <f t="shared" si="80"/>
        <v>2685.06</v>
      </c>
      <c r="Z159">
        <v>1</v>
      </c>
      <c r="AA159">
        <f t="shared" si="81"/>
        <v>2685.06</v>
      </c>
      <c r="AB159">
        <f t="shared" si="82"/>
        <v>2685.06</v>
      </c>
      <c r="AC159">
        <f t="shared" si="83"/>
        <v>0</v>
      </c>
      <c r="AD159">
        <f t="shared" si="84"/>
        <v>2009.3333333333333</v>
      </c>
      <c r="AE159">
        <f t="shared" si="85"/>
        <v>2018.0833333333333</v>
      </c>
      <c r="AF159">
        <f t="shared" si="86"/>
        <v>2012.3333333333333</v>
      </c>
      <c r="AG159">
        <f t="shared" si="87"/>
        <v>2017.0833333333333</v>
      </c>
      <c r="AH159">
        <f t="shared" si="88"/>
        <v>-8.3333333333333329E-2</v>
      </c>
      <c r="AJ159">
        <f t="shared" si="89"/>
        <v>0</v>
      </c>
      <c r="AL159">
        <f t="shared" si="90"/>
        <v>0</v>
      </c>
      <c r="AN159">
        <f t="shared" si="91"/>
        <v>0</v>
      </c>
      <c r="AP159">
        <f t="shared" si="92"/>
        <v>0</v>
      </c>
      <c r="AR159">
        <f t="shared" si="93"/>
        <v>0</v>
      </c>
    </row>
    <row r="160" spans="1:44">
      <c r="A160" t="s">
        <v>284</v>
      </c>
      <c r="C160">
        <v>3572</v>
      </c>
      <c r="D160" t="s">
        <v>340</v>
      </c>
      <c r="E160">
        <v>2009</v>
      </c>
      <c r="F160">
        <v>5</v>
      </c>
      <c r="G160">
        <v>0</v>
      </c>
      <c r="I160" t="s">
        <v>78</v>
      </c>
      <c r="J160">
        <v>3</v>
      </c>
      <c r="K160">
        <f t="shared" si="72"/>
        <v>2012</v>
      </c>
      <c r="N160">
        <v>3162.58</v>
      </c>
      <c r="P160">
        <f t="shared" si="73"/>
        <v>3162.58</v>
      </c>
      <c r="Q160">
        <f t="shared" si="74"/>
        <v>87.849444444444444</v>
      </c>
      <c r="R160">
        <f t="shared" si="75"/>
        <v>0</v>
      </c>
      <c r="S160">
        <f t="shared" si="76"/>
        <v>0</v>
      </c>
      <c r="T160">
        <f t="shared" si="77"/>
        <v>0</v>
      </c>
      <c r="U160">
        <v>1</v>
      </c>
      <c r="V160">
        <f t="shared" si="78"/>
        <v>0</v>
      </c>
      <c r="X160">
        <f t="shared" si="79"/>
        <v>3162.58</v>
      </c>
      <c r="Y160">
        <f t="shared" si="80"/>
        <v>3162.58</v>
      </c>
      <c r="Z160">
        <v>1</v>
      </c>
      <c r="AA160">
        <f t="shared" si="81"/>
        <v>3162.58</v>
      </c>
      <c r="AB160">
        <f t="shared" si="82"/>
        <v>3162.58</v>
      </c>
      <c r="AC160">
        <f t="shared" si="83"/>
        <v>0</v>
      </c>
      <c r="AD160">
        <f t="shared" si="84"/>
        <v>2009.3333333333333</v>
      </c>
      <c r="AE160">
        <f t="shared" si="85"/>
        <v>2018.0833333333333</v>
      </c>
      <c r="AF160">
        <f t="shared" si="86"/>
        <v>2012.3333333333333</v>
      </c>
      <c r="AG160">
        <f t="shared" si="87"/>
        <v>2017.0833333333333</v>
      </c>
      <c r="AH160">
        <f t="shared" si="88"/>
        <v>-8.3333333333333329E-2</v>
      </c>
      <c r="AJ160">
        <f t="shared" si="89"/>
        <v>0</v>
      </c>
      <c r="AL160">
        <f t="shared" si="90"/>
        <v>0</v>
      </c>
      <c r="AN160">
        <f t="shared" si="91"/>
        <v>0</v>
      </c>
      <c r="AP160">
        <f t="shared" si="92"/>
        <v>0</v>
      </c>
      <c r="AR160">
        <f t="shared" si="93"/>
        <v>0</v>
      </c>
    </row>
    <row r="161" spans="1:44">
      <c r="B161">
        <v>88721</v>
      </c>
      <c r="D161" t="s">
        <v>440</v>
      </c>
      <c r="E161">
        <v>2011</v>
      </c>
      <c r="F161">
        <v>12</v>
      </c>
      <c r="G161">
        <v>0</v>
      </c>
      <c r="I161" t="s">
        <v>78</v>
      </c>
      <c r="J161">
        <v>5</v>
      </c>
      <c r="K161">
        <f t="shared" si="72"/>
        <v>2016</v>
      </c>
      <c r="N161">
        <f>487.65*3</f>
        <v>1462.9499999999998</v>
      </c>
      <c r="P161">
        <f t="shared" si="73"/>
        <v>1462.9499999999998</v>
      </c>
      <c r="Q161">
        <f t="shared" si="74"/>
        <v>24.382499999999997</v>
      </c>
      <c r="R161">
        <f t="shared" si="75"/>
        <v>0</v>
      </c>
      <c r="S161">
        <f t="shared" si="76"/>
        <v>0</v>
      </c>
      <c r="T161">
        <f t="shared" si="77"/>
        <v>0</v>
      </c>
      <c r="U161">
        <v>1</v>
      </c>
      <c r="V161">
        <f t="shared" si="78"/>
        <v>0</v>
      </c>
      <c r="X161">
        <f t="shared" si="79"/>
        <v>1462.9499999999998</v>
      </c>
      <c r="Y161">
        <f t="shared" si="80"/>
        <v>1462.9499999999998</v>
      </c>
      <c r="Z161">
        <v>1</v>
      </c>
      <c r="AA161">
        <f t="shared" si="81"/>
        <v>1462.9499999999998</v>
      </c>
      <c r="AB161">
        <f t="shared" si="82"/>
        <v>1462.9499999999998</v>
      </c>
      <c r="AC161">
        <f t="shared" si="83"/>
        <v>0</v>
      </c>
      <c r="AD161">
        <f t="shared" si="84"/>
        <v>2011.9166666666667</v>
      </c>
      <c r="AE161">
        <f t="shared" si="85"/>
        <v>2018.0833333333333</v>
      </c>
      <c r="AF161">
        <f t="shared" si="86"/>
        <v>2016.9166666666667</v>
      </c>
      <c r="AG161">
        <f t="shared" si="87"/>
        <v>2017.0833333333333</v>
      </c>
      <c r="AH161">
        <f t="shared" si="88"/>
        <v>-8.3333333333333329E-2</v>
      </c>
      <c r="AJ161">
        <f t="shared" si="89"/>
        <v>0</v>
      </c>
      <c r="AL161">
        <f t="shared" si="90"/>
        <v>0</v>
      </c>
      <c r="AN161">
        <f t="shared" si="91"/>
        <v>0</v>
      </c>
      <c r="AP161">
        <f t="shared" si="92"/>
        <v>0</v>
      </c>
      <c r="AR161">
        <f t="shared" si="93"/>
        <v>0</v>
      </c>
    </row>
    <row r="162" spans="1:44">
      <c r="B162" t="s">
        <v>593</v>
      </c>
      <c r="D162" t="s">
        <v>590</v>
      </c>
      <c r="E162">
        <v>2016</v>
      </c>
      <c r="F162">
        <v>4</v>
      </c>
      <c r="G162">
        <v>0</v>
      </c>
      <c r="I162" t="s">
        <v>78</v>
      </c>
      <c r="J162">
        <v>1</v>
      </c>
      <c r="K162">
        <f t="shared" si="72"/>
        <v>2017</v>
      </c>
      <c r="N162">
        <f>((14612.94+16641.82+675)/75)*3</f>
        <v>1277.1904</v>
      </c>
      <c r="P162">
        <f t="shared" si="73"/>
        <v>1277.1904</v>
      </c>
      <c r="Q162">
        <f t="shared" si="74"/>
        <v>106.43253333333332</v>
      </c>
      <c r="R162">
        <f>IF(O162&gt;0,0,IF(OR(AD162&gt;AE162,AF162&lt;AG162),0,IF(AND(AF162&gt;=AG162,AF162&lt;=AE162),Q162*((AF162-AG162)*12),IF(AND(AG162&lt;=AD162,AE162&gt;=AD162),((AE162-AD162)*12)*Q162,IF(AF162&gt;AE162,12*Q162,0)))))</f>
        <v>212.86506666676345</v>
      </c>
      <c r="S162">
        <f>IF(O162=0,0,IF(AND(AH162&gt;=AG162,AH162&lt;=AF162),((AH162-AG162)*12)*Q162,0))</f>
        <v>0</v>
      </c>
      <c r="T162">
        <f>IF(S162&gt;0,S162,R162)</f>
        <v>212.86506666676345</v>
      </c>
      <c r="U162">
        <v>1</v>
      </c>
      <c r="V162">
        <f>U162*SUM(R162:S162)</f>
        <v>212.86506666676345</v>
      </c>
      <c r="X162">
        <f>IF(AD162&gt;AE162,0,IF(AF162&lt;AG162,P162,IF(AND(AF162&gt;=AG162,AF162&lt;=AE162),(P162-T162),IF(AND(AG162&lt;=AD162,AE162&gt;=AD162),0,IF(AF162&gt;AE162,((AG162-AD162)*12)*Q162,0)))))</f>
        <v>1064.3253333332366</v>
      </c>
      <c r="Y162">
        <f>X162*U162</f>
        <v>1064.3253333332366</v>
      </c>
      <c r="Z162">
        <v>1</v>
      </c>
      <c r="AA162">
        <f>Y162*Z162</f>
        <v>1064.3253333332366</v>
      </c>
      <c r="AB162">
        <f>IF(O162&gt;0,0,AA162+V162*Z162)*Z162</f>
        <v>1277.1904</v>
      </c>
      <c r="AC162">
        <f>IF(O162&gt;0,(N162-AA162)/2,IF(AD162&gt;=AG162,(((N162*U162)*Z162)-AB162)/2,((((N162*U162)*Z162)-AA162)+(((N162*U162)*Z162)-AB162))/2))</f>
        <v>106.43253333338168</v>
      </c>
      <c r="AD162">
        <f t="shared" si="84"/>
        <v>2016.25</v>
      </c>
      <c r="AE162">
        <f t="shared" si="85"/>
        <v>2018.0833333333333</v>
      </c>
      <c r="AF162">
        <f t="shared" si="86"/>
        <v>2017.25</v>
      </c>
      <c r="AG162">
        <f t="shared" si="87"/>
        <v>2017.0833333333333</v>
      </c>
      <c r="AH162">
        <f t="shared" si="88"/>
        <v>-8.3333333333333329E-2</v>
      </c>
      <c r="AJ162">
        <f t="shared" si="89"/>
        <v>0</v>
      </c>
      <c r="AL162">
        <f t="shared" si="90"/>
        <v>212.86506666676345</v>
      </c>
      <c r="AN162">
        <f t="shared" si="91"/>
        <v>0</v>
      </c>
      <c r="AP162">
        <f t="shared" si="92"/>
        <v>0</v>
      </c>
      <c r="AR162">
        <f t="shared" si="93"/>
        <v>106.43253333338168</v>
      </c>
    </row>
    <row r="164" spans="1:44">
      <c r="C164">
        <v>3</v>
      </c>
      <c r="D164" t="s">
        <v>277</v>
      </c>
      <c r="N164">
        <f>SUM(N156:N163)</f>
        <v>514254.40040000004</v>
      </c>
      <c r="P164">
        <f>SUM(P156:P163)</f>
        <v>413121.07640000008</v>
      </c>
      <c r="Q164">
        <f>SUM(Q156:Q163)</f>
        <v>5109.1220492063494</v>
      </c>
      <c r="R164">
        <f>SUM(R156:R163)</f>
        <v>212.86506666676345</v>
      </c>
      <c r="V164">
        <f>SUM(V156:V163)</f>
        <v>212.86506666676345</v>
      </c>
      <c r="AA164">
        <f>SUM(AA156:AA163)</f>
        <v>412908.21133333328</v>
      </c>
      <c r="AB164">
        <f>SUM(AB156:AB163)</f>
        <v>413121.07640000008</v>
      </c>
      <c r="AC164">
        <f>SUM(AC156:AC163)</f>
        <v>101239.75653333339</v>
      </c>
      <c r="AJ164">
        <f t="shared" ref="AJ164:AR164" si="94">SUM(AJ156:AJ163)</f>
        <v>33711.108000000007</v>
      </c>
      <c r="AL164">
        <f t="shared" si="94"/>
        <v>33923.973066666767</v>
      </c>
      <c r="AN164">
        <f t="shared" si="94"/>
        <v>-101133.32400000001</v>
      </c>
      <c r="AP164">
        <f t="shared" si="94"/>
        <v>0</v>
      </c>
      <c r="AR164">
        <f t="shared" si="94"/>
        <v>106.43253333338168</v>
      </c>
    </row>
    <row r="167" spans="1:44">
      <c r="D167" t="s">
        <v>531</v>
      </c>
    </row>
    <row r="169" spans="1:44">
      <c r="A169">
        <v>114264</v>
      </c>
      <c r="B169" t="s">
        <v>285</v>
      </c>
      <c r="C169">
        <v>1559</v>
      </c>
      <c r="D169" t="s">
        <v>532</v>
      </c>
      <c r="E169">
        <v>1992</v>
      </c>
      <c r="F169">
        <v>2</v>
      </c>
      <c r="G169">
        <v>0.33</v>
      </c>
      <c r="I169" t="s">
        <v>78</v>
      </c>
      <c r="J169">
        <v>5</v>
      </c>
      <c r="K169">
        <f t="shared" ref="K169:K185" si="95">E169+J169</f>
        <v>1997</v>
      </c>
      <c r="N169">
        <v>37870</v>
      </c>
      <c r="P169">
        <f t="shared" ref="P169:P185" si="96">N169-N169*G169</f>
        <v>25372.9</v>
      </c>
      <c r="Q169">
        <f t="shared" ref="Q169:Q185" si="97">P169/J169/12</f>
        <v>422.88166666666666</v>
      </c>
      <c r="R169">
        <f t="shared" ref="R169:R184" si="98">IF(O169&gt;0,0,IF(OR(AD169&gt;AE169,AF169&lt;AG169),0,IF(AND(AF169&gt;=AG169,AF169&lt;=AE169),Q169*((AF169-AG169)*12),IF(AND(AG169&lt;=AD169,AE169&gt;=AD169),((AE169-AD169)*12)*Q169,IF(AF169&gt;AE169,12*Q169,0)))))</f>
        <v>0</v>
      </c>
      <c r="S169">
        <f t="shared" ref="S169:S184" si="99">IF(O169=0,0,IF(AND(AH169&gt;=AG169,AH169&lt;=AF169),((AH169-AG169)*12)*Q169,0))</f>
        <v>0</v>
      </c>
      <c r="T169">
        <f t="shared" ref="T169:T184" si="100">IF(S169&gt;0,S169,R169)</f>
        <v>0</v>
      </c>
      <c r="U169">
        <v>1</v>
      </c>
      <c r="V169">
        <f t="shared" ref="V169:V184" si="101">U169*SUM(R169:S169)</f>
        <v>0</v>
      </c>
      <c r="X169">
        <f t="shared" ref="X169:X184" si="102">IF(AD169&gt;AE169,0,IF(AF169&lt;AG169,P169,IF(AND(AF169&gt;=AG169,AF169&lt;=AE169),(P169-T169),IF(AND(AG169&lt;=AD169,AE169&gt;=AD169),0,IF(AF169&gt;AE169,((AG169-AD169)*12)*Q169,0)))))</f>
        <v>25372.9</v>
      </c>
      <c r="Y169">
        <f t="shared" ref="Y169:Y184" si="103">X169*U169</f>
        <v>25372.9</v>
      </c>
      <c r="Z169">
        <v>1</v>
      </c>
      <c r="AA169">
        <f t="shared" ref="AA169:AA184" si="104">Y169*Z169</f>
        <v>25372.9</v>
      </c>
      <c r="AB169">
        <f t="shared" ref="AB169:AB184" si="105">IF(O169&gt;0,0,AA169+V169*Z169)*Z169</f>
        <v>25372.9</v>
      </c>
      <c r="AC169">
        <f t="shared" ref="AC169:AC184" si="106">IF(O169&gt;0,(N169-AA169)/2,IF(AD169&gt;=AG169,(((N169*U169)*Z169)-AB169)/2,((((N169*U169)*Z169)-AA169)+(((N169*U169)*Z169)-AB169))/2))</f>
        <v>12497.099999999999</v>
      </c>
      <c r="AD169">
        <f t="shared" ref="AD169:AD185" si="107">$E169+(($F169-1)/12)</f>
        <v>1992.0833333333333</v>
      </c>
      <c r="AE169">
        <f t="shared" ref="AE169:AE185" si="108">($P$5+1)-($P$2/12)</f>
        <v>2018.0833333333333</v>
      </c>
      <c r="AF169">
        <f t="shared" ref="AF169:AF185" si="109">$K169+(($F169-1)/12)</f>
        <v>1997.0833333333333</v>
      </c>
      <c r="AG169">
        <f t="shared" ref="AG169:AG185" si="110">$P$4+($P$3/12)</f>
        <v>2017.0833333333333</v>
      </c>
      <c r="AH169">
        <f t="shared" ref="AH169:AH185" si="111">$L169+(($M169-1)/12)</f>
        <v>-8.3333333333333329E-2</v>
      </c>
      <c r="AJ169">
        <f>+IF((AF169-AG169)&gt;3,((N169-P169)/(AF169-AG169)),(N169-P169)/3)</f>
        <v>4165.7</v>
      </c>
      <c r="AL169">
        <f>+AJ169+V169</f>
        <v>4165.7</v>
      </c>
      <c r="AN169">
        <f>+IF(AF169&lt;AG169,-AC169,0)</f>
        <v>-12497.099999999999</v>
      </c>
      <c r="AP169">
        <f>IF(AF169&gt;AG169,IF(AJ169&gt;0,IF(O169&gt;0,(N169-AA169)/2,IF(AD169&gt;=AG169,(((N169*U169)*Z169)-(AB169+AJ169))/2,((((N169*U169)*Z169)-AA169)+(((N169*U169)*Z169)-(AB169+AJ169)))/2)),0),0)</f>
        <v>0</v>
      </c>
      <c r="AR169">
        <f>+AC169+AN169+(IF(AP169&gt;0,(AP169-AC169),0))</f>
        <v>0</v>
      </c>
    </row>
    <row r="170" spans="1:44">
      <c r="B170" t="s">
        <v>285</v>
      </c>
      <c r="C170">
        <v>1559</v>
      </c>
      <c r="D170" t="s">
        <v>533</v>
      </c>
      <c r="E170">
        <v>1992</v>
      </c>
      <c r="F170">
        <v>2</v>
      </c>
      <c r="G170">
        <v>0.33</v>
      </c>
      <c r="I170" t="s">
        <v>78</v>
      </c>
      <c r="J170">
        <v>5</v>
      </c>
      <c r="K170">
        <f t="shared" si="95"/>
        <v>1997</v>
      </c>
      <c r="N170">
        <v>980</v>
      </c>
      <c r="P170">
        <f t="shared" si="96"/>
        <v>656.59999999999991</v>
      </c>
      <c r="Q170">
        <f t="shared" si="97"/>
        <v>10.943333333333333</v>
      </c>
      <c r="R170">
        <f t="shared" si="98"/>
        <v>0</v>
      </c>
      <c r="S170">
        <f t="shared" si="99"/>
        <v>0</v>
      </c>
      <c r="T170">
        <f t="shared" si="100"/>
        <v>0</v>
      </c>
      <c r="U170">
        <v>1</v>
      </c>
      <c r="V170">
        <f t="shared" si="101"/>
        <v>0</v>
      </c>
      <c r="X170">
        <f t="shared" si="102"/>
        <v>656.59999999999991</v>
      </c>
      <c r="Y170">
        <f t="shared" si="103"/>
        <v>656.59999999999991</v>
      </c>
      <c r="Z170">
        <v>1</v>
      </c>
      <c r="AA170">
        <f t="shared" si="104"/>
        <v>656.59999999999991</v>
      </c>
      <c r="AB170">
        <f t="shared" si="105"/>
        <v>656.59999999999991</v>
      </c>
      <c r="AC170">
        <f t="shared" si="106"/>
        <v>323.40000000000009</v>
      </c>
      <c r="AD170">
        <f t="shared" si="107"/>
        <v>1992.0833333333333</v>
      </c>
      <c r="AE170">
        <f t="shared" si="108"/>
        <v>2018.0833333333333</v>
      </c>
      <c r="AF170">
        <f t="shared" si="109"/>
        <v>1997.0833333333333</v>
      </c>
      <c r="AG170">
        <f t="shared" si="110"/>
        <v>2017.0833333333333</v>
      </c>
      <c r="AH170">
        <f t="shared" si="111"/>
        <v>-8.3333333333333329E-2</v>
      </c>
      <c r="AJ170">
        <f t="shared" ref="AJ170:AJ185" si="112">+IF((AF170-AG170)&gt;3,((N170-P170)/(AF170-AG170)),(N170-P170)/3)</f>
        <v>107.80000000000003</v>
      </c>
      <c r="AL170">
        <f t="shared" ref="AL170:AL185" si="113">+AJ170+V170</f>
        <v>107.80000000000003</v>
      </c>
      <c r="AN170">
        <f t="shared" ref="AN170:AN185" si="114">+IF(AF170&lt;AG170,-AC170,0)</f>
        <v>-323.40000000000009</v>
      </c>
      <c r="AP170">
        <f t="shared" ref="AP170:AP185" si="115">IF(AF170&gt;AG170,IF(AJ170&gt;0,IF(O170&gt;0,(N170-AA170)/2,IF(AD170&gt;=AG170,(((N170*U170)*Z170)-(AB170+AJ170))/2,((((N170*U170)*Z170)-AA170)+(((N170*U170)*Z170)-(AB170+AJ170)))/2)),0),0)</f>
        <v>0</v>
      </c>
      <c r="AR170">
        <f t="shared" ref="AR170:AR185" si="116">+AC170+AN170+(IF(AP170&gt;0,(AP170-AC170),0))</f>
        <v>0</v>
      </c>
    </row>
    <row r="171" spans="1:44">
      <c r="B171" t="s">
        <v>285</v>
      </c>
      <c r="C171">
        <v>1559</v>
      </c>
      <c r="D171" t="s">
        <v>534</v>
      </c>
      <c r="E171">
        <v>1992</v>
      </c>
      <c r="F171">
        <v>5</v>
      </c>
      <c r="G171">
        <v>0.33</v>
      </c>
      <c r="I171" t="s">
        <v>78</v>
      </c>
      <c r="J171">
        <v>5</v>
      </c>
      <c r="K171">
        <f t="shared" si="95"/>
        <v>1997</v>
      </c>
      <c r="N171">
        <v>426</v>
      </c>
      <c r="P171">
        <f t="shared" si="96"/>
        <v>285.41999999999996</v>
      </c>
      <c r="Q171">
        <f t="shared" si="97"/>
        <v>4.7569999999999988</v>
      </c>
      <c r="R171">
        <f t="shared" si="98"/>
        <v>0</v>
      </c>
      <c r="S171">
        <f t="shared" si="99"/>
        <v>0</v>
      </c>
      <c r="T171">
        <f t="shared" si="100"/>
        <v>0</v>
      </c>
      <c r="U171">
        <v>1</v>
      </c>
      <c r="V171">
        <f t="shared" si="101"/>
        <v>0</v>
      </c>
      <c r="X171">
        <f t="shared" si="102"/>
        <v>285.41999999999996</v>
      </c>
      <c r="Y171">
        <f t="shared" si="103"/>
        <v>285.41999999999996</v>
      </c>
      <c r="Z171">
        <v>1</v>
      </c>
      <c r="AA171">
        <f t="shared" si="104"/>
        <v>285.41999999999996</v>
      </c>
      <c r="AB171">
        <f t="shared" si="105"/>
        <v>285.41999999999996</v>
      </c>
      <c r="AC171">
        <f t="shared" si="106"/>
        <v>140.58000000000004</v>
      </c>
      <c r="AD171">
        <f t="shared" si="107"/>
        <v>1992.3333333333333</v>
      </c>
      <c r="AE171">
        <f t="shared" si="108"/>
        <v>2018.0833333333333</v>
      </c>
      <c r="AF171">
        <f t="shared" si="109"/>
        <v>1997.3333333333333</v>
      </c>
      <c r="AG171">
        <f t="shared" si="110"/>
        <v>2017.0833333333333</v>
      </c>
      <c r="AH171">
        <f t="shared" si="111"/>
        <v>-8.3333333333333329E-2</v>
      </c>
      <c r="AJ171">
        <f t="shared" si="112"/>
        <v>46.860000000000014</v>
      </c>
      <c r="AL171">
        <f t="shared" si="113"/>
        <v>46.860000000000014</v>
      </c>
      <c r="AN171">
        <f t="shared" si="114"/>
        <v>-140.58000000000004</v>
      </c>
      <c r="AP171">
        <f t="shared" si="115"/>
        <v>0</v>
      </c>
      <c r="AR171">
        <f t="shared" si="116"/>
        <v>0</v>
      </c>
    </row>
    <row r="172" spans="1:44">
      <c r="A172">
        <v>114277</v>
      </c>
      <c r="B172" t="s">
        <v>283</v>
      </c>
      <c r="C172">
        <v>4512</v>
      </c>
      <c r="D172" t="s">
        <v>536</v>
      </c>
      <c r="E172">
        <v>1998</v>
      </c>
      <c r="F172">
        <v>2</v>
      </c>
      <c r="G172">
        <v>0.33</v>
      </c>
      <c r="I172" t="s">
        <v>78</v>
      </c>
      <c r="J172">
        <v>5</v>
      </c>
      <c r="K172">
        <f t="shared" si="95"/>
        <v>2003</v>
      </c>
      <c r="N172">
        <v>25000</v>
      </c>
      <c r="P172">
        <f t="shared" si="96"/>
        <v>16750</v>
      </c>
      <c r="Q172">
        <f t="shared" si="97"/>
        <v>279.16666666666669</v>
      </c>
      <c r="R172">
        <f t="shared" si="98"/>
        <v>0</v>
      </c>
      <c r="S172">
        <f t="shared" si="99"/>
        <v>0</v>
      </c>
      <c r="T172">
        <f t="shared" si="100"/>
        <v>0</v>
      </c>
      <c r="U172">
        <v>1</v>
      </c>
      <c r="V172">
        <f t="shared" si="101"/>
        <v>0</v>
      </c>
      <c r="X172">
        <f t="shared" si="102"/>
        <v>16750</v>
      </c>
      <c r="Y172">
        <f t="shared" si="103"/>
        <v>16750</v>
      </c>
      <c r="Z172">
        <v>1</v>
      </c>
      <c r="AA172">
        <f t="shared" si="104"/>
        <v>16750</v>
      </c>
      <c r="AB172">
        <f t="shared" si="105"/>
        <v>16750</v>
      </c>
      <c r="AC172">
        <f t="shared" si="106"/>
        <v>8250</v>
      </c>
      <c r="AD172">
        <f t="shared" si="107"/>
        <v>1998.0833333333333</v>
      </c>
      <c r="AE172">
        <f t="shared" si="108"/>
        <v>2018.0833333333333</v>
      </c>
      <c r="AF172">
        <f t="shared" si="109"/>
        <v>2003.0833333333333</v>
      </c>
      <c r="AG172">
        <f t="shared" si="110"/>
        <v>2017.0833333333333</v>
      </c>
      <c r="AH172">
        <f t="shared" si="111"/>
        <v>-8.3333333333333329E-2</v>
      </c>
      <c r="AJ172">
        <f t="shared" si="112"/>
        <v>2750</v>
      </c>
      <c r="AL172">
        <f t="shared" si="113"/>
        <v>2750</v>
      </c>
      <c r="AN172">
        <f t="shared" si="114"/>
        <v>-8250</v>
      </c>
      <c r="AP172">
        <f t="shared" si="115"/>
        <v>0</v>
      </c>
      <c r="AR172">
        <f t="shared" si="116"/>
        <v>0</v>
      </c>
    </row>
    <row r="173" spans="1:44">
      <c r="A173">
        <v>114278</v>
      </c>
      <c r="B173" t="s">
        <v>285</v>
      </c>
      <c r="C173">
        <v>1029</v>
      </c>
      <c r="D173" t="s">
        <v>537</v>
      </c>
      <c r="E173">
        <v>2000</v>
      </c>
      <c r="F173">
        <v>6</v>
      </c>
      <c r="G173">
        <v>0.2</v>
      </c>
      <c r="I173" t="s">
        <v>78</v>
      </c>
      <c r="J173">
        <v>7</v>
      </c>
      <c r="K173">
        <f t="shared" si="95"/>
        <v>2007</v>
      </c>
      <c r="N173">
        <v>95126.41</v>
      </c>
      <c r="P173">
        <f t="shared" si="96"/>
        <v>76101.127999999997</v>
      </c>
      <c r="Q173">
        <f t="shared" si="97"/>
        <v>905.96580952380953</v>
      </c>
      <c r="R173">
        <f t="shared" si="98"/>
        <v>0</v>
      </c>
      <c r="S173">
        <f t="shared" si="99"/>
        <v>0</v>
      </c>
      <c r="T173">
        <f t="shared" si="100"/>
        <v>0</v>
      </c>
      <c r="U173">
        <v>1</v>
      </c>
      <c r="V173">
        <f t="shared" si="101"/>
        <v>0</v>
      </c>
      <c r="X173">
        <f t="shared" si="102"/>
        <v>76101.127999999997</v>
      </c>
      <c r="Y173">
        <f t="shared" si="103"/>
        <v>76101.127999999997</v>
      </c>
      <c r="Z173">
        <v>1</v>
      </c>
      <c r="AA173">
        <f t="shared" si="104"/>
        <v>76101.127999999997</v>
      </c>
      <c r="AB173">
        <f t="shared" si="105"/>
        <v>76101.127999999997</v>
      </c>
      <c r="AC173">
        <f t="shared" si="106"/>
        <v>19025.282000000007</v>
      </c>
      <c r="AD173">
        <f t="shared" si="107"/>
        <v>2000.4166666666667</v>
      </c>
      <c r="AE173">
        <f t="shared" si="108"/>
        <v>2018.0833333333333</v>
      </c>
      <c r="AF173">
        <f t="shared" si="109"/>
        <v>2007.4166666666667</v>
      </c>
      <c r="AG173">
        <f t="shared" si="110"/>
        <v>2017.0833333333333</v>
      </c>
      <c r="AH173">
        <f t="shared" si="111"/>
        <v>-8.3333333333333329E-2</v>
      </c>
      <c r="AJ173">
        <f t="shared" si="112"/>
        <v>6341.7606666666688</v>
      </c>
      <c r="AL173">
        <f t="shared" si="113"/>
        <v>6341.7606666666688</v>
      </c>
      <c r="AN173">
        <f t="shared" si="114"/>
        <v>-19025.282000000007</v>
      </c>
      <c r="AP173">
        <f t="shared" si="115"/>
        <v>0</v>
      </c>
      <c r="AR173">
        <f t="shared" si="116"/>
        <v>0</v>
      </c>
    </row>
    <row r="174" spans="1:44">
      <c r="A174">
        <v>114268</v>
      </c>
      <c r="B174" t="s">
        <v>285</v>
      </c>
      <c r="C174">
        <v>1036</v>
      </c>
      <c r="D174" t="s">
        <v>538</v>
      </c>
      <c r="E174">
        <v>2002</v>
      </c>
      <c r="F174">
        <v>6</v>
      </c>
      <c r="G174">
        <v>0.2</v>
      </c>
      <c r="I174" t="s">
        <v>78</v>
      </c>
      <c r="J174">
        <v>7</v>
      </c>
      <c r="K174">
        <f t="shared" si="95"/>
        <v>2009</v>
      </c>
      <c r="N174">
        <v>101881.5</v>
      </c>
      <c r="P174">
        <f t="shared" si="96"/>
        <v>81505.2</v>
      </c>
      <c r="Q174">
        <f t="shared" si="97"/>
        <v>970.30000000000007</v>
      </c>
      <c r="R174">
        <f t="shared" si="98"/>
        <v>0</v>
      </c>
      <c r="S174">
        <f t="shared" si="99"/>
        <v>0</v>
      </c>
      <c r="T174">
        <f t="shared" si="100"/>
        <v>0</v>
      </c>
      <c r="U174">
        <v>1</v>
      </c>
      <c r="V174">
        <f t="shared" si="101"/>
        <v>0</v>
      </c>
      <c r="X174">
        <f t="shared" si="102"/>
        <v>81505.2</v>
      </c>
      <c r="Y174">
        <f t="shared" si="103"/>
        <v>81505.2</v>
      </c>
      <c r="Z174">
        <v>1</v>
      </c>
      <c r="AA174">
        <f t="shared" si="104"/>
        <v>81505.2</v>
      </c>
      <c r="AB174">
        <f t="shared" si="105"/>
        <v>81505.2</v>
      </c>
      <c r="AC174">
        <f t="shared" si="106"/>
        <v>20376.300000000003</v>
      </c>
      <c r="AD174">
        <f t="shared" si="107"/>
        <v>2002.4166666666667</v>
      </c>
      <c r="AE174">
        <f t="shared" si="108"/>
        <v>2018.0833333333333</v>
      </c>
      <c r="AF174">
        <f t="shared" si="109"/>
        <v>2009.4166666666667</v>
      </c>
      <c r="AG174">
        <f t="shared" si="110"/>
        <v>2017.0833333333333</v>
      </c>
      <c r="AH174">
        <f t="shared" si="111"/>
        <v>-8.3333333333333329E-2</v>
      </c>
      <c r="AJ174">
        <f t="shared" si="112"/>
        <v>6792.1000000000013</v>
      </c>
      <c r="AL174">
        <f t="shared" si="113"/>
        <v>6792.1000000000013</v>
      </c>
      <c r="AN174">
        <f t="shared" si="114"/>
        <v>-20376.300000000003</v>
      </c>
      <c r="AP174">
        <f t="shared" si="115"/>
        <v>0</v>
      </c>
      <c r="AR174">
        <f t="shared" si="116"/>
        <v>0</v>
      </c>
    </row>
    <row r="175" spans="1:44">
      <c r="A175">
        <v>114306</v>
      </c>
      <c r="B175" t="s">
        <v>285</v>
      </c>
      <c r="C175">
        <v>1038</v>
      </c>
      <c r="D175" t="s">
        <v>539</v>
      </c>
      <c r="E175">
        <v>2003</v>
      </c>
      <c r="F175">
        <v>5</v>
      </c>
      <c r="G175">
        <v>0.2</v>
      </c>
      <c r="I175" t="s">
        <v>78</v>
      </c>
      <c r="J175">
        <v>7</v>
      </c>
      <c r="K175">
        <f t="shared" si="95"/>
        <v>2010</v>
      </c>
      <c r="N175">
        <f>98919.95+1403.57+520</f>
        <v>100843.52</v>
      </c>
      <c r="P175">
        <f t="shared" si="96"/>
        <v>80674.816000000006</v>
      </c>
      <c r="Q175">
        <f t="shared" si="97"/>
        <v>960.41447619047631</v>
      </c>
      <c r="R175">
        <f>IF(O175&gt;0,0,IF(OR(AD175&gt;AE175,AF175&lt;AG175),0,IF(AND(AF175&gt;=AG175,AF175&lt;=AE175),Q175*((AF175-AG175)*12),IF(AND(AG175&lt;=AD175,AE175&gt;=AD175),((AE175-AD175)*12)*Q175,IF(AF175&gt;AE175,12*Q175,0)))))</f>
        <v>0</v>
      </c>
      <c r="S175">
        <f>IF(O175=0,0,IF(AND(AH175&gt;=AG175,AH175&lt;=AF175),((AH175-AG175)*12)*Q175,0))</f>
        <v>0</v>
      </c>
      <c r="T175">
        <f>IF(S175&gt;0,S175,R175)</f>
        <v>0</v>
      </c>
      <c r="U175">
        <v>1</v>
      </c>
      <c r="V175">
        <f>U175*SUM(R175:S175)</f>
        <v>0</v>
      </c>
      <c r="X175">
        <f>IF(AD175&gt;AE175,0,IF(AF175&lt;AG175,P175,IF(AND(AF175&gt;=AG175,AF175&lt;=AE175),(P175-T175),IF(AND(AG175&lt;=AD175,AE175&gt;=AD175),0,IF(AF175&gt;AE175,((AG175-AD175)*12)*Q175,0)))))</f>
        <v>80674.816000000006</v>
      </c>
      <c r="Y175">
        <f>X175*U175</f>
        <v>80674.816000000006</v>
      </c>
      <c r="Z175">
        <v>1</v>
      </c>
      <c r="AA175">
        <f>Y175*Z175</f>
        <v>80674.816000000006</v>
      </c>
      <c r="AB175">
        <f>IF(O175&gt;0,0,AA175+V175*Z175)*Z175</f>
        <v>80674.816000000006</v>
      </c>
      <c r="AC175">
        <f>IF(O175&gt;0,(N175-AA175)/2,IF(AD175&gt;=AG175,(((N175*U175)*Z175)-AB175)/2,((((N175*U175)*Z175)-AA175)+(((N175*U175)*Z175)-AB175))/2))</f>
        <v>20168.703999999998</v>
      </c>
      <c r="AD175">
        <f t="shared" si="107"/>
        <v>2003.3333333333333</v>
      </c>
      <c r="AE175">
        <f t="shared" si="108"/>
        <v>2018.0833333333333</v>
      </c>
      <c r="AF175">
        <f t="shared" si="109"/>
        <v>2010.3333333333333</v>
      </c>
      <c r="AG175">
        <f t="shared" si="110"/>
        <v>2017.0833333333333</v>
      </c>
      <c r="AH175">
        <f t="shared" si="111"/>
        <v>-8.3333333333333329E-2</v>
      </c>
      <c r="AJ175">
        <f t="shared" si="112"/>
        <v>6722.9013333333323</v>
      </c>
      <c r="AL175">
        <f t="shared" si="113"/>
        <v>6722.9013333333323</v>
      </c>
      <c r="AN175">
        <f t="shared" si="114"/>
        <v>-20168.703999999998</v>
      </c>
      <c r="AP175">
        <f t="shared" si="115"/>
        <v>0</v>
      </c>
      <c r="AR175">
        <f t="shared" si="116"/>
        <v>0</v>
      </c>
    </row>
    <row r="176" spans="1:44">
      <c r="A176">
        <v>114269</v>
      </c>
      <c r="B176" t="s">
        <v>283</v>
      </c>
      <c r="C176">
        <v>4518</v>
      </c>
      <c r="D176" t="s">
        <v>540</v>
      </c>
      <c r="E176">
        <v>2003</v>
      </c>
      <c r="F176">
        <v>12</v>
      </c>
      <c r="G176">
        <v>0.2</v>
      </c>
      <c r="I176" t="s">
        <v>78</v>
      </c>
      <c r="J176">
        <v>7</v>
      </c>
      <c r="K176">
        <f t="shared" si="95"/>
        <v>2010</v>
      </c>
      <c r="N176">
        <v>71912.5</v>
      </c>
      <c r="P176">
        <f t="shared" si="96"/>
        <v>57530</v>
      </c>
      <c r="Q176">
        <f t="shared" si="97"/>
        <v>684.88095238095241</v>
      </c>
      <c r="R176">
        <f t="shared" si="98"/>
        <v>0</v>
      </c>
      <c r="S176">
        <f t="shared" si="99"/>
        <v>0</v>
      </c>
      <c r="T176">
        <f t="shared" si="100"/>
        <v>0</v>
      </c>
      <c r="U176">
        <v>1</v>
      </c>
      <c r="V176">
        <f t="shared" si="101"/>
        <v>0</v>
      </c>
      <c r="X176">
        <f t="shared" si="102"/>
        <v>57530</v>
      </c>
      <c r="Y176">
        <f t="shared" si="103"/>
        <v>57530</v>
      </c>
      <c r="Z176">
        <v>1</v>
      </c>
      <c r="AA176">
        <f t="shared" si="104"/>
        <v>57530</v>
      </c>
      <c r="AB176">
        <f t="shared" si="105"/>
        <v>57530</v>
      </c>
      <c r="AC176">
        <f t="shared" si="106"/>
        <v>14382.5</v>
      </c>
      <c r="AD176">
        <f t="shared" si="107"/>
        <v>2003.9166666666667</v>
      </c>
      <c r="AE176">
        <f t="shared" si="108"/>
        <v>2018.0833333333333</v>
      </c>
      <c r="AF176">
        <f t="shared" si="109"/>
        <v>2010.9166666666667</v>
      </c>
      <c r="AG176">
        <f t="shared" si="110"/>
        <v>2017.0833333333333</v>
      </c>
      <c r="AH176">
        <f t="shared" si="111"/>
        <v>-8.3333333333333329E-2</v>
      </c>
      <c r="AJ176">
        <f t="shared" si="112"/>
        <v>4794.166666666667</v>
      </c>
      <c r="AL176">
        <f t="shared" si="113"/>
        <v>4794.166666666667</v>
      </c>
      <c r="AN176">
        <f t="shared" si="114"/>
        <v>-14382.5</v>
      </c>
      <c r="AP176">
        <f t="shared" si="115"/>
        <v>0</v>
      </c>
      <c r="AR176">
        <f t="shared" si="116"/>
        <v>0</v>
      </c>
    </row>
    <row r="177" spans="1:44">
      <c r="A177">
        <v>114281</v>
      </c>
      <c r="B177" t="s">
        <v>286</v>
      </c>
      <c r="C177">
        <v>2022</v>
      </c>
      <c r="D177" t="s">
        <v>541</v>
      </c>
      <c r="E177">
        <v>2004</v>
      </c>
      <c r="F177">
        <v>12</v>
      </c>
      <c r="G177">
        <v>0.2</v>
      </c>
      <c r="I177" t="s">
        <v>78</v>
      </c>
      <c r="J177">
        <v>7</v>
      </c>
      <c r="K177">
        <f t="shared" si="95"/>
        <v>2011</v>
      </c>
      <c r="N177">
        <v>181304.22</v>
      </c>
      <c r="P177">
        <f t="shared" si="96"/>
        <v>145043.37599999999</v>
      </c>
      <c r="Q177">
        <f t="shared" si="97"/>
        <v>1726.706857142857</v>
      </c>
      <c r="R177">
        <f t="shared" si="98"/>
        <v>0</v>
      </c>
      <c r="S177">
        <f t="shared" si="99"/>
        <v>0</v>
      </c>
      <c r="T177">
        <f t="shared" si="100"/>
        <v>0</v>
      </c>
      <c r="U177">
        <v>1</v>
      </c>
      <c r="V177">
        <f t="shared" si="101"/>
        <v>0</v>
      </c>
      <c r="X177">
        <f t="shared" si="102"/>
        <v>145043.37599999999</v>
      </c>
      <c r="Y177">
        <f t="shared" si="103"/>
        <v>145043.37599999999</v>
      </c>
      <c r="Z177">
        <v>1</v>
      </c>
      <c r="AA177">
        <f t="shared" si="104"/>
        <v>145043.37599999999</v>
      </c>
      <c r="AB177">
        <f t="shared" si="105"/>
        <v>145043.37599999999</v>
      </c>
      <c r="AC177">
        <f t="shared" si="106"/>
        <v>36260.844000000012</v>
      </c>
      <c r="AD177">
        <f t="shared" si="107"/>
        <v>2004.9166666666667</v>
      </c>
      <c r="AE177">
        <f t="shared" si="108"/>
        <v>2018.0833333333333</v>
      </c>
      <c r="AF177">
        <f t="shared" si="109"/>
        <v>2011.9166666666667</v>
      </c>
      <c r="AG177">
        <f t="shared" si="110"/>
        <v>2017.0833333333333</v>
      </c>
      <c r="AH177">
        <f t="shared" si="111"/>
        <v>-8.3333333333333329E-2</v>
      </c>
      <c r="AJ177">
        <f t="shared" si="112"/>
        <v>12086.948000000004</v>
      </c>
      <c r="AL177">
        <f t="shared" si="113"/>
        <v>12086.948000000004</v>
      </c>
      <c r="AN177">
        <f t="shared" si="114"/>
        <v>-36260.844000000012</v>
      </c>
      <c r="AP177">
        <f t="shared" si="115"/>
        <v>0</v>
      </c>
      <c r="AR177">
        <f t="shared" si="116"/>
        <v>0</v>
      </c>
    </row>
    <row r="178" spans="1:44">
      <c r="A178">
        <v>114303</v>
      </c>
      <c r="B178" t="s">
        <v>285</v>
      </c>
      <c r="C178">
        <v>1014</v>
      </c>
      <c r="D178" t="s">
        <v>542</v>
      </c>
      <c r="E178">
        <v>2008</v>
      </c>
      <c r="F178">
        <v>11</v>
      </c>
      <c r="G178">
        <v>0.33</v>
      </c>
      <c r="I178" t="s">
        <v>78</v>
      </c>
      <c r="J178">
        <v>5</v>
      </c>
      <c r="K178">
        <f t="shared" si="95"/>
        <v>2013</v>
      </c>
      <c r="N178">
        <v>5500</v>
      </c>
      <c r="P178">
        <f t="shared" si="96"/>
        <v>3685</v>
      </c>
      <c r="Q178">
        <f t="shared" si="97"/>
        <v>61.416666666666664</v>
      </c>
      <c r="R178">
        <f t="shared" si="98"/>
        <v>0</v>
      </c>
      <c r="S178">
        <f t="shared" si="99"/>
        <v>0</v>
      </c>
      <c r="T178">
        <f t="shared" si="100"/>
        <v>0</v>
      </c>
      <c r="U178">
        <v>1</v>
      </c>
      <c r="V178">
        <f t="shared" si="101"/>
        <v>0</v>
      </c>
      <c r="X178">
        <f t="shared" si="102"/>
        <v>3685</v>
      </c>
      <c r="Y178">
        <f t="shared" si="103"/>
        <v>3685</v>
      </c>
      <c r="Z178">
        <v>1</v>
      </c>
      <c r="AA178">
        <f t="shared" si="104"/>
        <v>3685</v>
      </c>
      <c r="AB178">
        <f t="shared" si="105"/>
        <v>3685</v>
      </c>
      <c r="AC178">
        <f t="shared" si="106"/>
        <v>1815</v>
      </c>
      <c r="AD178">
        <f t="shared" si="107"/>
        <v>2008.8333333333333</v>
      </c>
      <c r="AE178">
        <f t="shared" si="108"/>
        <v>2018.0833333333333</v>
      </c>
      <c r="AF178">
        <f t="shared" si="109"/>
        <v>2013.8333333333333</v>
      </c>
      <c r="AG178">
        <f t="shared" si="110"/>
        <v>2017.0833333333333</v>
      </c>
      <c r="AH178">
        <f t="shared" si="111"/>
        <v>-8.3333333333333329E-2</v>
      </c>
      <c r="AJ178">
        <f t="shared" si="112"/>
        <v>605</v>
      </c>
      <c r="AL178">
        <f t="shared" si="113"/>
        <v>605</v>
      </c>
      <c r="AN178">
        <f t="shared" si="114"/>
        <v>-1815</v>
      </c>
      <c r="AP178">
        <f t="shared" si="115"/>
        <v>0</v>
      </c>
      <c r="AR178">
        <f t="shared" si="116"/>
        <v>0</v>
      </c>
    </row>
    <row r="179" spans="1:44">
      <c r="A179">
        <v>61159</v>
      </c>
      <c r="B179" t="s">
        <v>543</v>
      </c>
      <c r="C179">
        <v>9576</v>
      </c>
      <c r="D179" t="s">
        <v>563</v>
      </c>
      <c r="E179">
        <v>2008</v>
      </c>
      <c r="F179">
        <v>11</v>
      </c>
      <c r="G179">
        <v>0.33</v>
      </c>
      <c r="I179" t="s">
        <v>78</v>
      </c>
      <c r="J179">
        <v>5</v>
      </c>
      <c r="K179">
        <f t="shared" si="95"/>
        <v>2013</v>
      </c>
      <c r="N179">
        <v>23327</v>
      </c>
      <c r="P179">
        <f t="shared" si="96"/>
        <v>15629.09</v>
      </c>
      <c r="Q179">
        <f t="shared" si="97"/>
        <v>260.48483333333337</v>
      </c>
      <c r="R179">
        <f>IF(O179&gt;0,0,IF(OR(AD179&gt;AE179,AF179&lt;AG179),0,IF(AND(AF179&gt;=AG179,AF179&lt;=AE179),Q179*((AF179-AG179)*12),IF(AND(AG179&lt;=AD179,AE179&gt;=AD179),((AE179-AD179)*12)*Q179,IF(AF179&gt;AE179,12*Q179,0)))))</f>
        <v>0</v>
      </c>
      <c r="S179">
        <f>IF(O179=0,0,IF(AND(AH179&gt;=AG179,AH179&lt;=AF179),((AH179-AG179)*12)*Q179,0))</f>
        <v>0</v>
      </c>
      <c r="T179">
        <f>IF(S179&gt;0,S179,R179)</f>
        <v>0</v>
      </c>
      <c r="U179">
        <v>1</v>
      </c>
      <c r="V179">
        <f>U179*SUM(R179:S179)</f>
        <v>0</v>
      </c>
      <c r="X179">
        <f>IF(AD179&gt;AE179,0,IF(AF179&lt;AG179,P179,IF(AND(AF179&gt;=AG179,AF179&lt;=AE179),(P179-T179),IF(AND(AG179&lt;=AD179,AE179&gt;=AD179),0,IF(AF179&gt;AE179,((AG179-AD179)*12)*Q179,0)))))</f>
        <v>15629.09</v>
      </c>
      <c r="Y179">
        <f>X179*U179</f>
        <v>15629.09</v>
      </c>
      <c r="Z179">
        <v>1</v>
      </c>
      <c r="AA179">
        <f>Y179*Z179</f>
        <v>15629.09</v>
      </c>
      <c r="AB179">
        <f>IF(O179&gt;0,0,AA179+V179*Z179)*Z179</f>
        <v>15629.09</v>
      </c>
      <c r="AC179">
        <f>IF(O179&gt;0,(N179-AA179)/2,IF(AD179&gt;=AG179,(((N179*U179)*Z179)-AB179)/2,((((N179*U179)*Z179)-AA179)+(((N179*U179)*Z179)-AB179))/2))</f>
        <v>7697.91</v>
      </c>
      <c r="AD179">
        <f t="shared" si="107"/>
        <v>2008.8333333333333</v>
      </c>
      <c r="AE179">
        <f t="shared" si="108"/>
        <v>2018.0833333333333</v>
      </c>
      <c r="AF179">
        <f t="shared" si="109"/>
        <v>2013.8333333333333</v>
      </c>
      <c r="AG179">
        <f t="shared" si="110"/>
        <v>2017.0833333333333</v>
      </c>
      <c r="AH179">
        <f t="shared" si="111"/>
        <v>-8.3333333333333329E-2</v>
      </c>
      <c r="AJ179">
        <f t="shared" si="112"/>
        <v>2565.9699999999998</v>
      </c>
      <c r="AL179">
        <f t="shared" si="113"/>
        <v>2565.9699999999998</v>
      </c>
      <c r="AN179">
        <f t="shared" si="114"/>
        <v>-7697.91</v>
      </c>
      <c r="AP179">
        <f t="shared" si="115"/>
        <v>0</v>
      </c>
      <c r="AR179">
        <f t="shared" si="116"/>
        <v>0</v>
      </c>
    </row>
    <row r="180" spans="1:44">
      <c r="A180">
        <v>114279</v>
      </c>
      <c r="B180" t="s">
        <v>285</v>
      </c>
      <c r="C180">
        <v>1029</v>
      </c>
      <c r="D180" t="s">
        <v>544</v>
      </c>
      <c r="E180">
        <v>2009</v>
      </c>
      <c r="F180">
        <v>6</v>
      </c>
      <c r="G180">
        <v>0</v>
      </c>
      <c r="I180" t="s">
        <v>78</v>
      </c>
      <c r="J180">
        <v>3</v>
      </c>
      <c r="K180">
        <f t="shared" si="95"/>
        <v>2012</v>
      </c>
      <c r="N180">
        <v>2915.87</v>
      </c>
      <c r="P180">
        <f t="shared" si="96"/>
        <v>2915.87</v>
      </c>
      <c r="Q180">
        <f t="shared" si="97"/>
        <v>80.996388888888887</v>
      </c>
      <c r="R180">
        <f t="shared" si="98"/>
        <v>0</v>
      </c>
      <c r="S180">
        <f t="shared" si="99"/>
        <v>0</v>
      </c>
      <c r="T180">
        <f t="shared" si="100"/>
        <v>0</v>
      </c>
      <c r="U180">
        <v>1</v>
      </c>
      <c r="V180">
        <f t="shared" si="101"/>
        <v>0</v>
      </c>
      <c r="X180">
        <f t="shared" si="102"/>
        <v>2915.87</v>
      </c>
      <c r="Y180">
        <f t="shared" si="103"/>
        <v>2915.87</v>
      </c>
      <c r="Z180">
        <v>1</v>
      </c>
      <c r="AA180">
        <f t="shared" si="104"/>
        <v>2915.87</v>
      </c>
      <c r="AB180">
        <f t="shared" si="105"/>
        <v>2915.87</v>
      </c>
      <c r="AC180">
        <f t="shared" si="106"/>
        <v>0</v>
      </c>
      <c r="AD180">
        <f t="shared" si="107"/>
        <v>2009.4166666666667</v>
      </c>
      <c r="AE180">
        <f t="shared" si="108"/>
        <v>2018.0833333333333</v>
      </c>
      <c r="AF180">
        <f t="shared" si="109"/>
        <v>2012.4166666666667</v>
      </c>
      <c r="AG180">
        <f t="shared" si="110"/>
        <v>2017.0833333333333</v>
      </c>
      <c r="AH180">
        <f t="shared" si="111"/>
        <v>-8.3333333333333329E-2</v>
      </c>
      <c r="AJ180">
        <f t="shared" si="112"/>
        <v>0</v>
      </c>
      <c r="AL180">
        <f t="shared" si="113"/>
        <v>0</v>
      </c>
      <c r="AN180">
        <f t="shared" si="114"/>
        <v>0</v>
      </c>
      <c r="AP180">
        <f t="shared" si="115"/>
        <v>0</v>
      </c>
      <c r="AR180">
        <f t="shared" si="116"/>
        <v>0</v>
      </c>
    </row>
    <row r="181" spans="1:44">
      <c r="A181">
        <v>114265</v>
      </c>
      <c r="B181" t="s">
        <v>285</v>
      </c>
      <c r="C181">
        <v>1559</v>
      </c>
      <c r="D181" t="s">
        <v>545</v>
      </c>
      <c r="E181">
        <v>2009</v>
      </c>
      <c r="F181">
        <v>6</v>
      </c>
      <c r="G181">
        <v>0</v>
      </c>
      <c r="I181" t="s">
        <v>78</v>
      </c>
      <c r="J181">
        <v>3</v>
      </c>
      <c r="K181">
        <f t="shared" si="95"/>
        <v>2012</v>
      </c>
      <c r="N181">
        <v>10511.07</v>
      </c>
      <c r="P181">
        <f t="shared" si="96"/>
        <v>10511.07</v>
      </c>
      <c r="Q181">
        <f t="shared" si="97"/>
        <v>291.97416666666669</v>
      </c>
      <c r="R181">
        <f t="shared" si="98"/>
        <v>0</v>
      </c>
      <c r="S181">
        <f t="shared" si="99"/>
        <v>0</v>
      </c>
      <c r="T181">
        <f t="shared" si="100"/>
        <v>0</v>
      </c>
      <c r="U181">
        <v>1</v>
      </c>
      <c r="V181">
        <f t="shared" si="101"/>
        <v>0</v>
      </c>
      <c r="X181">
        <f t="shared" si="102"/>
        <v>10511.07</v>
      </c>
      <c r="Y181">
        <f t="shared" si="103"/>
        <v>10511.07</v>
      </c>
      <c r="Z181">
        <v>1</v>
      </c>
      <c r="AA181">
        <f t="shared" si="104"/>
        <v>10511.07</v>
      </c>
      <c r="AB181">
        <f t="shared" si="105"/>
        <v>10511.07</v>
      </c>
      <c r="AC181">
        <f t="shared" si="106"/>
        <v>0</v>
      </c>
      <c r="AD181">
        <f t="shared" si="107"/>
        <v>2009.4166666666667</v>
      </c>
      <c r="AE181">
        <f t="shared" si="108"/>
        <v>2018.0833333333333</v>
      </c>
      <c r="AF181">
        <f t="shared" si="109"/>
        <v>2012.4166666666667</v>
      </c>
      <c r="AG181">
        <f t="shared" si="110"/>
        <v>2017.0833333333333</v>
      </c>
      <c r="AH181">
        <f t="shared" si="111"/>
        <v>-8.3333333333333329E-2</v>
      </c>
      <c r="AJ181">
        <f t="shared" si="112"/>
        <v>0</v>
      </c>
      <c r="AL181">
        <f t="shared" si="113"/>
        <v>0</v>
      </c>
      <c r="AN181">
        <f t="shared" si="114"/>
        <v>0</v>
      </c>
      <c r="AP181">
        <f t="shared" si="115"/>
        <v>0</v>
      </c>
      <c r="AR181">
        <f t="shared" si="116"/>
        <v>0</v>
      </c>
    </row>
    <row r="182" spans="1:44">
      <c r="A182">
        <v>114282</v>
      </c>
      <c r="B182" t="s">
        <v>286</v>
      </c>
      <c r="C182">
        <v>2022</v>
      </c>
      <c r="D182" t="s">
        <v>546</v>
      </c>
      <c r="E182">
        <v>2009</v>
      </c>
      <c r="F182">
        <v>6</v>
      </c>
      <c r="G182">
        <v>0</v>
      </c>
      <c r="I182" t="s">
        <v>78</v>
      </c>
      <c r="J182">
        <v>3</v>
      </c>
      <c r="K182">
        <f t="shared" si="95"/>
        <v>2012</v>
      </c>
      <c r="N182">
        <v>9254.61</v>
      </c>
      <c r="P182">
        <f t="shared" si="96"/>
        <v>9254.61</v>
      </c>
      <c r="Q182">
        <f t="shared" si="97"/>
        <v>257.07250000000005</v>
      </c>
      <c r="R182">
        <f t="shared" si="98"/>
        <v>0</v>
      </c>
      <c r="S182">
        <f t="shared" si="99"/>
        <v>0</v>
      </c>
      <c r="T182">
        <f t="shared" si="100"/>
        <v>0</v>
      </c>
      <c r="U182">
        <v>1</v>
      </c>
      <c r="V182">
        <f t="shared" si="101"/>
        <v>0</v>
      </c>
      <c r="X182">
        <f t="shared" si="102"/>
        <v>9254.61</v>
      </c>
      <c r="Y182">
        <f t="shared" si="103"/>
        <v>9254.61</v>
      </c>
      <c r="Z182">
        <v>1</v>
      </c>
      <c r="AA182">
        <f t="shared" si="104"/>
        <v>9254.61</v>
      </c>
      <c r="AB182">
        <f t="shared" si="105"/>
        <v>9254.61</v>
      </c>
      <c r="AC182">
        <f t="shared" si="106"/>
        <v>0</v>
      </c>
      <c r="AD182">
        <f t="shared" si="107"/>
        <v>2009.4166666666667</v>
      </c>
      <c r="AE182">
        <f t="shared" si="108"/>
        <v>2018.0833333333333</v>
      </c>
      <c r="AF182">
        <f t="shared" si="109"/>
        <v>2012.4166666666667</v>
      </c>
      <c r="AG182">
        <f t="shared" si="110"/>
        <v>2017.0833333333333</v>
      </c>
      <c r="AH182">
        <f t="shared" si="111"/>
        <v>-8.3333333333333329E-2</v>
      </c>
      <c r="AJ182">
        <f t="shared" si="112"/>
        <v>0</v>
      </c>
      <c r="AL182">
        <f t="shared" si="113"/>
        <v>0</v>
      </c>
      <c r="AN182">
        <f t="shared" si="114"/>
        <v>0</v>
      </c>
      <c r="AP182">
        <f t="shared" si="115"/>
        <v>0</v>
      </c>
      <c r="AR182">
        <f t="shared" si="116"/>
        <v>0</v>
      </c>
    </row>
    <row r="183" spans="1:44">
      <c r="B183" t="s">
        <v>311</v>
      </c>
      <c r="C183">
        <v>68613</v>
      </c>
      <c r="D183" t="s">
        <v>324</v>
      </c>
      <c r="E183">
        <v>2009</v>
      </c>
      <c r="F183">
        <v>7</v>
      </c>
      <c r="G183">
        <v>0.33</v>
      </c>
      <c r="I183" t="s">
        <v>78</v>
      </c>
      <c r="J183">
        <v>5</v>
      </c>
      <c r="K183">
        <f t="shared" si="95"/>
        <v>2014</v>
      </c>
      <c r="N183">
        <v>8065.49</v>
      </c>
      <c r="P183">
        <f t="shared" si="96"/>
        <v>5403.8783000000003</v>
      </c>
      <c r="Q183">
        <f t="shared" si="97"/>
        <v>90.064638333333335</v>
      </c>
      <c r="R183">
        <f t="shared" si="98"/>
        <v>0</v>
      </c>
      <c r="S183">
        <f t="shared" si="99"/>
        <v>0</v>
      </c>
      <c r="T183">
        <f t="shared" si="100"/>
        <v>0</v>
      </c>
      <c r="U183">
        <v>1</v>
      </c>
      <c r="V183">
        <f t="shared" si="101"/>
        <v>0</v>
      </c>
      <c r="X183">
        <f t="shared" si="102"/>
        <v>5403.8783000000003</v>
      </c>
      <c r="Y183">
        <f t="shared" si="103"/>
        <v>5403.8783000000003</v>
      </c>
      <c r="Z183">
        <v>1</v>
      </c>
      <c r="AA183">
        <f t="shared" si="104"/>
        <v>5403.8783000000003</v>
      </c>
      <c r="AB183">
        <f t="shared" si="105"/>
        <v>5403.8783000000003</v>
      </c>
      <c r="AC183">
        <f t="shared" si="106"/>
        <v>2661.6116999999995</v>
      </c>
      <c r="AD183">
        <f t="shared" si="107"/>
        <v>2009.5</v>
      </c>
      <c r="AE183">
        <f t="shared" si="108"/>
        <v>2018.0833333333333</v>
      </c>
      <c r="AF183">
        <f t="shared" si="109"/>
        <v>2014.5</v>
      </c>
      <c r="AG183">
        <f t="shared" si="110"/>
        <v>2017.0833333333333</v>
      </c>
      <c r="AH183">
        <f t="shared" si="111"/>
        <v>-8.3333333333333329E-2</v>
      </c>
      <c r="AJ183">
        <f t="shared" si="112"/>
        <v>887.20389999999986</v>
      </c>
      <c r="AL183">
        <f t="shared" si="113"/>
        <v>887.20389999999986</v>
      </c>
      <c r="AN183">
        <f t="shared" si="114"/>
        <v>-2661.6116999999995</v>
      </c>
      <c r="AP183">
        <f t="shared" si="115"/>
        <v>0</v>
      </c>
      <c r="AR183">
        <f t="shared" si="116"/>
        <v>0</v>
      </c>
    </row>
    <row r="184" spans="1:44">
      <c r="A184">
        <v>88722</v>
      </c>
      <c r="D184" t="s">
        <v>547</v>
      </c>
      <c r="E184">
        <v>2011</v>
      </c>
      <c r="F184">
        <v>12</v>
      </c>
      <c r="G184">
        <v>0</v>
      </c>
      <c r="I184" t="s">
        <v>78</v>
      </c>
      <c r="J184">
        <v>5</v>
      </c>
      <c r="K184">
        <f t="shared" si="95"/>
        <v>2016</v>
      </c>
      <c r="N184">
        <f>(487.65*3)+(476.03*13)</f>
        <v>7651.3399999999992</v>
      </c>
      <c r="P184">
        <f t="shared" si="96"/>
        <v>7651.3399999999992</v>
      </c>
      <c r="Q184">
        <f t="shared" si="97"/>
        <v>127.52233333333332</v>
      </c>
      <c r="R184">
        <f t="shared" si="98"/>
        <v>0</v>
      </c>
      <c r="S184">
        <f t="shared" si="99"/>
        <v>0</v>
      </c>
      <c r="T184">
        <f t="shared" si="100"/>
        <v>0</v>
      </c>
      <c r="U184">
        <v>1</v>
      </c>
      <c r="V184">
        <f t="shared" si="101"/>
        <v>0</v>
      </c>
      <c r="X184">
        <f t="shared" si="102"/>
        <v>7651.3399999999992</v>
      </c>
      <c r="Y184">
        <f t="shared" si="103"/>
        <v>7651.3399999999992</v>
      </c>
      <c r="Z184">
        <v>1</v>
      </c>
      <c r="AA184">
        <f t="shared" si="104"/>
        <v>7651.3399999999992</v>
      </c>
      <c r="AB184">
        <f t="shared" si="105"/>
        <v>7651.3399999999992</v>
      </c>
      <c r="AC184">
        <f t="shared" si="106"/>
        <v>0</v>
      </c>
      <c r="AD184">
        <f t="shared" si="107"/>
        <v>2011.9166666666667</v>
      </c>
      <c r="AE184">
        <f t="shared" si="108"/>
        <v>2018.0833333333333</v>
      </c>
      <c r="AF184">
        <f t="shared" si="109"/>
        <v>2016.9166666666667</v>
      </c>
      <c r="AG184">
        <f t="shared" si="110"/>
        <v>2017.0833333333333</v>
      </c>
      <c r="AH184">
        <f t="shared" si="111"/>
        <v>-8.3333333333333329E-2</v>
      </c>
      <c r="AJ184">
        <f t="shared" si="112"/>
        <v>0</v>
      </c>
      <c r="AL184">
        <f t="shared" si="113"/>
        <v>0</v>
      </c>
      <c r="AN184">
        <f t="shared" si="114"/>
        <v>0</v>
      </c>
      <c r="AP184">
        <f t="shared" si="115"/>
        <v>0</v>
      </c>
      <c r="AR184">
        <f t="shared" si="116"/>
        <v>0</v>
      </c>
    </row>
    <row r="185" spans="1:44">
      <c r="B185" t="s">
        <v>593</v>
      </c>
      <c r="D185" t="s">
        <v>591</v>
      </c>
      <c r="E185">
        <v>2016</v>
      </c>
      <c r="F185">
        <v>4</v>
      </c>
      <c r="G185">
        <v>0</v>
      </c>
      <c r="I185" t="s">
        <v>78</v>
      </c>
      <c r="J185">
        <v>1</v>
      </c>
      <c r="K185">
        <f t="shared" si="95"/>
        <v>2017</v>
      </c>
      <c r="N185">
        <f>((14612.94+16641.82+675)/75)*10</f>
        <v>4257.3013333333338</v>
      </c>
      <c r="P185">
        <f t="shared" si="96"/>
        <v>4257.3013333333338</v>
      </c>
      <c r="Q185">
        <f t="shared" si="97"/>
        <v>354.77511111111113</v>
      </c>
      <c r="R185">
        <f>IF(O185&gt;0,0,IF(OR(AD185&gt;AE185,AF185&lt;AG185),0,IF(AND(AF185&gt;=AG185,AF185&lt;=AE185),Q185*((AF185-AG185)*12),IF(AND(AG185&lt;=AD185,AE185&gt;=AD185),((AE185-AD185)*12)*Q185,IF(AF185&gt;AE185,12*Q185,0)))))</f>
        <v>709.5502222225449</v>
      </c>
      <c r="S185">
        <f>IF(O185=0,0,IF(AND(AH185&gt;=AG185,AH185&lt;=AF185),((AH185-AG185)*12)*Q185,0))</f>
        <v>0</v>
      </c>
      <c r="T185">
        <f>IF(S185&gt;0,S185,R185)</f>
        <v>709.5502222225449</v>
      </c>
      <c r="U185">
        <v>1</v>
      </c>
      <c r="V185">
        <f>U185*SUM(R185:S185)</f>
        <v>709.5502222225449</v>
      </c>
      <c r="X185">
        <f>IF(AD185&gt;AE185,0,IF(AF185&lt;AG185,P185,IF(AND(AF185&gt;=AG185,AF185&lt;=AE185),(P185-T185),IF(AND(AG185&lt;=AD185,AE185&gt;=AD185),0,IF(AF185&gt;AE185,((AG185-AD185)*12)*Q185,0)))))</f>
        <v>3547.7511111107888</v>
      </c>
      <c r="Y185">
        <f>X185*U185</f>
        <v>3547.7511111107888</v>
      </c>
      <c r="Z185">
        <v>1</v>
      </c>
      <c r="AA185">
        <f>Y185*Z185</f>
        <v>3547.7511111107888</v>
      </c>
      <c r="AB185">
        <f>IF(O185&gt;0,0,AA185+V185*Z185)*Z185</f>
        <v>4257.3013333333338</v>
      </c>
      <c r="AC185">
        <f>IF(O185&gt;0,(N185-AA185)/2,IF(AD185&gt;=AG185,(((N185*U185)*Z185)-AB185)/2,((((N185*U185)*Z185)-AA185)+(((N185*U185)*Z185)-AB185))/2))</f>
        <v>354.77511111127251</v>
      </c>
      <c r="AD185">
        <f t="shared" si="107"/>
        <v>2016.25</v>
      </c>
      <c r="AE185">
        <f t="shared" si="108"/>
        <v>2018.0833333333333</v>
      </c>
      <c r="AF185">
        <f t="shared" si="109"/>
        <v>2017.25</v>
      </c>
      <c r="AG185">
        <f t="shared" si="110"/>
        <v>2017.0833333333333</v>
      </c>
      <c r="AH185">
        <f t="shared" si="111"/>
        <v>-8.3333333333333329E-2</v>
      </c>
      <c r="AJ185">
        <f t="shared" si="112"/>
        <v>0</v>
      </c>
      <c r="AL185">
        <f t="shared" si="113"/>
        <v>709.5502222225449</v>
      </c>
      <c r="AN185">
        <f t="shared" si="114"/>
        <v>0</v>
      </c>
      <c r="AP185">
        <f t="shared" si="115"/>
        <v>0</v>
      </c>
      <c r="AR185">
        <f t="shared" si="116"/>
        <v>354.77511111127251</v>
      </c>
    </row>
    <row r="187" spans="1:44">
      <c r="C187">
        <v>16</v>
      </c>
      <c r="D187" t="s">
        <v>548</v>
      </c>
      <c r="N187">
        <f>SUM(N169:N186)</f>
        <v>686826.83133333328</v>
      </c>
      <c r="P187">
        <f>SUM(P169:P186)</f>
        <v>543227.59963333339</v>
      </c>
      <c r="Q187">
        <f>SUM(Q169:Q186)</f>
        <v>7490.3234002380959</v>
      </c>
      <c r="R187">
        <f>SUM(R169:R186)</f>
        <v>709.5502222225449</v>
      </c>
      <c r="V187">
        <f>SUM(V169:V186)</f>
        <v>709.5502222225449</v>
      </c>
      <c r="AA187">
        <f>SUM(AA169:AA186)</f>
        <v>542518.04941111081</v>
      </c>
      <c r="AB187">
        <f>SUM(AB169:AB186)</f>
        <v>543227.59963333339</v>
      </c>
      <c r="AC187">
        <f>SUM(AC169:AC186)</f>
        <v>143954.00681111129</v>
      </c>
      <c r="AJ187">
        <f t="shared" ref="AJ187:AR187" si="117">SUM(AJ169:AJ186)</f>
        <v>47866.41056666668</v>
      </c>
      <c r="AL187">
        <f t="shared" si="117"/>
        <v>48575.960788889228</v>
      </c>
      <c r="AN187">
        <f t="shared" si="117"/>
        <v>-143599.23170000003</v>
      </c>
      <c r="AP187">
        <f t="shared" si="117"/>
        <v>0</v>
      </c>
      <c r="AR187">
        <f t="shared" si="117"/>
        <v>354.77511111127251</v>
      </c>
    </row>
    <row r="191" spans="1:44">
      <c r="D191" t="s">
        <v>83</v>
      </c>
      <c r="N191">
        <f>SUM(N164,N151,N145,N114,N77,N187)</f>
        <v>14176346.150000004</v>
      </c>
      <c r="P191">
        <f>SUM(P164,P151,P145,P114,P77,P187)</f>
        <v>11612777.424000001</v>
      </c>
      <c r="Q191">
        <f>SUM(Q164,Q151,Q145,Q114,Q77,Q187)</f>
        <v>142215.23789285714</v>
      </c>
      <c r="R191">
        <f>SUM(R164,R151,R145,R114,R77,R187)</f>
        <v>658071.71987301437</v>
      </c>
      <c r="V191">
        <f>SUM(V164,V151,V145,V114,V77,V187)</f>
        <v>658071.71987301437</v>
      </c>
      <c r="AA191">
        <f>SUM(AA164,AA151,AA145,AA114,AA77,AA187)</f>
        <v>8367272.1217618547</v>
      </c>
      <c r="AB191">
        <f>SUM(AB164,AB151,AB145,AB114,AB77,AB187)</f>
        <v>9025343.8416348696</v>
      </c>
      <c r="AC191">
        <f>SUM(AC164,AC151,AC145,AC114,AC77,AC187)</f>
        <v>5419990.8883016398</v>
      </c>
      <c r="AJ191">
        <f t="shared" ref="AJ191:AR191" si="118">SUM(AJ164,AJ151,AJ145,AJ114,AJ77,AJ187)</f>
        <v>790235.89682289481</v>
      </c>
      <c r="AL191">
        <f t="shared" si="118"/>
        <v>1448307.6166959093</v>
      </c>
      <c r="AN191">
        <f t="shared" si="118"/>
        <v>-1670915.78</v>
      </c>
      <c r="AP191">
        <f t="shared" si="118"/>
        <v>2414925.9901124062</v>
      </c>
      <c r="AR191">
        <f t="shared" si="118"/>
        <v>3632443.123223525</v>
      </c>
    </row>
    <row r="195" spans="1:34">
      <c r="D195" t="s">
        <v>643</v>
      </c>
      <c r="E195">
        <f>+SUMIF($K$1:$K$187,2016,$V$1:$V$187)</f>
        <v>0</v>
      </c>
    </row>
    <row r="196" spans="1:34">
      <c r="D196" t="s">
        <v>644</v>
      </c>
      <c r="E196">
        <f>+SUMIF($K$1:$K$187,2017,$V$1:$V$187)</f>
        <v>24836.981666671105</v>
      </c>
    </row>
    <row r="197" spans="1:34">
      <c r="D197" t="s">
        <v>645</v>
      </c>
      <c r="E197">
        <f>+E195+E196</f>
        <v>24836.981666671105</v>
      </c>
    </row>
    <row r="202" spans="1:34">
      <c r="D202" t="s">
        <v>430</v>
      </c>
    </row>
    <row r="203" spans="1:34">
      <c r="A203" t="s">
        <v>288</v>
      </c>
      <c r="C203">
        <v>6039</v>
      </c>
      <c r="D203" t="s">
        <v>293</v>
      </c>
      <c r="E203">
        <v>2007</v>
      </c>
      <c r="F203">
        <v>3</v>
      </c>
      <c r="G203">
        <v>0.33</v>
      </c>
      <c r="I203" t="s">
        <v>78</v>
      </c>
      <c r="J203">
        <v>5</v>
      </c>
      <c r="K203">
        <f>E203+J203</f>
        <v>2012</v>
      </c>
      <c r="L203">
        <v>2011</v>
      </c>
      <c r="M203">
        <v>5</v>
      </c>
      <c r="N203">
        <v>13489.67</v>
      </c>
      <c r="P203">
        <f>N203-N203*G203</f>
        <v>9038.0789000000004</v>
      </c>
      <c r="Q203">
        <f>P203/J203/12</f>
        <v>150.63464833333333</v>
      </c>
      <c r="R203">
        <f>IF(O203&gt;0,0,IF(OR(AD203&gt;AE203,AF203&lt;AG203),0,IF(AND(AF203&gt;=AG203,AF203&lt;=AE203),Q203*((AF203-AG203)*12),IF(AND(AG203&lt;=AD203,AE203&gt;=AD203),((AE203-AD203)*12)*Q203,IF(AF203&gt;AE203,12*Q203,0)))))</f>
        <v>0</v>
      </c>
      <c r="S203">
        <f>IF(O203=0,0,IF(AND(AH203&gt;=AG203,AH203&lt;=AF203),((AH203-AG203)*12)*Q203,0))</f>
        <v>0</v>
      </c>
      <c r="T203">
        <f>IF(S203&gt;0,S203,R203)</f>
        <v>0</v>
      </c>
      <c r="U203">
        <v>1</v>
      </c>
      <c r="V203">
        <f>U203*SUM(R203:S203)</f>
        <v>0</v>
      </c>
      <c r="X203">
        <f>IF(AD203&gt;AE203,0,IF(AF203&lt;AG203,P203,IF(AND(AF203&gt;=AG203,AF203&lt;=AE203),(P203-T203),IF(AND(AG203&lt;=AD203,AE203&gt;=AD203),0,IF(AF203&gt;AE203,((AG203-AD203)*12)*Q203,0)))))</f>
        <v>9038.0789000000004</v>
      </c>
      <c r="Y203">
        <f>X203*U203</f>
        <v>9038.0789000000004</v>
      </c>
      <c r="Z203">
        <v>1</v>
      </c>
      <c r="AA203">
        <f>Y203*Z203</f>
        <v>9038.0789000000004</v>
      </c>
      <c r="AB203">
        <f>IF(O203&gt;0,0,AA203+V203*Z203)*Z203</f>
        <v>9038.0789000000004</v>
      </c>
      <c r="AC203">
        <f>IF(O203&gt;0,(N203-AA203)/2,IF(AD203&gt;=AG203,(((N203*U203)*Z203)-AB203)/2,((((N203*U203)*Z203)-AA203)+(((N203*U203)*Z203)-AB203))/2))</f>
        <v>4451.5910999999996</v>
      </c>
      <c r="AD203">
        <f>$E203+(($F203-1)/12)</f>
        <v>2007.1666666666667</v>
      </c>
      <c r="AE203">
        <f>($P$5+1)-($P$2/12)</f>
        <v>2018.0833333333333</v>
      </c>
      <c r="AF203">
        <f>$K203+(($F203-1)/12)</f>
        <v>2012.1666666666667</v>
      </c>
      <c r="AG203">
        <f>$P$4+($P$3/12)</f>
        <v>2017.0833333333333</v>
      </c>
      <c r="AH203">
        <f>$L203+(($M203-1)/12)</f>
        <v>2011.3333333333333</v>
      </c>
    </row>
    <row r="206" spans="1:34">
      <c r="D206" t="s">
        <v>446</v>
      </c>
    </row>
    <row r="207" spans="1:34">
      <c r="A207" t="s">
        <v>286</v>
      </c>
      <c r="C207">
        <v>2031</v>
      </c>
      <c r="D207" t="s">
        <v>336</v>
      </c>
      <c r="E207">
        <v>2007</v>
      </c>
      <c r="F207">
        <v>8</v>
      </c>
      <c r="G207">
        <v>0.2</v>
      </c>
      <c r="I207" t="s">
        <v>78</v>
      </c>
      <c r="J207">
        <v>7</v>
      </c>
      <c r="K207">
        <f>E207+J207</f>
        <v>2014</v>
      </c>
      <c r="N207">
        <v>215572.44</v>
      </c>
      <c r="P207">
        <f>N207-N207*G207</f>
        <v>172457.95199999999</v>
      </c>
      <c r="Q207">
        <f>P207/J207/12</f>
        <v>2053.0708571428572</v>
      </c>
      <c r="R207">
        <f>IF(O207&gt;0,0,IF(OR(AD207&gt;AE207,AF207&lt;AG207),0,IF(AND(AF207&gt;=AG207,AF207&lt;=AE207),Q207*((AF207-AG207)*12),IF(AND(AG207&lt;=AD207,AE207&gt;=AD207),((AE207-AD207)*12)*Q207,IF(AF207&gt;AE207,12*Q207,0)))))</f>
        <v>0</v>
      </c>
      <c r="S207">
        <f>IF(O207=0,0,IF(AND(AH207&gt;=AG207,AH207&lt;=AF207),((AH207-AG207)*12)*Q207,0))</f>
        <v>0</v>
      </c>
      <c r="T207">
        <f>IF(S207&gt;0,S207,R207)</f>
        <v>0</v>
      </c>
      <c r="U207">
        <v>1</v>
      </c>
      <c r="V207">
        <f>U207*SUM(R207:S207)</f>
        <v>0</v>
      </c>
      <c r="X207">
        <f>IF(AD207&gt;AE207,0,IF(AF207&lt;AG207,P207,IF(AND(AF207&gt;=AG207,AF207&lt;=AE207),(P207-T207),IF(AND(AG207&lt;=AD207,AE207&gt;=AD207),0,IF(AF207&gt;AE207,((AG207-AD207)*12)*Q207,0)))))</f>
        <v>172457.95199999999</v>
      </c>
      <c r="Y207">
        <f>X207*U207</f>
        <v>172457.95199999999</v>
      </c>
      <c r="Z207">
        <v>1</v>
      </c>
      <c r="AA207">
        <f>Y207*Z207</f>
        <v>172457.95199999999</v>
      </c>
      <c r="AB207">
        <f>IF(O207&gt;0,0,AA207+V207*Z207)*Z207</f>
        <v>172457.95199999999</v>
      </c>
      <c r="AC207">
        <f>IF(O207&gt;0,(N207-AA207)/2,IF(AD207&gt;=AG207,(((N207*U207)*Z207)-AB207)/2,((((N207*U207)*Z207)-AA207)+(((N207*U207)*Z207)-AB207))/2))</f>
        <v>43114.488000000012</v>
      </c>
      <c r="AD207">
        <f>$E207+(($F207-1)/12)</f>
        <v>2007.5833333333333</v>
      </c>
      <c r="AE207">
        <f>($P$5+1)-($P$2/12)</f>
        <v>2018.0833333333333</v>
      </c>
      <c r="AF207">
        <f>$K207+(($F207-1)/12)</f>
        <v>2014.5833333333333</v>
      </c>
      <c r="AG207">
        <f>$P$4+($P$3/12)</f>
        <v>2017.0833333333333</v>
      </c>
      <c r="AH207">
        <f>$L207+(($M207-1)/12)</f>
        <v>-8.3333333333333329E-2</v>
      </c>
    </row>
    <row r="208" spans="1:34">
      <c r="A208" t="s">
        <v>155</v>
      </c>
      <c r="C208">
        <v>3564</v>
      </c>
      <c r="D208" t="s">
        <v>158</v>
      </c>
      <c r="E208">
        <v>2001</v>
      </c>
      <c r="F208">
        <v>8</v>
      </c>
      <c r="G208">
        <v>0.2</v>
      </c>
      <c r="I208" t="s">
        <v>78</v>
      </c>
      <c r="J208">
        <v>7</v>
      </c>
      <c r="K208">
        <f>E208+J208</f>
        <v>2008</v>
      </c>
      <c r="N208">
        <v>156300.88</v>
      </c>
      <c r="P208">
        <f>N208-N208*G208</f>
        <v>125040.704</v>
      </c>
      <c r="Q208">
        <f>P208/J208/12</f>
        <v>1488.5798095238094</v>
      </c>
      <c r="R208">
        <f>IF(O208&gt;0,0,IF(OR(AD208&gt;AE208,AF208&lt;AG208),0,IF(AND(AF208&gt;=AG208,AF208&lt;=AE208),Q208*((AF208-AG208)*12),IF(AND(AG208&lt;=AD208,AE208&gt;=AD208),((AE208-AD208)*12)*Q208,IF(AF208&gt;AE208,12*Q208,0)))))</f>
        <v>0</v>
      </c>
      <c r="S208">
        <f>IF(O208=0,0,IF(AND(AH208&gt;=AG208,AH208&lt;=AF208),((AH208-AG208)*12)*Q208,0))</f>
        <v>0</v>
      </c>
      <c r="T208">
        <f>IF(S208&gt;0,S208,R208)</f>
        <v>0</v>
      </c>
      <c r="U208">
        <v>1</v>
      </c>
      <c r="V208">
        <f>U208*SUM(R208:S208)</f>
        <v>0</v>
      </c>
      <c r="X208">
        <f>IF(AD208&gt;AE208,0,IF(AF208&lt;AG208,P208,IF(AND(AF208&gt;=AG208,AF208&lt;=AE208),(P208-T208),IF(AND(AG208&lt;=AD208,AE208&gt;=AD208),0,IF(AF208&gt;AE208,((AG208-AD208)*12)*Q208,0)))))</f>
        <v>125040.704</v>
      </c>
      <c r="Y208">
        <f>X208*U208</f>
        <v>125040.704</v>
      </c>
      <c r="Z208">
        <v>1</v>
      </c>
      <c r="AA208">
        <f>Y208*Z208</f>
        <v>125040.704</v>
      </c>
      <c r="AB208">
        <f>IF(O208&gt;0,0,AA208+V208*Z208)*Z208</f>
        <v>125040.704</v>
      </c>
      <c r="AC208">
        <f>IF(O208&gt;0,(N208-AA208)/2,IF(AD208&gt;=AG208,(((N208*U208)*Z208)-AB208)/2,((((N208*U208)*Z208)-AA208)+(((N208*U208)*Z208)-AB208))/2))</f>
        <v>31260.176000000007</v>
      </c>
      <c r="AD208">
        <f>$E208+(($F208-1)/12)</f>
        <v>2001.5833333333333</v>
      </c>
      <c r="AE208">
        <f>($P$5+1)-($P$2/12)</f>
        <v>2018.0833333333333</v>
      </c>
      <c r="AF208">
        <f>$K208+(($F208-1)/12)</f>
        <v>2008.5833333333333</v>
      </c>
      <c r="AG208">
        <f>$P$4+($P$3/12)</f>
        <v>2017.0833333333333</v>
      </c>
      <c r="AH208">
        <f>$L208+(($M208-1)/12)</f>
        <v>-8.3333333333333329E-2</v>
      </c>
    </row>
    <row r="209" spans="1:34">
      <c r="A209" t="s">
        <v>286</v>
      </c>
      <c r="B209">
        <v>61092</v>
      </c>
      <c r="C209">
        <v>2026</v>
      </c>
      <c r="D209" t="s">
        <v>152</v>
      </c>
      <c r="E209">
        <v>2006</v>
      </c>
      <c r="F209">
        <v>8</v>
      </c>
      <c r="G209">
        <v>0.2</v>
      </c>
      <c r="I209" t="s">
        <v>78</v>
      </c>
      <c r="J209">
        <v>7</v>
      </c>
      <c r="K209">
        <f>E209+J209</f>
        <v>2013</v>
      </c>
      <c r="N209">
        <v>208742.37</v>
      </c>
      <c r="P209">
        <f>N209-N209*G209</f>
        <v>166993.89600000001</v>
      </c>
      <c r="Q209">
        <f>P209/J209/12</f>
        <v>1988.0225714285716</v>
      </c>
      <c r="R209">
        <f>IF(O209&gt;0,0,IF(OR(AD209&gt;AE209,AF209&lt;AG209),0,IF(AND(AF209&gt;=AG209,AF209&lt;=AE209),Q209*((AF209-AG209)*12),IF(AND(AG209&lt;=AD209,AE209&gt;=AD209),((AE209-AD209)*12)*Q209,IF(AF209&gt;AE209,12*Q209,0)))))</f>
        <v>0</v>
      </c>
      <c r="S209">
        <f>IF(O209=0,0,IF(AND(AH209&gt;=AG209,AH209&lt;=AF209),((AH209-AG209)*12)*Q209,0))</f>
        <v>0</v>
      </c>
      <c r="T209">
        <f>IF(S209&gt;0,S209,R209)</f>
        <v>0</v>
      </c>
      <c r="U209">
        <v>1</v>
      </c>
      <c r="V209">
        <f>U209*SUM(R209:S209)</f>
        <v>0</v>
      </c>
      <c r="X209">
        <f>IF(AD209&gt;AE209,0,IF(AF209&lt;AG209,P209,IF(AND(AF209&gt;=AG209,AF209&lt;=AE209),(P209-T209),IF(AND(AG209&lt;=AD209,AE209&gt;=AD209),0,IF(AF209&gt;AE209,((AG209-AD209)*12)*Q209,0)))))</f>
        <v>166993.89600000001</v>
      </c>
      <c r="Y209">
        <f>X209*U209</f>
        <v>166993.89600000001</v>
      </c>
      <c r="Z209">
        <v>1</v>
      </c>
      <c r="AA209">
        <f>Y209*Z209</f>
        <v>166993.89600000001</v>
      </c>
      <c r="AB209">
        <f>IF(O209&gt;0,0,AA209+V209*Z209)*Z209</f>
        <v>166993.89600000001</v>
      </c>
      <c r="AC209">
        <f>IF(O209&gt;0,(N209-AA209)/2,IF(AD209&gt;=AG209,(((N209*U209)*Z209)-AB209)/2,((((N209*U209)*Z209)-AA209)+(((N209*U209)*Z209)-AB209))/2))</f>
        <v>41748.473999999987</v>
      </c>
      <c r="AD209">
        <f>$E209+(($F209-1)/12)</f>
        <v>2006.5833333333333</v>
      </c>
      <c r="AE209">
        <f>($P$5+1)-($P$2/12)</f>
        <v>2018.0833333333333</v>
      </c>
      <c r="AF209">
        <f>$K209+(($F209-1)/12)</f>
        <v>2013.5833333333333</v>
      </c>
      <c r="AG209">
        <f>$P$4+($P$3/12)</f>
        <v>2017.0833333333333</v>
      </c>
      <c r="AH209">
        <f>$L209+(($M209-1)/12)</f>
        <v>-8.3333333333333329E-2</v>
      </c>
    </row>
    <row r="210" spans="1:34">
      <c r="A210" t="s">
        <v>283</v>
      </c>
      <c r="C210">
        <v>4040</v>
      </c>
      <c r="D210" t="s">
        <v>164</v>
      </c>
      <c r="E210">
        <v>2004</v>
      </c>
      <c r="F210">
        <v>11</v>
      </c>
      <c r="G210">
        <v>0.2</v>
      </c>
      <c r="I210" t="s">
        <v>78</v>
      </c>
      <c r="J210">
        <v>7</v>
      </c>
      <c r="K210">
        <f>E210+J210</f>
        <v>2011</v>
      </c>
      <c r="N210">
        <v>123785.60000000001</v>
      </c>
      <c r="P210">
        <f>N210-N210*G210</f>
        <v>99028.48000000001</v>
      </c>
      <c r="Q210">
        <f>P210/J210/12</f>
        <v>1178.9104761904762</v>
      </c>
      <c r="R210">
        <f>IF(O210&gt;0,0,IF(OR(AD210&gt;AE210,AF210&lt;AG210),0,IF(AND(AF210&gt;=AG210,AF210&lt;=AE210),Q210*((AF210-AG210)*12),IF(AND(AG210&lt;=AD210,AE210&gt;=AD210),((AE210-AD210)*12)*Q210,IF(AF210&gt;AE210,12*Q210,0)))))</f>
        <v>0</v>
      </c>
      <c r="S210">
        <f>IF(O210=0,0,IF(AND(AH210&gt;=AG210,AH210&lt;=AF210),((AH210-AG210)*12)*Q210,0))</f>
        <v>0</v>
      </c>
      <c r="T210">
        <f>IF(S210&gt;0,S210,R210)</f>
        <v>0</v>
      </c>
      <c r="U210">
        <v>1</v>
      </c>
      <c r="V210">
        <f>U210*SUM(R210:S210)</f>
        <v>0</v>
      </c>
      <c r="X210">
        <f>IF(AD210&gt;AE210,0,IF(AF210&lt;AG210,P210,IF(AND(AF210&gt;=AG210,AF210&lt;=AE210),(P210-T210),IF(AND(AG210&lt;=AD210,AE210&gt;=AD210),0,IF(AF210&gt;AE210,((AG210-AD210)*12)*Q210,0)))))</f>
        <v>99028.48000000001</v>
      </c>
      <c r="Y210">
        <f>X210*U210</f>
        <v>99028.48000000001</v>
      </c>
      <c r="Z210">
        <v>1</v>
      </c>
      <c r="AA210">
        <f>Y210*Z210</f>
        <v>99028.48000000001</v>
      </c>
      <c r="AB210">
        <f>IF(O210&gt;0,0,AA210+V210*Z210)*Z210</f>
        <v>99028.48000000001</v>
      </c>
      <c r="AC210">
        <f>IF(O210&gt;0,(N210-AA210)/2,IF(AD210&gt;=AG210,(((N210*U210)*Z210)-AB210)/2,((((N210*U210)*Z210)-AA210)+(((N210*U210)*Z210)-AB210))/2))</f>
        <v>24757.119999999995</v>
      </c>
      <c r="AD210">
        <f>$E210+(($F210-1)/12)</f>
        <v>2004.8333333333333</v>
      </c>
      <c r="AE210">
        <f>($P$5+1)-($P$2/12)</f>
        <v>2018.0833333333333</v>
      </c>
      <c r="AF210">
        <f>$K210+(($F210-1)/12)</f>
        <v>2011.8333333333333</v>
      </c>
      <c r="AG210">
        <f>$P$4+($P$3/12)</f>
        <v>2017.0833333333333</v>
      </c>
      <c r="AH210">
        <f>$L210+(($M210-1)/12)</f>
        <v>-8.3333333333333329E-2</v>
      </c>
    </row>
    <row r="211" spans="1:34">
      <c r="A211" t="s">
        <v>291</v>
      </c>
      <c r="C211">
        <v>5040</v>
      </c>
      <c r="D211" t="s">
        <v>333</v>
      </c>
      <c r="E211">
        <v>2001</v>
      </c>
      <c r="F211">
        <v>8</v>
      </c>
      <c r="G211">
        <v>0.2</v>
      </c>
      <c r="I211" t="s">
        <v>78</v>
      </c>
      <c r="J211">
        <v>7</v>
      </c>
      <c r="K211">
        <f>E211+J211</f>
        <v>2008</v>
      </c>
      <c r="N211">
        <v>65346.74</v>
      </c>
      <c r="P211">
        <f>N211-N211*G211</f>
        <v>52277.392</v>
      </c>
      <c r="Q211">
        <f>P211/J211/12</f>
        <v>622.34990476190478</v>
      </c>
      <c r="R211">
        <f>IF(O211&gt;0,0,IF(OR(AD211&gt;AE211,AF211&lt;AG211),0,IF(AND(AF211&gt;=AG211,AF211&lt;=AE211),Q211*((AF211-AG211)*12),IF(AND(AG211&lt;=AD211,AE211&gt;=AD211),((AE211-AD211)*12)*Q211,IF(AF211&gt;AE211,12*Q211,0)))))</f>
        <v>0</v>
      </c>
      <c r="S211">
        <f>IF(O211=0,0,IF(AND(AH211&gt;=AG211,AH211&lt;=AF211),((AH211-AG211)*12)*Q211,0))</f>
        <v>0</v>
      </c>
      <c r="T211">
        <f>IF(S211&gt;0,S211,R211)</f>
        <v>0</v>
      </c>
      <c r="U211">
        <v>1</v>
      </c>
      <c r="V211">
        <f>U211*SUM(R211:S211)</f>
        <v>0</v>
      </c>
      <c r="X211">
        <f>IF(AD211&gt;AE211,0,IF(AF211&lt;AG211,P211,IF(AND(AF211&gt;=AG211,AF211&lt;=AE211),(P211-T211),IF(AND(AG211&lt;=AD211,AE211&gt;=AD211),0,IF(AF211&gt;AE211,((AG211-AD211)*12)*Q211,0)))))</f>
        <v>52277.392</v>
      </c>
      <c r="Y211">
        <f>X211*U211</f>
        <v>52277.392</v>
      </c>
      <c r="Z211">
        <v>1</v>
      </c>
      <c r="AA211">
        <f>Y211*Z211</f>
        <v>52277.392</v>
      </c>
      <c r="AB211">
        <f>IF(O211&gt;0,0,AA211+V211*Z211)*Z211</f>
        <v>52277.392</v>
      </c>
      <c r="AC211">
        <f>IF(O211&gt;0,(N211-AA211)/2,IF(AD211&gt;=AG211,(((N211*U211)*Z211)-AB211)/2,((((N211*U211)*Z211)-AA211)+(((N211*U211)*Z211)-AB211))/2))</f>
        <v>13069.347999999998</v>
      </c>
      <c r="AD211">
        <f>$E211+(($F211-1)/12)</f>
        <v>2001.5833333333333</v>
      </c>
      <c r="AE211">
        <f>($P$5+1)-($P$2/12)</f>
        <v>2018.0833333333333</v>
      </c>
      <c r="AF211">
        <f>$K211+(($F211-1)/12)</f>
        <v>2008.5833333333333</v>
      </c>
      <c r="AG211">
        <f>$P$4+($P$3/12)</f>
        <v>2017.0833333333333</v>
      </c>
      <c r="AH211">
        <f>$L211+(($M211-1)/12)</f>
        <v>-8.3333333333333329E-2</v>
      </c>
    </row>
    <row r="213" spans="1:34">
      <c r="D213" t="s">
        <v>455</v>
      </c>
    </row>
    <row r="214" spans="1:34">
      <c r="A214" t="s">
        <v>288</v>
      </c>
      <c r="C214">
        <v>4514</v>
      </c>
      <c r="D214" t="s">
        <v>453</v>
      </c>
      <c r="E214">
        <v>1998</v>
      </c>
      <c r="F214">
        <v>2</v>
      </c>
      <c r="G214">
        <v>0.33</v>
      </c>
      <c r="I214" t="s">
        <v>78</v>
      </c>
      <c r="J214">
        <v>5</v>
      </c>
      <c r="K214">
        <f>E214+J214</f>
        <v>2003</v>
      </c>
      <c r="N214">
        <v>15000</v>
      </c>
      <c r="P214">
        <f>N214-N214*G214</f>
        <v>10050</v>
      </c>
      <c r="Q214">
        <f>P214/J214/12</f>
        <v>167.5</v>
      </c>
      <c r="R214">
        <f>IF(O214&gt;0,0,IF(OR(AD214&gt;AE214,AF214&lt;AG214),0,IF(AND(AF214&gt;=AG214,AF214&lt;=AE214),Q214*((AF214-AG214)*12),IF(AND(AG214&lt;=AD214,AE214&gt;=AD214),((AE214-AD214)*12)*Q214,IF(AF214&gt;AE214,12*Q214,0)))))</f>
        <v>0</v>
      </c>
      <c r="S214">
        <f>IF(O214=0,0,IF(AND(AH214&gt;=AG214,AH214&lt;=AF214),((AH214-AG214)*12)*Q214,0))</f>
        <v>0</v>
      </c>
      <c r="T214">
        <f>IF(S214&gt;0,S214,R214)</f>
        <v>0</v>
      </c>
      <c r="U214">
        <v>1</v>
      </c>
      <c r="V214">
        <f>U214*SUM(R214:S214)</f>
        <v>0</v>
      </c>
      <c r="X214">
        <f>IF(AD214&gt;AE214,0,IF(AF214&lt;AG214,P214,IF(AND(AF214&gt;=AG214,AF214&lt;=AE214),(P214-T214),IF(AND(AG214&lt;=AD214,AE214&gt;=AD214),0,IF(AF214&gt;AE214,((AG214-AD214)*12)*Q214,0)))))</f>
        <v>10050</v>
      </c>
      <c r="Y214">
        <f>X214*U214</f>
        <v>10050</v>
      </c>
      <c r="Z214">
        <v>1</v>
      </c>
      <c r="AA214">
        <f>Y214*Z214</f>
        <v>10050</v>
      </c>
      <c r="AB214">
        <f>IF(O214&gt;0,0,AA214+V214*Z214)*Z214</f>
        <v>10050</v>
      </c>
      <c r="AC214">
        <f>IF(O214&gt;0,(N214-AA214)/2,IF(AD214&gt;=AG214,(((N214*U214)*Z214)-AB214)/2,((((N214*U214)*Z214)-AA214)+(((N214*U214)*Z214)-AB214))/2))</f>
        <v>4950</v>
      </c>
      <c r="AD214">
        <f>$E214+(($F214-1)/12)</f>
        <v>1998.0833333333333</v>
      </c>
      <c r="AE214">
        <f>('[23]Trucks 2184'!$P$5+1)-('[23]Trucks 2184'!$P$2/12)</f>
        <v>2013</v>
      </c>
      <c r="AF214">
        <f>$K214+(($F214-1)/12)</f>
        <v>2003.0833333333333</v>
      </c>
      <c r="AG214">
        <f>'[23]Trucks 2184'!$P$4+('[23]Trucks 2184'!$P$3/12)</f>
        <v>2012</v>
      </c>
      <c r="AH214">
        <f>$L214+(($M214-1)/12)</f>
        <v>-8.3333333333333329E-2</v>
      </c>
    </row>
    <row r="216" spans="1:34">
      <c r="D216" t="s">
        <v>479</v>
      </c>
    </row>
    <row r="217" spans="1:34">
      <c r="A217" t="s">
        <v>151</v>
      </c>
      <c r="B217">
        <v>61036</v>
      </c>
      <c r="C217">
        <v>1208</v>
      </c>
      <c r="D217" t="s">
        <v>318</v>
      </c>
      <c r="E217">
        <v>1989</v>
      </c>
      <c r="F217">
        <v>12</v>
      </c>
      <c r="G217">
        <v>0.2</v>
      </c>
      <c r="I217" t="s">
        <v>78</v>
      </c>
      <c r="J217">
        <v>7</v>
      </c>
      <c r="K217">
        <f t="shared" ref="K217:K225" si="119">E217+J217</f>
        <v>1996</v>
      </c>
      <c r="N217">
        <v>37870</v>
      </c>
      <c r="P217">
        <f t="shared" ref="P217:P227" si="120">N217-N217*G217</f>
        <v>30296</v>
      </c>
      <c r="Q217">
        <f t="shared" ref="Q217:Q227" si="121">P217/J217/12</f>
        <v>360.66666666666669</v>
      </c>
      <c r="R217">
        <f t="shared" ref="R217:R225" si="122">IF(O217&gt;0,0,IF(OR(AD217&gt;AE217,AF217&lt;AG217),0,IF(AND(AF217&gt;=AG217,AF217&lt;=AE217),Q217*((AF217-AG217)*12),IF(AND(AG217&lt;=AD217,AE217&gt;=AD217),((AE217-AD217)*12)*Q217,IF(AF217&gt;AE217,12*Q217,0)))))</f>
        <v>0</v>
      </c>
      <c r="S217">
        <f t="shared" ref="S217:S225" si="123">IF(O217=0,0,IF(AND(AH217&gt;=AG217,AH217&lt;=AF217),((AH217-AG217)*12)*Q217,0))</f>
        <v>0</v>
      </c>
      <c r="T217">
        <f t="shared" ref="T217:T225" si="124">IF(S217&gt;0,S217,R217)</f>
        <v>0</v>
      </c>
      <c r="U217">
        <v>1</v>
      </c>
      <c r="V217">
        <f t="shared" ref="V217:V225" si="125">U217*SUM(R217:S217)</f>
        <v>0</v>
      </c>
      <c r="X217">
        <f t="shared" ref="X217:X225" si="126">IF(AD217&gt;AE217,0,IF(AF217&lt;AG217,P217,IF(AND(AF217&gt;=AG217,AF217&lt;=AE217),(P217-T217),IF(AND(AG217&lt;=AD217,AE217&gt;=AD217),0,IF(AF217&gt;AE217,((AG217-AD217)*12)*Q217,0)))))</f>
        <v>30296</v>
      </c>
      <c r="Y217">
        <f t="shared" ref="Y217:Y225" si="127">X217*U217</f>
        <v>30296</v>
      </c>
      <c r="Z217">
        <v>1</v>
      </c>
      <c r="AA217">
        <f t="shared" ref="AA217:AA225" si="128">Y217*Z217</f>
        <v>30296</v>
      </c>
      <c r="AB217">
        <f t="shared" ref="AB217:AB225" si="129">IF(O217&gt;0,0,AA217+V217*Z217)*Z217</f>
        <v>30296</v>
      </c>
      <c r="AC217">
        <f t="shared" ref="AC217:AC225" si="130">IF(O217&gt;0,(N217-AA217)/2,IF(AD217&gt;=AG217,(((N217*U217)*Z217)-AB217)/2,((((N217*U217)*Z217)-AA217)+(((N217*U217)*Z217)-AB217))/2))</f>
        <v>7574</v>
      </c>
      <c r="AD217">
        <f t="shared" ref="AD217:AD225" si="131">$E217+(($F217-1)/12)</f>
        <v>1989.9166666666667</v>
      </c>
      <c r="AE217">
        <f t="shared" ref="AE217:AE223" si="132">($P$5+1)-($P$2/12)</f>
        <v>2018.0833333333333</v>
      </c>
      <c r="AF217">
        <f t="shared" ref="AF217:AF225" si="133">$K217+(($F217-1)/12)</f>
        <v>1996.9166666666667</v>
      </c>
      <c r="AG217">
        <f t="shared" ref="AG217:AG223" si="134">$P$4+($P$3/12)</f>
        <v>2017.0833333333333</v>
      </c>
      <c r="AH217">
        <f t="shared" ref="AH217:AH227" si="135">$L217+(($M217-1)/12)</f>
        <v>-8.3333333333333329E-2</v>
      </c>
    </row>
    <row r="218" spans="1:34">
      <c r="A218" t="s">
        <v>151</v>
      </c>
      <c r="C218">
        <v>1208</v>
      </c>
      <c r="D218" t="s">
        <v>319</v>
      </c>
      <c r="E218">
        <v>2009</v>
      </c>
      <c r="F218">
        <v>5</v>
      </c>
      <c r="G218">
        <v>0</v>
      </c>
      <c r="I218" t="s">
        <v>78</v>
      </c>
      <c r="J218">
        <v>3</v>
      </c>
      <c r="K218">
        <f t="shared" si="119"/>
        <v>2012</v>
      </c>
      <c r="N218">
        <v>2971.88</v>
      </c>
      <c r="P218">
        <f t="shared" si="120"/>
        <v>2971.88</v>
      </c>
      <c r="Q218">
        <f t="shared" si="121"/>
        <v>82.552222222222227</v>
      </c>
      <c r="R218">
        <f t="shared" si="122"/>
        <v>0</v>
      </c>
      <c r="S218">
        <f t="shared" si="123"/>
        <v>0</v>
      </c>
      <c r="T218">
        <f t="shared" si="124"/>
        <v>0</v>
      </c>
      <c r="U218">
        <v>1</v>
      </c>
      <c r="V218">
        <f t="shared" si="125"/>
        <v>0</v>
      </c>
      <c r="X218">
        <f t="shared" si="126"/>
        <v>2971.88</v>
      </c>
      <c r="Y218">
        <f t="shared" si="127"/>
        <v>2971.88</v>
      </c>
      <c r="Z218">
        <v>1</v>
      </c>
      <c r="AA218">
        <f t="shared" si="128"/>
        <v>2971.88</v>
      </c>
      <c r="AB218">
        <f t="shared" si="129"/>
        <v>2971.88</v>
      </c>
      <c r="AC218">
        <f t="shared" si="130"/>
        <v>0</v>
      </c>
      <c r="AD218">
        <f t="shared" si="131"/>
        <v>2009.3333333333333</v>
      </c>
      <c r="AE218">
        <f t="shared" si="132"/>
        <v>2018.0833333333333</v>
      </c>
      <c r="AF218">
        <f t="shared" si="133"/>
        <v>2012.3333333333333</v>
      </c>
      <c r="AG218">
        <f t="shared" si="134"/>
        <v>2017.0833333333333</v>
      </c>
      <c r="AH218">
        <f t="shared" si="135"/>
        <v>-8.3333333333333329E-2</v>
      </c>
    </row>
    <row r="219" spans="1:34">
      <c r="A219" t="s">
        <v>151</v>
      </c>
      <c r="B219">
        <v>61040</v>
      </c>
      <c r="C219">
        <v>1214</v>
      </c>
      <c r="D219" t="s">
        <v>337</v>
      </c>
      <c r="E219">
        <v>1990</v>
      </c>
      <c r="F219">
        <v>12</v>
      </c>
      <c r="G219">
        <v>0.2</v>
      </c>
      <c r="I219" t="s">
        <v>78</v>
      </c>
      <c r="J219">
        <v>7</v>
      </c>
      <c r="K219">
        <f t="shared" si="119"/>
        <v>1997</v>
      </c>
      <c r="N219">
        <v>37870</v>
      </c>
      <c r="P219">
        <f t="shared" si="120"/>
        <v>30296</v>
      </c>
      <c r="Q219">
        <f t="shared" si="121"/>
        <v>360.66666666666669</v>
      </c>
      <c r="R219">
        <f t="shared" si="122"/>
        <v>0</v>
      </c>
      <c r="S219">
        <f t="shared" si="123"/>
        <v>0</v>
      </c>
      <c r="T219">
        <f t="shared" si="124"/>
        <v>0</v>
      </c>
      <c r="U219">
        <v>1</v>
      </c>
      <c r="V219">
        <f t="shared" si="125"/>
        <v>0</v>
      </c>
      <c r="X219">
        <f t="shared" si="126"/>
        <v>30296</v>
      </c>
      <c r="Y219">
        <f t="shared" si="127"/>
        <v>30296</v>
      </c>
      <c r="Z219">
        <v>1</v>
      </c>
      <c r="AA219">
        <f t="shared" si="128"/>
        <v>30296</v>
      </c>
      <c r="AB219">
        <f t="shared" si="129"/>
        <v>30296</v>
      </c>
      <c r="AC219">
        <f t="shared" si="130"/>
        <v>7574</v>
      </c>
      <c r="AD219">
        <f t="shared" si="131"/>
        <v>1990.9166666666667</v>
      </c>
      <c r="AE219">
        <f t="shared" si="132"/>
        <v>2018.0833333333333</v>
      </c>
      <c r="AF219">
        <f t="shared" si="133"/>
        <v>1997.9166666666667</v>
      </c>
      <c r="AG219">
        <f t="shared" si="134"/>
        <v>2017.0833333333333</v>
      </c>
      <c r="AH219">
        <f t="shared" si="135"/>
        <v>-8.3333333333333329E-2</v>
      </c>
    </row>
    <row r="220" spans="1:34">
      <c r="A220" t="s">
        <v>151</v>
      </c>
      <c r="C220">
        <v>1214</v>
      </c>
      <c r="D220" t="s">
        <v>338</v>
      </c>
      <c r="E220">
        <v>2009</v>
      </c>
      <c r="F220">
        <v>5</v>
      </c>
      <c r="G220">
        <v>0</v>
      </c>
      <c r="I220" t="s">
        <v>78</v>
      </c>
      <c r="J220">
        <v>3</v>
      </c>
      <c r="K220">
        <f t="shared" si="119"/>
        <v>2012</v>
      </c>
      <c r="N220">
        <v>8982.94</v>
      </c>
      <c r="P220">
        <f t="shared" si="120"/>
        <v>8982.94</v>
      </c>
      <c r="Q220">
        <f t="shared" si="121"/>
        <v>249.52611111111113</v>
      </c>
      <c r="R220">
        <f t="shared" si="122"/>
        <v>0</v>
      </c>
      <c r="S220">
        <f t="shared" si="123"/>
        <v>0</v>
      </c>
      <c r="T220">
        <f t="shared" si="124"/>
        <v>0</v>
      </c>
      <c r="U220">
        <v>1</v>
      </c>
      <c r="V220">
        <f t="shared" si="125"/>
        <v>0</v>
      </c>
      <c r="X220">
        <f t="shared" si="126"/>
        <v>8982.94</v>
      </c>
      <c r="Y220">
        <f t="shared" si="127"/>
        <v>8982.94</v>
      </c>
      <c r="Z220">
        <v>1</v>
      </c>
      <c r="AA220">
        <f t="shared" si="128"/>
        <v>8982.94</v>
      </c>
      <c r="AB220">
        <f t="shared" si="129"/>
        <v>8982.94</v>
      </c>
      <c r="AC220">
        <f t="shared" si="130"/>
        <v>0</v>
      </c>
      <c r="AD220">
        <f t="shared" si="131"/>
        <v>2009.3333333333333</v>
      </c>
      <c r="AE220">
        <f t="shared" si="132"/>
        <v>2018.0833333333333</v>
      </c>
      <c r="AF220">
        <f t="shared" si="133"/>
        <v>2012.3333333333333</v>
      </c>
      <c r="AG220">
        <f t="shared" si="134"/>
        <v>2017.0833333333333</v>
      </c>
      <c r="AH220">
        <f t="shared" si="135"/>
        <v>-8.3333333333333329E-2</v>
      </c>
    </row>
    <row r="221" spans="1:34">
      <c r="A221" t="s">
        <v>286</v>
      </c>
      <c r="B221">
        <v>61051</v>
      </c>
      <c r="C221">
        <v>2504</v>
      </c>
      <c r="D221" t="s">
        <v>154</v>
      </c>
      <c r="E221">
        <v>1996</v>
      </c>
      <c r="F221">
        <v>6</v>
      </c>
      <c r="G221">
        <v>0.2</v>
      </c>
      <c r="I221" t="s">
        <v>78</v>
      </c>
      <c r="J221">
        <v>7</v>
      </c>
      <c r="K221">
        <f t="shared" si="119"/>
        <v>2003</v>
      </c>
      <c r="N221">
        <v>89610</v>
      </c>
      <c r="P221">
        <f t="shared" si="120"/>
        <v>71688</v>
      </c>
      <c r="Q221">
        <f t="shared" si="121"/>
        <v>853.42857142857144</v>
      </c>
      <c r="R221">
        <f t="shared" si="122"/>
        <v>0</v>
      </c>
      <c r="S221">
        <f t="shared" si="123"/>
        <v>0</v>
      </c>
      <c r="T221">
        <f t="shared" si="124"/>
        <v>0</v>
      </c>
      <c r="U221">
        <v>1</v>
      </c>
      <c r="V221">
        <f t="shared" si="125"/>
        <v>0</v>
      </c>
      <c r="X221">
        <f t="shared" si="126"/>
        <v>71688</v>
      </c>
      <c r="Y221">
        <f t="shared" si="127"/>
        <v>71688</v>
      </c>
      <c r="Z221">
        <v>1</v>
      </c>
      <c r="AA221">
        <f t="shared" si="128"/>
        <v>71688</v>
      </c>
      <c r="AB221">
        <f t="shared" si="129"/>
        <v>71688</v>
      </c>
      <c r="AC221">
        <f t="shared" si="130"/>
        <v>17922</v>
      </c>
      <c r="AD221">
        <f t="shared" si="131"/>
        <v>1996.4166666666667</v>
      </c>
      <c r="AE221">
        <f t="shared" si="132"/>
        <v>2018.0833333333333</v>
      </c>
      <c r="AF221">
        <f t="shared" si="133"/>
        <v>2003.4166666666667</v>
      </c>
      <c r="AG221">
        <f t="shared" si="134"/>
        <v>2017.0833333333333</v>
      </c>
      <c r="AH221">
        <f t="shared" si="135"/>
        <v>-8.3333333333333329E-2</v>
      </c>
    </row>
    <row r="222" spans="1:34">
      <c r="A222" t="s">
        <v>286</v>
      </c>
      <c r="C222">
        <v>2504</v>
      </c>
      <c r="D222" t="s">
        <v>80</v>
      </c>
      <c r="E222">
        <v>1996</v>
      </c>
      <c r="F222">
        <v>8</v>
      </c>
      <c r="G222">
        <v>0.2</v>
      </c>
      <c r="I222" t="s">
        <v>78</v>
      </c>
      <c r="J222">
        <v>7</v>
      </c>
      <c r="K222">
        <f t="shared" si="119"/>
        <v>2003</v>
      </c>
      <c r="N222">
        <v>42120</v>
      </c>
      <c r="P222">
        <f t="shared" si="120"/>
        <v>33696</v>
      </c>
      <c r="Q222">
        <f t="shared" si="121"/>
        <v>401.14285714285711</v>
      </c>
      <c r="R222">
        <f t="shared" si="122"/>
        <v>0</v>
      </c>
      <c r="S222">
        <f t="shared" si="123"/>
        <v>0</v>
      </c>
      <c r="T222">
        <f t="shared" si="124"/>
        <v>0</v>
      </c>
      <c r="U222">
        <v>1</v>
      </c>
      <c r="V222">
        <f t="shared" si="125"/>
        <v>0</v>
      </c>
      <c r="X222">
        <f t="shared" si="126"/>
        <v>33696</v>
      </c>
      <c r="Y222">
        <f t="shared" si="127"/>
        <v>33696</v>
      </c>
      <c r="Z222">
        <v>1</v>
      </c>
      <c r="AA222">
        <f t="shared" si="128"/>
        <v>33696</v>
      </c>
      <c r="AB222">
        <f t="shared" si="129"/>
        <v>33696</v>
      </c>
      <c r="AC222">
        <f t="shared" si="130"/>
        <v>8424</v>
      </c>
      <c r="AD222">
        <f t="shared" si="131"/>
        <v>1996.5833333333333</v>
      </c>
      <c r="AE222">
        <f t="shared" si="132"/>
        <v>2018.0833333333333</v>
      </c>
      <c r="AF222">
        <f t="shared" si="133"/>
        <v>2003.5833333333333</v>
      </c>
      <c r="AG222">
        <f t="shared" si="134"/>
        <v>2017.0833333333333</v>
      </c>
      <c r="AH222">
        <f t="shared" si="135"/>
        <v>-8.3333333333333329E-2</v>
      </c>
    </row>
    <row r="223" spans="1:34">
      <c r="A223" t="s">
        <v>286</v>
      </c>
      <c r="C223">
        <v>2504</v>
      </c>
      <c r="D223" t="s">
        <v>81</v>
      </c>
      <c r="E223">
        <v>1996</v>
      </c>
      <c r="F223">
        <v>8</v>
      </c>
      <c r="G223">
        <v>0.2</v>
      </c>
      <c r="I223" t="s">
        <v>78</v>
      </c>
      <c r="J223">
        <v>7</v>
      </c>
      <c r="K223">
        <f t="shared" si="119"/>
        <v>2003</v>
      </c>
      <c r="N223">
        <v>17056</v>
      </c>
      <c r="P223">
        <f t="shared" si="120"/>
        <v>13644.8</v>
      </c>
      <c r="Q223">
        <f t="shared" si="121"/>
        <v>162.43809523809523</v>
      </c>
      <c r="R223">
        <f t="shared" si="122"/>
        <v>0</v>
      </c>
      <c r="S223">
        <f t="shared" si="123"/>
        <v>0</v>
      </c>
      <c r="T223">
        <f t="shared" si="124"/>
        <v>0</v>
      </c>
      <c r="U223">
        <v>1</v>
      </c>
      <c r="V223">
        <f t="shared" si="125"/>
        <v>0</v>
      </c>
      <c r="X223">
        <f t="shared" si="126"/>
        <v>13644.8</v>
      </c>
      <c r="Y223">
        <f t="shared" si="127"/>
        <v>13644.8</v>
      </c>
      <c r="Z223">
        <v>1</v>
      </c>
      <c r="AA223">
        <f t="shared" si="128"/>
        <v>13644.8</v>
      </c>
      <c r="AB223">
        <f t="shared" si="129"/>
        <v>13644.8</v>
      </c>
      <c r="AC223">
        <f t="shared" si="130"/>
        <v>3411.2000000000007</v>
      </c>
      <c r="AD223">
        <f t="shared" si="131"/>
        <v>1996.5833333333333</v>
      </c>
      <c r="AE223">
        <f t="shared" si="132"/>
        <v>2018.0833333333333</v>
      </c>
      <c r="AF223">
        <f t="shared" si="133"/>
        <v>2003.5833333333333</v>
      </c>
      <c r="AG223">
        <f t="shared" si="134"/>
        <v>2017.0833333333333</v>
      </c>
      <c r="AH223">
        <f t="shared" si="135"/>
        <v>-8.3333333333333329E-2</v>
      </c>
    </row>
    <row r="224" spans="1:34">
      <c r="A224" t="s">
        <v>288</v>
      </c>
      <c r="C224">
        <v>4514</v>
      </c>
      <c r="D224" t="s">
        <v>453</v>
      </c>
      <c r="E224">
        <v>1998</v>
      </c>
      <c r="F224">
        <v>2</v>
      </c>
      <c r="G224">
        <v>0.33</v>
      </c>
      <c r="I224" t="s">
        <v>78</v>
      </c>
      <c r="J224">
        <v>5</v>
      </c>
      <c r="K224">
        <f t="shared" si="119"/>
        <v>2003</v>
      </c>
      <c r="N224">
        <v>15000</v>
      </c>
      <c r="P224">
        <f t="shared" si="120"/>
        <v>10050</v>
      </c>
      <c r="Q224">
        <f t="shared" si="121"/>
        <v>167.5</v>
      </c>
      <c r="R224">
        <f t="shared" si="122"/>
        <v>0</v>
      </c>
      <c r="S224">
        <f t="shared" si="123"/>
        <v>0</v>
      </c>
      <c r="T224">
        <f t="shared" si="124"/>
        <v>0</v>
      </c>
      <c r="U224">
        <v>1</v>
      </c>
      <c r="V224">
        <f t="shared" si="125"/>
        <v>0</v>
      </c>
      <c r="X224">
        <f t="shared" si="126"/>
        <v>10050</v>
      </c>
      <c r="Y224">
        <f t="shared" si="127"/>
        <v>10050</v>
      </c>
      <c r="Z224">
        <v>1</v>
      </c>
      <c r="AA224">
        <f t="shared" si="128"/>
        <v>10050</v>
      </c>
      <c r="AB224">
        <f t="shared" si="129"/>
        <v>10050</v>
      </c>
      <c r="AC224">
        <f t="shared" si="130"/>
        <v>4950</v>
      </c>
      <c r="AD224">
        <f t="shared" si="131"/>
        <v>1998.0833333333333</v>
      </c>
      <c r="AE224">
        <f>('[23]Trucks 2184'!$P$5+1)-('[23]Trucks 2184'!$P$2/12)</f>
        <v>2013</v>
      </c>
      <c r="AF224">
        <f t="shared" si="133"/>
        <v>2003.0833333333333</v>
      </c>
      <c r="AG224">
        <f>'[23]Trucks 2184'!$P$4+('[23]Trucks 2184'!$P$3/12)</f>
        <v>2012</v>
      </c>
      <c r="AH224">
        <f t="shared" si="135"/>
        <v>-8.3333333333333329E-2</v>
      </c>
    </row>
    <row r="225" spans="1:76">
      <c r="A225" t="s">
        <v>288</v>
      </c>
      <c r="C225">
        <v>5013</v>
      </c>
      <c r="D225" t="s">
        <v>315</v>
      </c>
      <c r="E225">
        <v>2009</v>
      </c>
      <c r="F225">
        <v>5</v>
      </c>
      <c r="G225">
        <v>0</v>
      </c>
      <c r="I225" t="s">
        <v>78</v>
      </c>
      <c r="J225">
        <v>3</v>
      </c>
      <c r="K225">
        <f t="shared" si="119"/>
        <v>2012</v>
      </c>
      <c r="N225">
        <v>2868.22</v>
      </c>
      <c r="P225">
        <f t="shared" si="120"/>
        <v>2868.22</v>
      </c>
      <c r="Q225">
        <f t="shared" si="121"/>
        <v>79.672777777777767</v>
      </c>
      <c r="R225">
        <f t="shared" si="122"/>
        <v>0</v>
      </c>
      <c r="S225">
        <f t="shared" si="123"/>
        <v>0</v>
      </c>
      <c r="T225">
        <f t="shared" si="124"/>
        <v>0</v>
      </c>
      <c r="U225">
        <v>1</v>
      </c>
      <c r="V225">
        <f t="shared" si="125"/>
        <v>0</v>
      </c>
      <c r="X225">
        <f t="shared" si="126"/>
        <v>2868.22</v>
      </c>
      <c r="Y225">
        <f t="shared" si="127"/>
        <v>2868.22</v>
      </c>
      <c r="Z225">
        <v>1</v>
      </c>
      <c r="AA225">
        <f t="shared" si="128"/>
        <v>2868.22</v>
      </c>
      <c r="AB225">
        <f t="shared" si="129"/>
        <v>2868.22</v>
      </c>
      <c r="AC225">
        <f t="shared" si="130"/>
        <v>0</v>
      </c>
      <c r="AD225">
        <f t="shared" si="131"/>
        <v>2009.3333333333333</v>
      </c>
      <c r="AE225">
        <f>($P$5+1)-($P$2/12)</f>
        <v>2018.0833333333333</v>
      </c>
      <c r="AF225">
        <f t="shared" si="133"/>
        <v>2012.3333333333333</v>
      </c>
      <c r="AG225">
        <f>$P$4+($P$3/12)</f>
        <v>2017.0833333333333</v>
      </c>
      <c r="AH225">
        <f t="shared" si="135"/>
        <v>-8.3333333333333329E-2</v>
      </c>
    </row>
    <row r="226" spans="1:76">
      <c r="A226" t="s">
        <v>284</v>
      </c>
      <c r="C226">
        <v>3587</v>
      </c>
      <c r="D226" t="s">
        <v>160</v>
      </c>
      <c r="E226">
        <v>2005</v>
      </c>
      <c r="F226">
        <v>12</v>
      </c>
      <c r="G226">
        <v>0.2</v>
      </c>
      <c r="I226" t="s">
        <v>78</v>
      </c>
      <c r="J226">
        <v>7</v>
      </c>
      <c r="K226">
        <f>E226+J226</f>
        <v>2012</v>
      </c>
      <c r="N226">
        <v>174584.51</v>
      </c>
      <c r="P226">
        <f t="shared" si="120"/>
        <v>139667.60800000001</v>
      </c>
      <c r="Q226">
        <f t="shared" si="121"/>
        <v>1662.7096190476193</v>
      </c>
      <c r="R226">
        <f>IF(O226&gt;0,0,IF(OR(AD226&gt;AE226,AF226&lt;AG226),0,IF(AND(AF226&gt;=AG226,AF226&lt;=AE226),Q226*((AF226-AG226)*12),IF(AND(AG226&lt;=AD226,AE226&gt;=AD226),((AE226-AD226)*12)*Q226,IF(AF226&gt;AE226,12*Q226,0)))))</f>
        <v>0</v>
      </c>
      <c r="S226">
        <f>IF(O226=0,0,IF(AND(AH226&gt;=AG226,AH226&lt;=AF226),((AH226-AG226)*12)*Q226,0))</f>
        <v>0</v>
      </c>
      <c r="T226">
        <f>IF(S226&gt;0,S226,R226)</f>
        <v>0</v>
      </c>
      <c r="U226">
        <v>1</v>
      </c>
      <c r="V226">
        <f>U226*SUM(R226:S226)</f>
        <v>0</v>
      </c>
      <c r="X226">
        <f>IF(AD226&gt;AE226,0,IF(AF226&lt;AG226,P226,IF(AND(AF226&gt;=AG226,AF226&lt;=AE226),(P226-T226),IF(AND(AG226&lt;=AD226,AE226&gt;=AD226),0,IF(AF226&gt;AE226,((AG226-AD226)*12)*Q226,0)))))</f>
        <v>139667.60800000001</v>
      </c>
      <c r="Y226">
        <f>X226*U226</f>
        <v>139667.60800000001</v>
      </c>
      <c r="Z226">
        <v>1</v>
      </c>
      <c r="AA226">
        <f>Y226*Z226</f>
        <v>139667.60800000001</v>
      </c>
      <c r="AB226">
        <f>IF(O226&gt;0,0,AA226+V226*Z226)*Z226</f>
        <v>139667.60800000001</v>
      </c>
      <c r="AC226">
        <f>IF(O226&gt;0,(N226-AA226)/2,IF(AD226&gt;=AG226,(((N226*U226)*Z226)-AB226)/2,((((N226*U226)*Z226)-AA226)+(((N226*U226)*Z226)-AB226))/2))</f>
        <v>34916.902000000002</v>
      </c>
      <c r="AD226">
        <f>$E226+(($F226-1)/12)</f>
        <v>2005.9166666666667</v>
      </c>
      <c r="AE226">
        <f>($P$5+1)-($P$2/12)</f>
        <v>2018.0833333333333</v>
      </c>
      <c r="AF226">
        <f>$K226+(($F226-1)/12)</f>
        <v>2012.9166666666667</v>
      </c>
      <c r="AG226">
        <f>$P$4+($P$3/12)</f>
        <v>2017.0833333333333</v>
      </c>
      <c r="AH226">
        <f t="shared" si="135"/>
        <v>-8.3333333333333329E-2</v>
      </c>
      <c r="BW226">
        <v>3</v>
      </c>
      <c r="BX226" t="s">
        <v>255</v>
      </c>
    </row>
    <row r="227" spans="1:76">
      <c r="A227" t="s">
        <v>284</v>
      </c>
      <c r="C227">
        <v>3587</v>
      </c>
      <c r="D227" t="s">
        <v>296</v>
      </c>
      <c r="E227">
        <v>2006</v>
      </c>
      <c r="F227">
        <v>1</v>
      </c>
      <c r="G227">
        <v>0.2</v>
      </c>
      <c r="I227" t="s">
        <v>78</v>
      </c>
      <c r="J227">
        <v>7</v>
      </c>
      <c r="K227">
        <f>E227+J227</f>
        <v>2013</v>
      </c>
      <c r="N227">
        <v>8338.44</v>
      </c>
      <c r="P227">
        <f t="shared" si="120"/>
        <v>6670.7520000000004</v>
      </c>
      <c r="Q227">
        <f t="shared" si="121"/>
        <v>79.413714285714292</v>
      </c>
      <c r="R227">
        <f>IF(O227&gt;0,0,IF(OR(AD227&gt;AE227,AF227&lt;AG227),0,IF(AND(AF227&gt;=AG227,AF227&lt;=AE227),Q227*((AF227-AG227)*12),IF(AND(AG227&lt;=AD227,AE227&gt;=AD227),((AE227-AD227)*12)*Q227,IF(AF227&gt;AE227,12*Q227,0)))))</f>
        <v>0</v>
      </c>
      <c r="S227">
        <f>IF(O227=0,0,IF(AND(AH227&gt;=AG227,AH227&lt;=AF227),((AH227-AG227)*12)*Q227,0))</f>
        <v>0</v>
      </c>
      <c r="T227">
        <f>IF(S227&gt;0,S227,R227)</f>
        <v>0</v>
      </c>
      <c r="U227">
        <v>1</v>
      </c>
      <c r="V227">
        <f>U227*SUM(R227:S227)</f>
        <v>0</v>
      </c>
      <c r="X227">
        <f>IF(AD227&gt;AE227,0,IF(AF227&lt;AG227,P227,IF(AND(AF227&gt;=AG227,AF227&lt;=AE227),(P227-T227),IF(AND(AG227&lt;=AD227,AE227&gt;=AD227),0,IF(AF227&gt;AE227,((AG227-AD227)*12)*Q227,0)))))</f>
        <v>6670.7520000000004</v>
      </c>
      <c r="Y227">
        <f>X227*U227</f>
        <v>6670.7520000000004</v>
      </c>
      <c r="Z227">
        <v>1</v>
      </c>
      <c r="AA227">
        <f>Y227*Z227</f>
        <v>6670.7520000000004</v>
      </c>
      <c r="AB227">
        <f>IF(O227&gt;0,0,AA227+V227*Z227)*Z227</f>
        <v>6670.7520000000004</v>
      </c>
      <c r="AC227">
        <f>IF(O227&gt;0,(N227-AA227)/2,IF(AD227&gt;=AG227,(((N227*U227)*Z227)-AB227)/2,((((N227*U227)*Z227)-AA227)+(((N227*U227)*Z227)-AB227))/2))</f>
        <v>1667.6880000000001</v>
      </c>
      <c r="AD227">
        <f>$E227+(($F227-1)/12)</f>
        <v>2006</v>
      </c>
      <c r="AE227">
        <f>($P$5+1)-($P$2/12)</f>
        <v>2018.0833333333333</v>
      </c>
      <c r="AF227">
        <f>$K227+(($F227-1)/12)</f>
        <v>2013</v>
      </c>
      <c r="AG227">
        <f>$P$4+($P$3/12)</f>
        <v>2017.0833333333333</v>
      </c>
      <c r="AH227">
        <f t="shared" si="135"/>
        <v>-8.3333333333333329E-2</v>
      </c>
      <c r="BX227" t="s">
        <v>258</v>
      </c>
    </row>
    <row r="231" spans="1:76">
      <c r="D231" t="s">
        <v>507</v>
      </c>
    </row>
    <row r="232" spans="1:76">
      <c r="A232" t="s">
        <v>155</v>
      </c>
      <c r="B232" t="s">
        <v>508</v>
      </c>
      <c r="C232">
        <v>3553</v>
      </c>
      <c r="D232" t="s">
        <v>168</v>
      </c>
      <c r="E232">
        <v>1999</v>
      </c>
      <c r="F232">
        <v>10</v>
      </c>
      <c r="G232">
        <v>0.2</v>
      </c>
      <c r="I232" t="s">
        <v>78</v>
      </c>
      <c r="J232">
        <v>7</v>
      </c>
      <c r="K232">
        <f t="shared" ref="K232:K239" si="136">E232+J232</f>
        <v>2006</v>
      </c>
      <c r="N232">
        <v>85472.55</v>
      </c>
      <c r="P232">
        <f t="shared" ref="P232:P239" si="137">N232-N232*G232</f>
        <v>68378.040000000008</v>
      </c>
      <c r="Q232">
        <f t="shared" ref="Q232:Q239" si="138">P232/J232/12</f>
        <v>814.02428571428584</v>
      </c>
      <c r="R232">
        <f t="shared" ref="R232:R239" si="139">IF(O232&gt;0,0,IF(OR(AD232&gt;AE232,AF232&lt;AG232),0,IF(AND(AF232&gt;=AG232,AF232&lt;=AE232),Q232*((AF232-AG232)*12),IF(AND(AG232&lt;=AD232,AE232&gt;=AD232),((AE232-AD232)*12)*Q232,IF(AF232&gt;AE232,12*Q232,0)))))</f>
        <v>0</v>
      </c>
      <c r="S232">
        <f t="shared" ref="S232:S239" si="140">IF(O232=0,0,IF(AND(AH232&gt;=AG232,AH232&lt;=AF232),((AH232-AG232)*12)*Q232,0))</f>
        <v>0</v>
      </c>
      <c r="T232">
        <f t="shared" ref="T232:T239" si="141">IF(S232&gt;0,S232,R232)</f>
        <v>0</v>
      </c>
      <c r="U232">
        <v>1</v>
      </c>
      <c r="V232">
        <f t="shared" ref="V232:V239" si="142">U232*SUM(R232:S232)</f>
        <v>0</v>
      </c>
      <c r="X232">
        <f t="shared" ref="X232:X239" si="143">IF(AD232&gt;AE232,0,IF(AF232&lt;AG232,P232,IF(AND(AF232&gt;=AG232,AF232&lt;=AE232),(P232-T232),IF(AND(AG232&lt;=AD232,AE232&gt;=AD232),0,IF(AF232&gt;AE232,((AG232-AD232)*12)*Q232,0)))))</f>
        <v>68378.040000000008</v>
      </c>
      <c r="Y232">
        <f t="shared" ref="Y232:Y239" si="144">X232*U232</f>
        <v>68378.040000000008</v>
      </c>
      <c r="Z232">
        <v>1</v>
      </c>
      <c r="AA232">
        <f t="shared" ref="AA232:AA239" si="145">Y232*Z232</f>
        <v>68378.040000000008</v>
      </c>
      <c r="AB232">
        <f t="shared" ref="AB232:AB239" si="146">IF(O232&gt;0,0,AA232+V232*Z232)*Z232</f>
        <v>68378.040000000008</v>
      </c>
      <c r="AC232">
        <f t="shared" ref="AC232:AC239" si="147">IF(O232&gt;0,(N232-AA232)/2,IF(AD232&gt;=AG232,(((N232*U232)*Z232)-AB232)/2,((((N232*U232)*Z232)-AA232)+(((N232*U232)*Z232)-AB232))/2))</f>
        <v>17094.509999999995</v>
      </c>
      <c r="AD232">
        <f t="shared" ref="AD232:AD239" si="148">$E232+(($F232-1)/12)</f>
        <v>1999.75</v>
      </c>
      <c r="AE232">
        <f t="shared" ref="AE232:AE239" si="149">($P$5+1)-($P$2/12)</f>
        <v>2018.0833333333333</v>
      </c>
      <c r="AF232">
        <f t="shared" ref="AF232:AF239" si="150">$K232+(($F232-1)/12)</f>
        <v>2006.75</v>
      </c>
      <c r="AG232">
        <f t="shared" ref="AG232:AG239" si="151">$P$4+($P$3/12)</f>
        <v>2017.0833333333333</v>
      </c>
      <c r="AH232">
        <f t="shared" ref="AH232:AH239" si="152">$L232+(($M232-1)/12)</f>
        <v>-8.3333333333333329E-2</v>
      </c>
    </row>
    <row r="233" spans="1:76">
      <c r="A233" t="s">
        <v>155</v>
      </c>
      <c r="B233" t="s">
        <v>508</v>
      </c>
      <c r="C233">
        <v>3553</v>
      </c>
      <c r="D233" t="s">
        <v>142</v>
      </c>
      <c r="E233">
        <v>1999</v>
      </c>
      <c r="F233">
        <v>10</v>
      </c>
      <c r="G233">
        <v>0.2</v>
      </c>
      <c r="I233" t="s">
        <v>78</v>
      </c>
      <c r="J233">
        <v>7</v>
      </c>
      <c r="K233">
        <f t="shared" si="136"/>
        <v>2006</v>
      </c>
      <c r="N233">
        <v>1532.03</v>
      </c>
      <c r="P233">
        <f t="shared" si="137"/>
        <v>1225.624</v>
      </c>
      <c r="Q233">
        <f t="shared" si="138"/>
        <v>14.590761904761905</v>
      </c>
      <c r="R233">
        <f t="shared" si="139"/>
        <v>0</v>
      </c>
      <c r="S233">
        <f t="shared" si="140"/>
        <v>0</v>
      </c>
      <c r="T233">
        <f t="shared" si="141"/>
        <v>0</v>
      </c>
      <c r="U233">
        <v>1</v>
      </c>
      <c r="V233">
        <f t="shared" si="142"/>
        <v>0</v>
      </c>
      <c r="X233">
        <f t="shared" si="143"/>
        <v>1225.624</v>
      </c>
      <c r="Y233">
        <f t="shared" si="144"/>
        <v>1225.624</v>
      </c>
      <c r="Z233">
        <v>1</v>
      </c>
      <c r="AA233">
        <f t="shared" si="145"/>
        <v>1225.624</v>
      </c>
      <c r="AB233">
        <f t="shared" si="146"/>
        <v>1225.624</v>
      </c>
      <c r="AC233">
        <f t="shared" si="147"/>
        <v>306.40599999999995</v>
      </c>
      <c r="AD233">
        <f t="shared" si="148"/>
        <v>1999.75</v>
      </c>
      <c r="AE233">
        <f t="shared" si="149"/>
        <v>2018.0833333333333</v>
      </c>
      <c r="AF233">
        <f t="shared" si="150"/>
        <v>2006.75</v>
      </c>
      <c r="AG233">
        <f t="shared" si="151"/>
        <v>2017.0833333333333</v>
      </c>
      <c r="AH233">
        <f t="shared" si="152"/>
        <v>-8.3333333333333329E-2</v>
      </c>
    </row>
    <row r="234" spans="1:76">
      <c r="A234" t="s">
        <v>155</v>
      </c>
      <c r="B234" t="s">
        <v>508</v>
      </c>
      <c r="C234">
        <v>3553</v>
      </c>
      <c r="D234" t="s">
        <v>92</v>
      </c>
      <c r="E234">
        <v>1999</v>
      </c>
      <c r="F234">
        <v>12</v>
      </c>
      <c r="G234">
        <v>0.2</v>
      </c>
      <c r="I234" t="s">
        <v>78</v>
      </c>
      <c r="J234">
        <v>7</v>
      </c>
      <c r="K234">
        <f t="shared" si="136"/>
        <v>2006</v>
      </c>
      <c r="N234">
        <v>62217.11</v>
      </c>
      <c r="P234">
        <f t="shared" si="137"/>
        <v>49773.688000000002</v>
      </c>
      <c r="Q234">
        <f t="shared" si="138"/>
        <v>592.54390476190486</v>
      </c>
      <c r="R234">
        <f t="shared" si="139"/>
        <v>0</v>
      </c>
      <c r="S234">
        <f t="shared" si="140"/>
        <v>0</v>
      </c>
      <c r="T234">
        <f t="shared" si="141"/>
        <v>0</v>
      </c>
      <c r="U234">
        <v>1</v>
      </c>
      <c r="V234">
        <f t="shared" si="142"/>
        <v>0</v>
      </c>
      <c r="X234">
        <f t="shared" si="143"/>
        <v>49773.688000000002</v>
      </c>
      <c r="Y234">
        <f t="shared" si="144"/>
        <v>49773.688000000002</v>
      </c>
      <c r="Z234">
        <v>1</v>
      </c>
      <c r="AA234">
        <f t="shared" si="145"/>
        <v>49773.688000000002</v>
      </c>
      <c r="AB234">
        <f t="shared" si="146"/>
        <v>49773.688000000002</v>
      </c>
      <c r="AC234">
        <f t="shared" si="147"/>
        <v>12443.421999999999</v>
      </c>
      <c r="AD234">
        <f t="shared" si="148"/>
        <v>1999.9166666666667</v>
      </c>
      <c r="AE234">
        <f t="shared" si="149"/>
        <v>2018.0833333333333</v>
      </c>
      <c r="AF234">
        <f t="shared" si="150"/>
        <v>2006.9166666666667</v>
      </c>
      <c r="AG234">
        <f t="shared" si="151"/>
        <v>2017.0833333333333</v>
      </c>
      <c r="AH234">
        <f t="shared" si="152"/>
        <v>-8.3333333333333329E-2</v>
      </c>
    </row>
    <row r="235" spans="1:76">
      <c r="A235" t="s">
        <v>284</v>
      </c>
      <c r="B235" t="s">
        <v>508</v>
      </c>
      <c r="C235">
        <v>3553</v>
      </c>
      <c r="D235" t="s">
        <v>0</v>
      </c>
      <c r="E235">
        <v>2000</v>
      </c>
      <c r="F235">
        <v>1</v>
      </c>
      <c r="G235">
        <v>0.2</v>
      </c>
      <c r="I235" t="s">
        <v>78</v>
      </c>
      <c r="J235">
        <v>7</v>
      </c>
      <c r="K235">
        <f t="shared" si="136"/>
        <v>2007</v>
      </c>
      <c r="N235">
        <v>2015</v>
      </c>
      <c r="P235">
        <f t="shared" si="137"/>
        <v>1612</v>
      </c>
      <c r="Q235">
        <f t="shared" si="138"/>
        <v>19.19047619047619</v>
      </c>
      <c r="R235">
        <f t="shared" si="139"/>
        <v>0</v>
      </c>
      <c r="S235">
        <f t="shared" si="140"/>
        <v>0</v>
      </c>
      <c r="T235">
        <f t="shared" si="141"/>
        <v>0</v>
      </c>
      <c r="U235">
        <v>1</v>
      </c>
      <c r="V235">
        <f t="shared" si="142"/>
        <v>0</v>
      </c>
      <c r="X235">
        <f t="shared" si="143"/>
        <v>1612</v>
      </c>
      <c r="Y235">
        <f t="shared" si="144"/>
        <v>1612</v>
      </c>
      <c r="Z235">
        <v>1</v>
      </c>
      <c r="AA235">
        <f t="shared" si="145"/>
        <v>1612</v>
      </c>
      <c r="AB235">
        <f t="shared" si="146"/>
        <v>1612</v>
      </c>
      <c r="AC235">
        <f t="shared" si="147"/>
        <v>403</v>
      </c>
      <c r="AD235">
        <f t="shared" si="148"/>
        <v>2000</v>
      </c>
      <c r="AE235">
        <f t="shared" si="149"/>
        <v>2018.0833333333333</v>
      </c>
      <c r="AF235">
        <f t="shared" si="150"/>
        <v>2007</v>
      </c>
      <c r="AG235">
        <f t="shared" si="151"/>
        <v>2017.0833333333333</v>
      </c>
      <c r="AH235">
        <f t="shared" si="152"/>
        <v>-8.3333333333333329E-2</v>
      </c>
    </row>
    <row r="236" spans="1:76">
      <c r="B236" t="s">
        <v>508</v>
      </c>
      <c r="C236">
        <v>1003</v>
      </c>
      <c r="D236" t="s">
        <v>458</v>
      </c>
      <c r="E236">
        <v>1995</v>
      </c>
      <c r="F236">
        <v>6</v>
      </c>
      <c r="G236">
        <v>0.2</v>
      </c>
      <c r="I236" t="s">
        <v>78</v>
      </c>
      <c r="J236">
        <v>7</v>
      </c>
      <c r="K236">
        <f t="shared" si="136"/>
        <v>2002</v>
      </c>
      <c r="N236">
        <v>25896</v>
      </c>
      <c r="P236">
        <f t="shared" si="137"/>
        <v>20716.8</v>
      </c>
      <c r="Q236">
        <f t="shared" si="138"/>
        <v>246.62857142857141</v>
      </c>
      <c r="R236">
        <f t="shared" si="139"/>
        <v>0</v>
      </c>
      <c r="S236">
        <f t="shared" si="140"/>
        <v>0</v>
      </c>
      <c r="T236">
        <f t="shared" si="141"/>
        <v>0</v>
      </c>
      <c r="U236">
        <v>1</v>
      </c>
      <c r="V236">
        <f t="shared" si="142"/>
        <v>0</v>
      </c>
      <c r="X236">
        <f t="shared" si="143"/>
        <v>20716.8</v>
      </c>
      <c r="Y236">
        <f t="shared" si="144"/>
        <v>20716.8</v>
      </c>
      <c r="Z236">
        <v>1</v>
      </c>
      <c r="AA236">
        <f t="shared" si="145"/>
        <v>20716.8</v>
      </c>
      <c r="AB236">
        <f t="shared" si="146"/>
        <v>20716.8</v>
      </c>
      <c r="AC236">
        <f t="shared" si="147"/>
        <v>5179.2000000000007</v>
      </c>
      <c r="AD236">
        <f t="shared" si="148"/>
        <v>1995.4166666666667</v>
      </c>
      <c r="AE236">
        <f t="shared" si="149"/>
        <v>2018.0833333333333</v>
      </c>
      <c r="AF236">
        <f t="shared" si="150"/>
        <v>2002.4166666666667</v>
      </c>
      <c r="AG236">
        <f t="shared" si="151"/>
        <v>2017.0833333333333</v>
      </c>
      <c r="AH236">
        <f t="shared" si="152"/>
        <v>-8.3333333333333329E-2</v>
      </c>
    </row>
    <row r="237" spans="1:76">
      <c r="B237" t="s">
        <v>508</v>
      </c>
      <c r="C237">
        <v>1003</v>
      </c>
      <c r="D237" t="s">
        <v>459</v>
      </c>
      <c r="E237">
        <v>1995</v>
      </c>
      <c r="F237">
        <v>9</v>
      </c>
      <c r="G237">
        <v>0.2</v>
      </c>
      <c r="I237" t="s">
        <v>78</v>
      </c>
      <c r="J237">
        <v>7</v>
      </c>
      <c r="K237">
        <f t="shared" si="136"/>
        <v>2002</v>
      </c>
      <c r="N237">
        <v>386</v>
      </c>
      <c r="P237">
        <f t="shared" si="137"/>
        <v>308.8</v>
      </c>
      <c r="Q237">
        <f t="shared" si="138"/>
        <v>3.676190476190476</v>
      </c>
      <c r="R237">
        <f t="shared" si="139"/>
        <v>0</v>
      </c>
      <c r="S237">
        <f t="shared" si="140"/>
        <v>0</v>
      </c>
      <c r="T237">
        <f t="shared" si="141"/>
        <v>0</v>
      </c>
      <c r="U237">
        <v>1</v>
      </c>
      <c r="V237">
        <f t="shared" si="142"/>
        <v>0</v>
      </c>
      <c r="X237">
        <f t="shared" si="143"/>
        <v>308.8</v>
      </c>
      <c r="Y237">
        <f t="shared" si="144"/>
        <v>308.8</v>
      </c>
      <c r="Z237">
        <v>1</v>
      </c>
      <c r="AA237">
        <f t="shared" si="145"/>
        <v>308.8</v>
      </c>
      <c r="AB237">
        <f t="shared" si="146"/>
        <v>308.8</v>
      </c>
      <c r="AC237">
        <f t="shared" si="147"/>
        <v>77.199999999999989</v>
      </c>
      <c r="AD237">
        <f t="shared" si="148"/>
        <v>1995.6666666666667</v>
      </c>
      <c r="AE237">
        <f t="shared" si="149"/>
        <v>2018.0833333333333</v>
      </c>
      <c r="AF237">
        <f t="shared" si="150"/>
        <v>2002.6666666666667</v>
      </c>
      <c r="AG237">
        <f t="shared" si="151"/>
        <v>2017.0833333333333</v>
      </c>
      <c r="AH237">
        <f t="shared" si="152"/>
        <v>-8.3333333333333329E-2</v>
      </c>
    </row>
    <row r="238" spans="1:76">
      <c r="B238" t="s">
        <v>508</v>
      </c>
      <c r="C238">
        <v>1003</v>
      </c>
      <c r="D238" t="s">
        <v>460</v>
      </c>
      <c r="E238">
        <v>1995</v>
      </c>
      <c r="F238">
        <v>10</v>
      </c>
      <c r="G238">
        <v>0.2</v>
      </c>
      <c r="I238" t="s">
        <v>78</v>
      </c>
      <c r="J238">
        <v>7</v>
      </c>
      <c r="K238">
        <f t="shared" si="136"/>
        <v>2002</v>
      </c>
      <c r="N238">
        <v>49699</v>
      </c>
      <c r="P238">
        <f t="shared" si="137"/>
        <v>39759.199999999997</v>
      </c>
      <c r="Q238">
        <f t="shared" si="138"/>
        <v>473.32380952380953</v>
      </c>
      <c r="R238">
        <f t="shared" si="139"/>
        <v>0</v>
      </c>
      <c r="S238">
        <f t="shared" si="140"/>
        <v>0</v>
      </c>
      <c r="T238">
        <f t="shared" si="141"/>
        <v>0</v>
      </c>
      <c r="U238">
        <v>1</v>
      </c>
      <c r="V238">
        <f t="shared" si="142"/>
        <v>0</v>
      </c>
      <c r="X238">
        <f t="shared" si="143"/>
        <v>39759.199999999997</v>
      </c>
      <c r="Y238">
        <f t="shared" si="144"/>
        <v>39759.199999999997</v>
      </c>
      <c r="Z238">
        <v>1</v>
      </c>
      <c r="AA238">
        <f t="shared" si="145"/>
        <v>39759.199999999997</v>
      </c>
      <c r="AB238">
        <f t="shared" si="146"/>
        <v>39759.199999999997</v>
      </c>
      <c r="AC238">
        <f t="shared" si="147"/>
        <v>9939.8000000000029</v>
      </c>
      <c r="AD238">
        <f t="shared" si="148"/>
        <v>1995.75</v>
      </c>
      <c r="AE238">
        <f t="shared" si="149"/>
        <v>2018.0833333333333</v>
      </c>
      <c r="AF238">
        <f t="shared" si="150"/>
        <v>2002.75</v>
      </c>
      <c r="AG238">
        <f t="shared" si="151"/>
        <v>2017.0833333333333</v>
      </c>
      <c r="AH238">
        <f t="shared" si="152"/>
        <v>-8.3333333333333329E-2</v>
      </c>
    </row>
    <row r="239" spans="1:76">
      <c r="B239" t="s">
        <v>508</v>
      </c>
      <c r="C239">
        <v>1003</v>
      </c>
      <c r="D239" t="s">
        <v>535</v>
      </c>
      <c r="E239">
        <v>1995</v>
      </c>
      <c r="F239">
        <v>10</v>
      </c>
      <c r="G239">
        <v>0.2</v>
      </c>
      <c r="I239" t="s">
        <v>78</v>
      </c>
      <c r="J239">
        <v>7</v>
      </c>
      <c r="K239">
        <f t="shared" si="136"/>
        <v>2002</v>
      </c>
      <c r="N239">
        <v>3883</v>
      </c>
      <c r="P239">
        <f t="shared" si="137"/>
        <v>3106.4</v>
      </c>
      <c r="Q239">
        <f t="shared" si="138"/>
        <v>36.980952380952381</v>
      </c>
      <c r="R239">
        <f t="shared" si="139"/>
        <v>0</v>
      </c>
      <c r="S239">
        <f t="shared" si="140"/>
        <v>0</v>
      </c>
      <c r="T239">
        <f t="shared" si="141"/>
        <v>0</v>
      </c>
      <c r="U239">
        <v>1</v>
      </c>
      <c r="V239">
        <f t="shared" si="142"/>
        <v>0</v>
      </c>
      <c r="X239">
        <f t="shared" si="143"/>
        <v>3106.4</v>
      </c>
      <c r="Y239">
        <f t="shared" si="144"/>
        <v>3106.4</v>
      </c>
      <c r="Z239">
        <v>1</v>
      </c>
      <c r="AA239">
        <f t="shared" si="145"/>
        <v>3106.4</v>
      </c>
      <c r="AB239">
        <f t="shared" si="146"/>
        <v>3106.4</v>
      </c>
      <c r="AC239">
        <f t="shared" si="147"/>
        <v>776.59999999999991</v>
      </c>
      <c r="AD239">
        <f t="shared" si="148"/>
        <v>1995.75</v>
      </c>
      <c r="AE239">
        <f t="shared" si="149"/>
        <v>2018.0833333333333</v>
      </c>
      <c r="AF239">
        <f t="shared" si="150"/>
        <v>2002.75</v>
      </c>
      <c r="AG239">
        <f t="shared" si="151"/>
        <v>2017.0833333333333</v>
      </c>
      <c r="AH239">
        <f t="shared" si="152"/>
        <v>-8.3333333333333329E-2</v>
      </c>
    </row>
    <row r="244" spans="1:34">
      <c r="D244" t="s">
        <v>580</v>
      </c>
    </row>
    <row r="245" spans="1:34">
      <c r="A245">
        <v>114267</v>
      </c>
      <c r="B245" t="s">
        <v>285</v>
      </c>
      <c r="C245">
        <v>1009</v>
      </c>
      <c r="D245" t="s">
        <v>458</v>
      </c>
      <c r="E245">
        <v>1995</v>
      </c>
      <c r="F245">
        <v>7</v>
      </c>
      <c r="G245">
        <v>0.2</v>
      </c>
      <c r="I245" t="s">
        <v>78</v>
      </c>
      <c r="J245">
        <v>7</v>
      </c>
      <c r="K245">
        <f t="shared" ref="K245:K259" si="153">E245+J245</f>
        <v>2002</v>
      </c>
      <c r="N245">
        <v>25896</v>
      </c>
      <c r="P245">
        <f t="shared" ref="P245:P262" si="154">N245-N245*G245</f>
        <v>20716.8</v>
      </c>
      <c r="Q245">
        <f t="shared" ref="Q245:Q262" si="155">P245/J245/12</f>
        <v>246.62857142857141</v>
      </c>
      <c r="R245">
        <f t="shared" ref="R245:R258" si="156">IF(O245&gt;0,0,IF(OR(AD245&gt;AE245,AF245&lt;AG245),0,IF(AND(AF245&gt;=AG245,AF245&lt;=AE245),Q245*((AF245-AG245)*12),IF(AND(AG245&lt;=AD245,AE245&gt;=AD245),((AE245-AD245)*12)*Q245,IF(AF245&gt;AE245,12*Q245,0)))))</f>
        <v>0</v>
      </c>
      <c r="S245">
        <f t="shared" ref="S245:S258" si="157">IF(O245=0,0,IF(AND(AH245&gt;=AG245,AH245&lt;=AF245),((AH245-AG245)*12)*Q245,0))</f>
        <v>0</v>
      </c>
      <c r="T245">
        <f t="shared" ref="T245:T258" si="158">IF(S245&gt;0,S245,R245)</f>
        <v>0</v>
      </c>
      <c r="U245">
        <v>1</v>
      </c>
      <c r="V245">
        <f t="shared" ref="V245:V258" si="159">U245*SUM(R245:S245)</f>
        <v>0</v>
      </c>
      <c r="X245">
        <f t="shared" ref="X245:X258" si="160">IF(AD245&gt;AE245,0,IF(AF245&lt;AG245,P245,IF(AND(AF245&gt;=AG245,AF245&lt;=AE245),(P245-T245),IF(AND(AG245&lt;=AD245,AE245&gt;=AD245),0,IF(AF245&gt;AE245,((AG245-AD245)*12)*Q245,0)))))</f>
        <v>20716.8</v>
      </c>
      <c r="Y245">
        <f t="shared" ref="Y245:Y258" si="161">X245*U245</f>
        <v>20716.8</v>
      </c>
      <c r="Z245">
        <v>1</v>
      </c>
      <c r="AA245">
        <f t="shared" ref="AA245:AA258" si="162">Y245*Z245</f>
        <v>20716.8</v>
      </c>
      <c r="AB245">
        <f t="shared" ref="AB245:AB258" si="163">IF(O245&gt;0,0,AA245+V245*Z245)*Z245</f>
        <v>20716.8</v>
      </c>
      <c r="AC245">
        <f t="shared" ref="AC245:AC258" si="164">IF(O245&gt;0,(N245-AA245)/2,IF(AD245&gt;=AG245,(((N245*U245)*Z245)-AB245)/2,((((N245*U245)*Z245)-AA245)+(((N245*U245)*Z245)-AB245))/2))</f>
        <v>5179.2000000000007</v>
      </c>
      <c r="AD245">
        <f t="shared" ref="AD245:AD262" si="165">$E245+(($F245-1)/12)</f>
        <v>1995.5</v>
      </c>
      <c r="AE245">
        <f t="shared" ref="AE245:AE262" si="166">($P$5+1)-($P$2/12)</f>
        <v>2018.0833333333333</v>
      </c>
      <c r="AF245">
        <f t="shared" ref="AF245:AF262" si="167">$K245+(($F245-1)/12)</f>
        <v>2002.5</v>
      </c>
      <c r="AG245">
        <f t="shared" ref="AG245:AG262" si="168">$P$4+($P$3/12)</f>
        <v>2017.0833333333333</v>
      </c>
      <c r="AH245">
        <f t="shared" ref="AH245:AH262" si="169">$L245+(($M245-1)/12)</f>
        <v>-8.3333333333333329E-2</v>
      </c>
    </row>
    <row r="246" spans="1:34">
      <c r="B246" t="s">
        <v>285</v>
      </c>
      <c r="C246">
        <v>1009</v>
      </c>
      <c r="D246" t="s">
        <v>459</v>
      </c>
      <c r="E246">
        <v>1995</v>
      </c>
      <c r="F246">
        <v>10</v>
      </c>
      <c r="G246">
        <v>0.2</v>
      </c>
      <c r="I246" t="s">
        <v>78</v>
      </c>
      <c r="J246">
        <v>7</v>
      </c>
      <c r="K246">
        <f t="shared" si="153"/>
        <v>2002</v>
      </c>
      <c r="N246">
        <v>469.6</v>
      </c>
      <c r="P246">
        <f t="shared" si="154"/>
        <v>375.68</v>
      </c>
      <c r="Q246">
        <f t="shared" si="155"/>
        <v>4.472380952380953</v>
      </c>
      <c r="R246">
        <f t="shared" si="156"/>
        <v>0</v>
      </c>
      <c r="S246">
        <f t="shared" si="157"/>
        <v>0</v>
      </c>
      <c r="T246">
        <f t="shared" si="158"/>
        <v>0</v>
      </c>
      <c r="U246">
        <v>1</v>
      </c>
      <c r="V246">
        <f t="shared" si="159"/>
        <v>0</v>
      </c>
      <c r="X246">
        <f t="shared" si="160"/>
        <v>375.68</v>
      </c>
      <c r="Y246">
        <f t="shared" si="161"/>
        <v>375.68</v>
      </c>
      <c r="Z246">
        <v>1</v>
      </c>
      <c r="AA246">
        <f t="shared" si="162"/>
        <v>375.68</v>
      </c>
      <c r="AB246">
        <f t="shared" si="163"/>
        <v>375.68</v>
      </c>
      <c r="AC246">
        <f t="shared" si="164"/>
        <v>93.920000000000016</v>
      </c>
      <c r="AD246">
        <f t="shared" si="165"/>
        <v>1995.75</v>
      </c>
      <c r="AE246">
        <f t="shared" si="166"/>
        <v>2018.0833333333333</v>
      </c>
      <c r="AF246">
        <f t="shared" si="167"/>
        <v>2002.75</v>
      </c>
      <c r="AG246">
        <f t="shared" si="168"/>
        <v>2017.0833333333333</v>
      </c>
      <c r="AH246">
        <f t="shared" si="169"/>
        <v>-8.3333333333333329E-2</v>
      </c>
    </row>
    <row r="247" spans="1:34">
      <c r="A247">
        <v>114267</v>
      </c>
      <c r="B247" t="s">
        <v>285</v>
      </c>
      <c r="C247">
        <v>1009</v>
      </c>
      <c r="D247" t="s">
        <v>460</v>
      </c>
      <c r="E247">
        <v>1995</v>
      </c>
      <c r="F247">
        <v>11</v>
      </c>
      <c r="G247">
        <v>0.2</v>
      </c>
      <c r="I247" t="s">
        <v>78</v>
      </c>
      <c r="J247">
        <v>7</v>
      </c>
      <c r="K247">
        <f t="shared" si="153"/>
        <v>2002</v>
      </c>
      <c r="N247">
        <v>49699</v>
      </c>
      <c r="P247">
        <f t="shared" si="154"/>
        <v>39759.199999999997</v>
      </c>
      <c r="Q247">
        <f t="shared" si="155"/>
        <v>473.32380952380953</v>
      </c>
      <c r="R247">
        <f t="shared" si="156"/>
        <v>0</v>
      </c>
      <c r="S247">
        <f t="shared" si="157"/>
        <v>0</v>
      </c>
      <c r="T247">
        <f t="shared" si="158"/>
        <v>0</v>
      </c>
      <c r="U247">
        <v>1</v>
      </c>
      <c r="V247">
        <f t="shared" si="159"/>
        <v>0</v>
      </c>
      <c r="X247">
        <f t="shared" si="160"/>
        <v>39759.199999999997</v>
      </c>
      <c r="Y247">
        <f t="shared" si="161"/>
        <v>39759.199999999997</v>
      </c>
      <c r="Z247">
        <v>1</v>
      </c>
      <c r="AA247">
        <f t="shared" si="162"/>
        <v>39759.199999999997</v>
      </c>
      <c r="AB247">
        <f t="shared" si="163"/>
        <v>39759.199999999997</v>
      </c>
      <c r="AC247">
        <f t="shared" si="164"/>
        <v>9939.8000000000029</v>
      </c>
      <c r="AD247">
        <f t="shared" si="165"/>
        <v>1995.8333333333333</v>
      </c>
      <c r="AE247">
        <f t="shared" si="166"/>
        <v>2018.0833333333333</v>
      </c>
      <c r="AF247">
        <f t="shared" si="167"/>
        <v>2002.8333333333333</v>
      </c>
      <c r="AG247">
        <f t="shared" si="168"/>
        <v>2017.0833333333333</v>
      </c>
      <c r="AH247">
        <f t="shared" si="169"/>
        <v>-8.3333333333333329E-2</v>
      </c>
    </row>
    <row r="248" spans="1:34">
      <c r="B248" t="s">
        <v>285</v>
      </c>
      <c r="C248">
        <v>1009</v>
      </c>
      <c r="D248" t="s">
        <v>461</v>
      </c>
      <c r="E248">
        <v>1996</v>
      </c>
      <c r="F248">
        <v>1</v>
      </c>
      <c r="G248">
        <v>0.2</v>
      </c>
      <c r="I248" t="s">
        <v>78</v>
      </c>
      <c r="J248">
        <v>7</v>
      </c>
      <c r="K248">
        <f t="shared" si="153"/>
        <v>2003</v>
      </c>
      <c r="N248">
        <v>122</v>
      </c>
      <c r="P248">
        <f t="shared" si="154"/>
        <v>97.6</v>
      </c>
      <c r="Q248">
        <f t="shared" si="155"/>
        <v>1.1619047619047618</v>
      </c>
      <c r="R248">
        <f t="shared" si="156"/>
        <v>0</v>
      </c>
      <c r="S248">
        <f t="shared" si="157"/>
        <v>0</v>
      </c>
      <c r="T248">
        <f t="shared" si="158"/>
        <v>0</v>
      </c>
      <c r="U248">
        <v>1</v>
      </c>
      <c r="V248">
        <f t="shared" si="159"/>
        <v>0</v>
      </c>
      <c r="X248">
        <f t="shared" si="160"/>
        <v>97.6</v>
      </c>
      <c r="Y248">
        <f t="shared" si="161"/>
        <v>97.6</v>
      </c>
      <c r="Z248">
        <v>1</v>
      </c>
      <c r="AA248">
        <f t="shared" si="162"/>
        <v>97.6</v>
      </c>
      <c r="AB248">
        <f t="shared" si="163"/>
        <v>97.6</v>
      </c>
      <c r="AC248">
        <f t="shared" si="164"/>
        <v>24.400000000000006</v>
      </c>
      <c r="AD248">
        <f t="shared" si="165"/>
        <v>1996</v>
      </c>
      <c r="AE248">
        <f t="shared" si="166"/>
        <v>2018.0833333333333</v>
      </c>
      <c r="AF248">
        <f t="shared" si="167"/>
        <v>2003</v>
      </c>
      <c r="AG248">
        <f t="shared" si="168"/>
        <v>2017.0833333333333</v>
      </c>
      <c r="AH248">
        <f t="shared" si="169"/>
        <v>-8.3333333333333329E-2</v>
      </c>
    </row>
    <row r="249" spans="1:34">
      <c r="B249">
        <v>88721</v>
      </c>
      <c r="D249" t="s">
        <v>439</v>
      </c>
      <c r="E249">
        <v>2011</v>
      </c>
      <c r="F249">
        <v>12</v>
      </c>
      <c r="G249">
        <v>0</v>
      </c>
      <c r="I249" t="s">
        <v>78</v>
      </c>
      <c r="J249">
        <v>5</v>
      </c>
      <c r="K249">
        <f t="shared" si="153"/>
        <v>2016</v>
      </c>
      <c r="N249">
        <f>487.65*2</f>
        <v>975.3</v>
      </c>
      <c r="P249">
        <f t="shared" si="154"/>
        <v>975.3</v>
      </c>
      <c r="Q249">
        <f t="shared" si="155"/>
        <v>16.254999999999999</v>
      </c>
      <c r="R249">
        <f t="shared" si="156"/>
        <v>0</v>
      </c>
      <c r="S249">
        <f t="shared" si="157"/>
        <v>0</v>
      </c>
      <c r="T249">
        <f t="shared" si="158"/>
        <v>0</v>
      </c>
      <c r="U249">
        <v>1</v>
      </c>
      <c r="V249">
        <f t="shared" si="159"/>
        <v>0</v>
      </c>
      <c r="X249">
        <f t="shared" si="160"/>
        <v>975.3</v>
      </c>
      <c r="Y249">
        <f t="shared" si="161"/>
        <v>975.3</v>
      </c>
      <c r="Z249">
        <v>1</v>
      </c>
      <c r="AA249">
        <f t="shared" si="162"/>
        <v>975.3</v>
      </c>
      <c r="AB249">
        <f t="shared" si="163"/>
        <v>975.3</v>
      </c>
      <c r="AC249">
        <f t="shared" si="164"/>
        <v>0</v>
      </c>
      <c r="AD249">
        <f t="shared" si="165"/>
        <v>2011.9166666666667</v>
      </c>
      <c r="AE249">
        <f t="shared" si="166"/>
        <v>2018.0833333333333</v>
      </c>
      <c r="AF249">
        <f t="shared" si="167"/>
        <v>2016.9166666666667</v>
      </c>
      <c r="AG249">
        <f t="shared" si="168"/>
        <v>2017.0833333333333</v>
      </c>
      <c r="AH249">
        <f t="shared" si="169"/>
        <v>-8.3333333333333329E-2</v>
      </c>
    </row>
    <row r="250" spans="1:34">
      <c r="A250" t="s">
        <v>155</v>
      </c>
      <c r="C250">
        <v>3556</v>
      </c>
      <c r="D250" t="s">
        <v>142</v>
      </c>
      <c r="E250">
        <v>1999</v>
      </c>
      <c r="F250">
        <v>10</v>
      </c>
      <c r="G250">
        <v>0.2</v>
      </c>
      <c r="I250" t="s">
        <v>78</v>
      </c>
      <c r="J250">
        <v>7</v>
      </c>
      <c r="K250">
        <f t="shared" si="153"/>
        <v>2006</v>
      </c>
      <c r="N250">
        <v>1532.02</v>
      </c>
      <c r="P250">
        <f t="shared" si="154"/>
        <v>1225.616</v>
      </c>
      <c r="Q250">
        <f t="shared" si="155"/>
        <v>14.590666666666666</v>
      </c>
      <c r="R250">
        <f t="shared" si="156"/>
        <v>0</v>
      </c>
      <c r="S250">
        <f t="shared" si="157"/>
        <v>0</v>
      </c>
      <c r="T250">
        <f t="shared" si="158"/>
        <v>0</v>
      </c>
      <c r="U250">
        <v>1</v>
      </c>
      <c r="V250">
        <f t="shared" si="159"/>
        <v>0</v>
      </c>
      <c r="X250">
        <f t="shared" si="160"/>
        <v>1225.616</v>
      </c>
      <c r="Y250">
        <f t="shared" si="161"/>
        <v>1225.616</v>
      </c>
      <c r="Z250">
        <v>1</v>
      </c>
      <c r="AA250">
        <f t="shared" si="162"/>
        <v>1225.616</v>
      </c>
      <c r="AB250">
        <f t="shared" si="163"/>
        <v>1225.616</v>
      </c>
      <c r="AC250">
        <f t="shared" si="164"/>
        <v>306.404</v>
      </c>
      <c r="AD250">
        <f t="shared" si="165"/>
        <v>1999.75</v>
      </c>
      <c r="AE250">
        <f t="shared" si="166"/>
        <v>2018.0833333333333</v>
      </c>
      <c r="AF250">
        <f t="shared" si="167"/>
        <v>2006.75</v>
      </c>
      <c r="AG250">
        <f t="shared" si="168"/>
        <v>2017.0833333333333</v>
      </c>
      <c r="AH250">
        <f t="shared" si="169"/>
        <v>-8.3333333333333329E-2</v>
      </c>
    </row>
    <row r="251" spans="1:34">
      <c r="A251" t="s">
        <v>155</v>
      </c>
      <c r="C251">
        <v>3556</v>
      </c>
      <c r="D251" t="s">
        <v>169</v>
      </c>
      <c r="E251">
        <v>1999</v>
      </c>
      <c r="F251">
        <v>11</v>
      </c>
      <c r="G251">
        <v>0.2</v>
      </c>
      <c r="I251" t="s">
        <v>78</v>
      </c>
      <c r="J251">
        <v>7</v>
      </c>
      <c r="K251">
        <f t="shared" si="153"/>
        <v>2006</v>
      </c>
      <c r="N251">
        <v>85472.55</v>
      </c>
      <c r="P251">
        <f t="shared" si="154"/>
        <v>68378.040000000008</v>
      </c>
      <c r="Q251">
        <f t="shared" si="155"/>
        <v>814.02428571428584</v>
      </c>
      <c r="R251">
        <f t="shared" si="156"/>
        <v>0</v>
      </c>
      <c r="S251">
        <f t="shared" si="157"/>
        <v>0</v>
      </c>
      <c r="T251">
        <f t="shared" si="158"/>
        <v>0</v>
      </c>
      <c r="U251">
        <v>1</v>
      </c>
      <c r="V251">
        <f t="shared" si="159"/>
        <v>0</v>
      </c>
      <c r="X251">
        <f t="shared" si="160"/>
        <v>68378.040000000008</v>
      </c>
      <c r="Y251">
        <f t="shared" si="161"/>
        <v>68378.040000000008</v>
      </c>
      <c r="Z251">
        <v>1</v>
      </c>
      <c r="AA251">
        <f t="shared" si="162"/>
        <v>68378.040000000008</v>
      </c>
      <c r="AB251">
        <f t="shared" si="163"/>
        <v>68378.040000000008</v>
      </c>
      <c r="AC251">
        <f t="shared" si="164"/>
        <v>17094.509999999995</v>
      </c>
      <c r="AD251">
        <f t="shared" si="165"/>
        <v>1999.8333333333333</v>
      </c>
      <c r="AE251">
        <f t="shared" si="166"/>
        <v>2018.0833333333333</v>
      </c>
      <c r="AF251">
        <f t="shared" si="167"/>
        <v>2006.8333333333333</v>
      </c>
      <c r="AG251">
        <f t="shared" si="168"/>
        <v>2017.0833333333333</v>
      </c>
      <c r="AH251">
        <f t="shared" si="169"/>
        <v>-8.3333333333333329E-2</v>
      </c>
    </row>
    <row r="252" spans="1:34">
      <c r="A252" t="s">
        <v>155</v>
      </c>
      <c r="C252">
        <v>3556</v>
      </c>
      <c r="D252" t="s">
        <v>92</v>
      </c>
      <c r="E252">
        <v>1999</v>
      </c>
      <c r="F252">
        <v>12</v>
      </c>
      <c r="G252">
        <v>0.2</v>
      </c>
      <c r="I252" t="s">
        <v>78</v>
      </c>
      <c r="J252">
        <v>7</v>
      </c>
      <c r="K252">
        <f t="shared" si="153"/>
        <v>2006</v>
      </c>
      <c r="N252">
        <v>62217.11</v>
      </c>
      <c r="P252">
        <f t="shared" si="154"/>
        <v>49773.688000000002</v>
      </c>
      <c r="Q252">
        <f t="shared" si="155"/>
        <v>592.54390476190486</v>
      </c>
      <c r="R252">
        <f t="shared" si="156"/>
        <v>0</v>
      </c>
      <c r="S252">
        <f t="shared" si="157"/>
        <v>0</v>
      </c>
      <c r="T252">
        <f t="shared" si="158"/>
        <v>0</v>
      </c>
      <c r="U252">
        <v>1</v>
      </c>
      <c r="V252">
        <f t="shared" si="159"/>
        <v>0</v>
      </c>
      <c r="X252">
        <f t="shared" si="160"/>
        <v>49773.688000000002</v>
      </c>
      <c r="Y252">
        <f t="shared" si="161"/>
        <v>49773.688000000002</v>
      </c>
      <c r="Z252">
        <v>1</v>
      </c>
      <c r="AA252">
        <f t="shared" si="162"/>
        <v>49773.688000000002</v>
      </c>
      <c r="AB252">
        <f t="shared" si="163"/>
        <v>49773.688000000002</v>
      </c>
      <c r="AC252">
        <f t="shared" si="164"/>
        <v>12443.421999999999</v>
      </c>
      <c r="AD252">
        <f t="shared" si="165"/>
        <v>1999.9166666666667</v>
      </c>
      <c r="AE252">
        <f t="shared" si="166"/>
        <v>2018.0833333333333</v>
      </c>
      <c r="AF252">
        <f t="shared" si="167"/>
        <v>2006.9166666666667</v>
      </c>
      <c r="AG252">
        <f t="shared" si="168"/>
        <v>2017.0833333333333</v>
      </c>
      <c r="AH252">
        <f t="shared" si="169"/>
        <v>-8.3333333333333329E-2</v>
      </c>
    </row>
    <row r="253" spans="1:34">
      <c r="A253" t="s">
        <v>284</v>
      </c>
      <c r="C253">
        <v>3556</v>
      </c>
      <c r="D253" t="s">
        <v>369</v>
      </c>
      <c r="E253">
        <v>2000</v>
      </c>
      <c r="F253">
        <v>1</v>
      </c>
      <c r="G253">
        <v>0.2</v>
      </c>
      <c r="I253" t="s">
        <v>78</v>
      </c>
      <c r="J253">
        <v>7</v>
      </c>
      <c r="K253">
        <f t="shared" si="153"/>
        <v>2007</v>
      </c>
      <c r="N253">
        <v>3789.2</v>
      </c>
      <c r="P253">
        <f t="shared" si="154"/>
        <v>3031.3599999999997</v>
      </c>
      <c r="Q253">
        <f t="shared" si="155"/>
        <v>36.087619047619043</v>
      </c>
      <c r="R253">
        <f t="shared" si="156"/>
        <v>0</v>
      </c>
      <c r="S253">
        <f t="shared" si="157"/>
        <v>0</v>
      </c>
      <c r="T253">
        <f t="shared" si="158"/>
        <v>0</v>
      </c>
      <c r="U253">
        <v>1</v>
      </c>
      <c r="V253">
        <f t="shared" si="159"/>
        <v>0</v>
      </c>
      <c r="X253">
        <f t="shared" si="160"/>
        <v>3031.3599999999997</v>
      </c>
      <c r="Y253">
        <f t="shared" si="161"/>
        <v>3031.3599999999997</v>
      </c>
      <c r="Z253">
        <v>1</v>
      </c>
      <c r="AA253">
        <f t="shared" si="162"/>
        <v>3031.3599999999997</v>
      </c>
      <c r="AB253">
        <f t="shared" si="163"/>
        <v>3031.3599999999997</v>
      </c>
      <c r="AC253">
        <f t="shared" si="164"/>
        <v>757.84000000000015</v>
      </c>
      <c r="AD253">
        <f t="shared" si="165"/>
        <v>2000</v>
      </c>
      <c r="AE253">
        <f t="shared" si="166"/>
        <v>2018.0833333333333</v>
      </c>
      <c r="AF253">
        <f t="shared" si="167"/>
        <v>2007</v>
      </c>
      <c r="AG253">
        <f t="shared" si="168"/>
        <v>2017.0833333333333</v>
      </c>
      <c r="AH253">
        <f t="shared" si="169"/>
        <v>-8.3333333333333329E-2</v>
      </c>
    </row>
    <row r="254" spans="1:34">
      <c r="A254" t="s">
        <v>284</v>
      </c>
      <c r="C254">
        <v>3556</v>
      </c>
      <c r="D254" t="s">
        <v>1</v>
      </c>
      <c r="E254">
        <v>2000</v>
      </c>
      <c r="F254">
        <v>1</v>
      </c>
      <c r="G254">
        <v>0.2</v>
      </c>
      <c r="I254" t="s">
        <v>78</v>
      </c>
      <c r="J254">
        <v>7</v>
      </c>
      <c r="K254">
        <f t="shared" si="153"/>
        <v>2007</v>
      </c>
      <c r="N254">
        <v>1870</v>
      </c>
      <c r="P254">
        <f t="shared" si="154"/>
        <v>1496</v>
      </c>
      <c r="Q254">
        <f t="shared" si="155"/>
        <v>17.80952380952381</v>
      </c>
      <c r="R254">
        <f t="shared" si="156"/>
        <v>0</v>
      </c>
      <c r="S254">
        <f t="shared" si="157"/>
        <v>0</v>
      </c>
      <c r="T254">
        <f t="shared" si="158"/>
        <v>0</v>
      </c>
      <c r="U254">
        <v>1</v>
      </c>
      <c r="V254">
        <f t="shared" si="159"/>
        <v>0</v>
      </c>
      <c r="X254">
        <f t="shared" si="160"/>
        <v>1496</v>
      </c>
      <c r="Y254">
        <f t="shared" si="161"/>
        <v>1496</v>
      </c>
      <c r="Z254">
        <v>1</v>
      </c>
      <c r="AA254">
        <f t="shared" si="162"/>
        <v>1496</v>
      </c>
      <c r="AB254">
        <f t="shared" si="163"/>
        <v>1496</v>
      </c>
      <c r="AC254">
        <f t="shared" si="164"/>
        <v>374</v>
      </c>
      <c r="AD254">
        <f t="shared" si="165"/>
        <v>2000</v>
      </c>
      <c r="AE254">
        <f t="shared" si="166"/>
        <v>2018.0833333333333</v>
      </c>
      <c r="AF254">
        <f t="shared" si="167"/>
        <v>2007</v>
      </c>
      <c r="AG254">
        <f t="shared" si="168"/>
        <v>2017.0833333333333</v>
      </c>
      <c r="AH254">
        <f t="shared" si="169"/>
        <v>-8.3333333333333329E-2</v>
      </c>
    </row>
    <row r="255" spans="1:34">
      <c r="A255" t="s">
        <v>284</v>
      </c>
      <c r="C255">
        <v>3556</v>
      </c>
      <c r="D255" t="s">
        <v>372</v>
      </c>
      <c r="E255">
        <v>2009</v>
      </c>
      <c r="F255">
        <v>1</v>
      </c>
      <c r="G255">
        <v>0.2</v>
      </c>
      <c r="I255" t="s">
        <v>78</v>
      </c>
      <c r="J255">
        <v>7</v>
      </c>
      <c r="K255">
        <f t="shared" si="153"/>
        <v>2016</v>
      </c>
      <c r="N255">
        <v>4850.8500000000004</v>
      </c>
      <c r="P255">
        <f t="shared" si="154"/>
        <v>3880.6800000000003</v>
      </c>
      <c r="Q255">
        <f t="shared" si="155"/>
        <v>46.198571428571434</v>
      </c>
      <c r="R255">
        <f t="shared" si="156"/>
        <v>0</v>
      </c>
      <c r="S255">
        <f t="shared" si="157"/>
        <v>0</v>
      </c>
      <c r="T255">
        <f t="shared" si="158"/>
        <v>0</v>
      </c>
      <c r="U255">
        <v>1</v>
      </c>
      <c r="V255">
        <f t="shared" si="159"/>
        <v>0</v>
      </c>
      <c r="X255">
        <f t="shared" si="160"/>
        <v>3880.6800000000003</v>
      </c>
      <c r="Y255">
        <f t="shared" si="161"/>
        <v>3880.6800000000003</v>
      </c>
      <c r="Z255">
        <v>1</v>
      </c>
      <c r="AA255">
        <f t="shared" si="162"/>
        <v>3880.6800000000003</v>
      </c>
      <c r="AB255">
        <f t="shared" si="163"/>
        <v>3880.6800000000003</v>
      </c>
      <c r="AC255">
        <f t="shared" si="164"/>
        <v>970.17000000000007</v>
      </c>
      <c r="AD255">
        <f t="shared" si="165"/>
        <v>2009</v>
      </c>
      <c r="AE255">
        <f t="shared" si="166"/>
        <v>2018.0833333333333</v>
      </c>
      <c r="AF255">
        <f t="shared" si="167"/>
        <v>2016</v>
      </c>
      <c r="AG255">
        <f t="shared" si="168"/>
        <v>2017.0833333333333</v>
      </c>
      <c r="AH255">
        <f t="shared" si="169"/>
        <v>-8.3333333333333329E-2</v>
      </c>
    </row>
    <row r="256" spans="1:34">
      <c r="A256" t="s">
        <v>284</v>
      </c>
      <c r="C256">
        <v>3556</v>
      </c>
      <c r="D256" t="s">
        <v>317</v>
      </c>
      <c r="E256">
        <v>2009</v>
      </c>
      <c r="F256">
        <v>5</v>
      </c>
      <c r="G256">
        <v>0</v>
      </c>
      <c r="I256" t="s">
        <v>78</v>
      </c>
      <c r="J256">
        <v>3</v>
      </c>
      <c r="K256">
        <f t="shared" si="153"/>
        <v>2012</v>
      </c>
      <c r="N256">
        <v>4027.2</v>
      </c>
      <c r="P256">
        <f t="shared" si="154"/>
        <v>4027.2</v>
      </c>
      <c r="Q256">
        <f t="shared" si="155"/>
        <v>111.86666666666666</v>
      </c>
      <c r="R256">
        <f t="shared" si="156"/>
        <v>0</v>
      </c>
      <c r="S256">
        <f t="shared" si="157"/>
        <v>0</v>
      </c>
      <c r="T256">
        <f t="shared" si="158"/>
        <v>0</v>
      </c>
      <c r="U256">
        <v>1</v>
      </c>
      <c r="V256">
        <f t="shared" si="159"/>
        <v>0</v>
      </c>
      <c r="X256">
        <f t="shared" si="160"/>
        <v>4027.2</v>
      </c>
      <c r="Y256">
        <f t="shared" si="161"/>
        <v>4027.2</v>
      </c>
      <c r="Z256">
        <v>1</v>
      </c>
      <c r="AA256">
        <f t="shared" si="162"/>
        <v>4027.2</v>
      </c>
      <c r="AB256">
        <f t="shared" si="163"/>
        <v>4027.2</v>
      </c>
      <c r="AC256">
        <f t="shared" si="164"/>
        <v>0</v>
      </c>
      <c r="AD256">
        <f t="shared" si="165"/>
        <v>2009.3333333333333</v>
      </c>
      <c r="AE256">
        <f t="shared" si="166"/>
        <v>2018.0833333333333</v>
      </c>
      <c r="AF256">
        <f t="shared" si="167"/>
        <v>2012.3333333333333</v>
      </c>
      <c r="AG256">
        <f t="shared" si="168"/>
        <v>2017.0833333333333</v>
      </c>
      <c r="AH256">
        <f t="shared" si="169"/>
        <v>-8.3333333333333329E-2</v>
      </c>
    </row>
    <row r="257" spans="1:34">
      <c r="A257" t="s">
        <v>284</v>
      </c>
      <c r="C257">
        <v>3556</v>
      </c>
      <c r="D257" t="s">
        <v>370</v>
      </c>
      <c r="E257">
        <v>2009</v>
      </c>
      <c r="F257">
        <v>7</v>
      </c>
      <c r="G257">
        <v>0.2</v>
      </c>
      <c r="I257" t="s">
        <v>78</v>
      </c>
      <c r="J257">
        <v>7</v>
      </c>
      <c r="K257">
        <f t="shared" si="153"/>
        <v>2016</v>
      </c>
      <c r="N257">
        <v>61.25</v>
      </c>
      <c r="P257">
        <f t="shared" si="154"/>
        <v>49</v>
      </c>
      <c r="Q257">
        <f t="shared" si="155"/>
        <v>0.58333333333333337</v>
      </c>
      <c r="R257">
        <f t="shared" si="156"/>
        <v>0</v>
      </c>
      <c r="S257">
        <f t="shared" si="157"/>
        <v>0</v>
      </c>
      <c r="T257">
        <f t="shared" si="158"/>
        <v>0</v>
      </c>
      <c r="U257">
        <v>1</v>
      </c>
      <c r="V257">
        <f t="shared" si="159"/>
        <v>0</v>
      </c>
      <c r="X257">
        <f t="shared" si="160"/>
        <v>49</v>
      </c>
      <c r="Y257">
        <f t="shared" si="161"/>
        <v>49</v>
      </c>
      <c r="Z257">
        <v>1</v>
      </c>
      <c r="AA257">
        <f t="shared" si="162"/>
        <v>49</v>
      </c>
      <c r="AB257">
        <f t="shared" si="163"/>
        <v>49</v>
      </c>
      <c r="AC257">
        <f t="shared" si="164"/>
        <v>12.25</v>
      </c>
      <c r="AD257">
        <f t="shared" si="165"/>
        <v>2009.5</v>
      </c>
      <c r="AE257">
        <f t="shared" si="166"/>
        <v>2018.0833333333333</v>
      </c>
      <c r="AF257">
        <f t="shared" si="167"/>
        <v>2016.5</v>
      </c>
      <c r="AG257">
        <f t="shared" si="168"/>
        <v>2017.0833333333333</v>
      </c>
      <c r="AH257">
        <f t="shared" si="169"/>
        <v>-8.3333333333333329E-2</v>
      </c>
    </row>
    <row r="258" spans="1:34">
      <c r="A258" t="s">
        <v>284</v>
      </c>
      <c r="C258">
        <v>3556</v>
      </c>
      <c r="D258" t="s">
        <v>371</v>
      </c>
      <c r="E258">
        <v>2009</v>
      </c>
      <c r="F258">
        <v>7</v>
      </c>
      <c r="G258">
        <v>0.2</v>
      </c>
      <c r="I258" t="s">
        <v>78</v>
      </c>
      <c r="J258">
        <v>7</v>
      </c>
      <c r="K258">
        <f t="shared" si="153"/>
        <v>2016</v>
      </c>
      <c r="N258">
        <v>192.5</v>
      </c>
      <c r="P258">
        <f t="shared" si="154"/>
        <v>154</v>
      </c>
      <c r="Q258">
        <f t="shared" si="155"/>
        <v>1.8333333333333333</v>
      </c>
      <c r="R258">
        <f t="shared" si="156"/>
        <v>0</v>
      </c>
      <c r="S258">
        <f t="shared" si="157"/>
        <v>0</v>
      </c>
      <c r="T258">
        <f t="shared" si="158"/>
        <v>0</v>
      </c>
      <c r="U258">
        <v>1</v>
      </c>
      <c r="V258">
        <f t="shared" si="159"/>
        <v>0</v>
      </c>
      <c r="X258">
        <f t="shared" si="160"/>
        <v>154</v>
      </c>
      <c r="Y258">
        <f t="shared" si="161"/>
        <v>154</v>
      </c>
      <c r="Z258">
        <v>1</v>
      </c>
      <c r="AA258">
        <f t="shared" si="162"/>
        <v>154</v>
      </c>
      <c r="AB258">
        <f t="shared" si="163"/>
        <v>154</v>
      </c>
      <c r="AC258">
        <f t="shared" si="164"/>
        <v>38.5</v>
      </c>
      <c r="AD258">
        <f t="shared" si="165"/>
        <v>2009.5</v>
      </c>
      <c r="AE258">
        <f t="shared" si="166"/>
        <v>2018.0833333333333</v>
      </c>
      <c r="AF258">
        <f t="shared" si="167"/>
        <v>2016.5</v>
      </c>
      <c r="AG258">
        <f t="shared" si="168"/>
        <v>2017.0833333333333</v>
      </c>
      <c r="AH258">
        <f t="shared" si="169"/>
        <v>-8.3333333333333329E-2</v>
      </c>
    </row>
    <row r="259" spans="1:34">
      <c r="A259" t="s">
        <v>284</v>
      </c>
      <c r="B259" t="s">
        <v>504</v>
      </c>
      <c r="C259">
        <v>245</v>
      </c>
      <c r="D259" t="s">
        <v>503</v>
      </c>
      <c r="E259">
        <v>2000</v>
      </c>
      <c r="F259">
        <v>6</v>
      </c>
      <c r="G259">
        <v>0.2</v>
      </c>
      <c r="I259" t="s">
        <v>78</v>
      </c>
      <c r="J259">
        <v>7</v>
      </c>
      <c r="K259">
        <f t="shared" si="153"/>
        <v>2007</v>
      </c>
      <c r="N259">
        <f>71878.98+46599</f>
        <v>118477.98</v>
      </c>
      <c r="P259">
        <f t="shared" si="154"/>
        <v>94782.383999999991</v>
      </c>
      <c r="Q259">
        <f t="shared" si="155"/>
        <v>1128.3617142857142</v>
      </c>
      <c r="R259">
        <f>IF(O259&gt;0,0,IF(OR(AD259&gt;AE259,AF259&lt;AG259),0,IF(AND(AF259&gt;=AG259,AF259&lt;=AE259),Q259*((AF259-AG259)*12),IF(AND(AG259&lt;=AD259,AE259&gt;=AD259),((AE259-AD259)*12)*Q259,IF(AF259&gt;AE259,12*Q259,0)))))</f>
        <v>0</v>
      </c>
      <c r="S259">
        <f>IF(O259=0,0,IF(AND(AH259&gt;=AG259,AH259&lt;=AF259),((AH259-AG259)*12)*Q259,0))</f>
        <v>0</v>
      </c>
      <c r="T259">
        <f>IF(S259&gt;0,S259,R259)</f>
        <v>0</v>
      </c>
      <c r="U259">
        <v>1</v>
      </c>
      <c r="V259">
        <f>U259*SUM(R259:S259)</f>
        <v>0</v>
      </c>
      <c r="X259">
        <f>IF(AD259&gt;AE259,0,IF(AF259&lt;AG259,P259,IF(AND(AF259&gt;=AG259,AF259&lt;=AE259),(P259-T259),IF(AND(AG259&lt;=AD259,AE259&gt;=AD259),0,IF(AF259&gt;AE259,((AG259-AD259)*12)*Q259,0)))))</f>
        <v>94782.383999999991</v>
      </c>
      <c r="Y259">
        <f>X259*U259</f>
        <v>94782.383999999991</v>
      </c>
      <c r="Z259">
        <v>1</v>
      </c>
      <c r="AA259">
        <f>Y259*Z259</f>
        <v>94782.383999999991</v>
      </c>
      <c r="AB259">
        <f>IF(O259&gt;0,0,AA259+V259*Z259)*Z259</f>
        <v>94782.383999999991</v>
      </c>
      <c r="AC259">
        <f>IF(O259&gt;0,(N259-AA259)/2,IF(AD259&gt;=AG259,(((N259*U259)*Z259)-AB259)/2,((((N259*U259)*Z259)-AA259)+(((N259*U259)*Z259)-AB259))/2))</f>
        <v>23695.596000000005</v>
      </c>
      <c r="AD259">
        <f t="shared" si="165"/>
        <v>2000.4166666666667</v>
      </c>
      <c r="AE259">
        <f t="shared" si="166"/>
        <v>2018.0833333333333</v>
      </c>
      <c r="AF259">
        <f t="shared" si="167"/>
        <v>2007.4166666666667</v>
      </c>
      <c r="AG259">
        <f t="shared" si="168"/>
        <v>2017.0833333333333</v>
      </c>
      <c r="AH259">
        <f t="shared" si="169"/>
        <v>-8.3333333333333329E-2</v>
      </c>
    </row>
    <row r="260" spans="1:34">
      <c r="B260">
        <v>111223</v>
      </c>
      <c r="C260">
        <v>245</v>
      </c>
      <c r="D260" t="s">
        <v>506</v>
      </c>
      <c r="E260">
        <v>2009</v>
      </c>
      <c r="F260">
        <v>6</v>
      </c>
      <c r="G260">
        <v>0</v>
      </c>
      <c r="I260" t="s">
        <v>78</v>
      </c>
      <c r="J260">
        <v>3</v>
      </c>
      <c r="K260">
        <f>E260+J260</f>
        <v>2012</v>
      </c>
      <c r="N260">
        <v>7065.91</v>
      </c>
      <c r="P260">
        <f t="shared" si="154"/>
        <v>7065.91</v>
      </c>
      <c r="Q260">
        <f t="shared" si="155"/>
        <v>196.27527777777777</v>
      </c>
      <c r="R260">
        <f>IF(O260&gt;0,0,IF(OR(AD260&gt;AE260,AF260&lt;AG260),0,IF(AND(AF260&gt;=AG260,AF260&lt;=AE260),Q260*((AF260-AG260)*12),IF(AND(AG260&lt;=AD260,AE260&gt;=AD260),((AE260-AD260)*12)*Q260,IF(AF260&gt;AE260,12*Q260,0)))))</f>
        <v>0</v>
      </c>
      <c r="S260">
        <f>IF(O260=0,0,IF(AND(AH260&gt;=AG260,AH260&lt;=AF260),((AH260-AG260)*12)*Q260,0))</f>
        <v>0</v>
      </c>
      <c r="T260">
        <f>IF(S260&gt;0,S260,R260)</f>
        <v>0</v>
      </c>
      <c r="U260">
        <v>1</v>
      </c>
      <c r="V260">
        <f>U260*SUM(R260:S260)</f>
        <v>0</v>
      </c>
      <c r="X260">
        <f>IF(AD260&gt;AE260,0,IF(AF260&lt;AG260,P260,IF(AND(AF260&gt;=AG260,AF260&lt;=AE260),(P260-T260),IF(AND(AG260&lt;=AD260,AE260&gt;=AD260),0,IF(AF260&gt;AE260,((AG260-AD260)*12)*Q260,0)))))</f>
        <v>7065.91</v>
      </c>
      <c r="Y260">
        <f>X260*U260</f>
        <v>7065.91</v>
      </c>
      <c r="Z260">
        <v>1</v>
      </c>
      <c r="AA260">
        <f>Y260*Z260</f>
        <v>7065.91</v>
      </c>
      <c r="AB260">
        <f>IF(O260&gt;0,0,AA260+V260*Z260)*Z260</f>
        <v>7065.91</v>
      </c>
      <c r="AC260">
        <f>IF(O260&gt;0,(N260-AA260)/2,IF(AD260&gt;=AG260,(((N260*U260)*Z260)-AB260)/2,((((N260*U260)*Z260)-AA260)+(((N260*U260)*Z260)-AB260))/2))</f>
        <v>0</v>
      </c>
      <c r="AD260">
        <f t="shared" si="165"/>
        <v>2009.4166666666667</v>
      </c>
      <c r="AE260">
        <f t="shared" si="166"/>
        <v>2018.0833333333333</v>
      </c>
      <c r="AF260">
        <f t="shared" si="167"/>
        <v>2012.4166666666667</v>
      </c>
      <c r="AG260">
        <f t="shared" si="168"/>
        <v>2017.0833333333333</v>
      </c>
      <c r="AH260">
        <f t="shared" si="169"/>
        <v>-8.3333333333333329E-2</v>
      </c>
    </row>
    <row r="261" spans="1:34">
      <c r="B261">
        <v>111224</v>
      </c>
      <c r="C261">
        <v>245</v>
      </c>
      <c r="D261" t="s">
        <v>505</v>
      </c>
      <c r="E261">
        <v>2009</v>
      </c>
      <c r="F261">
        <v>9</v>
      </c>
      <c r="G261">
        <v>0</v>
      </c>
      <c r="I261" t="s">
        <v>78</v>
      </c>
      <c r="J261">
        <v>3</v>
      </c>
      <c r="K261">
        <f>E261+J261</f>
        <v>2012</v>
      </c>
      <c r="N261">
        <v>14680.19</v>
      </c>
      <c r="P261">
        <f t="shared" si="154"/>
        <v>14680.19</v>
      </c>
      <c r="Q261">
        <f t="shared" si="155"/>
        <v>407.78305555555556</v>
      </c>
      <c r="R261">
        <f>IF(O261&gt;0,0,IF(OR(AD261&gt;AE261,AF261&lt;AG261),0,IF(AND(AF261&gt;=AG261,AF261&lt;=AE261),Q261*((AF261-AG261)*12),IF(AND(AG261&lt;=AD261,AE261&gt;=AD261),((AE261-AD261)*12)*Q261,IF(AF261&gt;AE261,12*Q261,0)))))</f>
        <v>0</v>
      </c>
      <c r="S261">
        <f>IF(O261=0,0,IF(AND(AH261&gt;=AG261,AH261&lt;=AF261),((AH261-AG261)*12)*Q261,0))</f>
        <v>0</v>
      </c>
      <c r="T261">
        <f>IF(S261&gt;0,S261,R261)</f>
        <v>0</v>
      </c>
      <c r="U261">
        <v>1</v>
      </c>
      <c r="V261">
        <f>U261*SUM(R261:S261)</f>
        <v>0</v>
      </c>
      <c r="X261">
        <f>IF(AD261&gt;AE261,0,IF(AF261&lt;AG261,P261,IF(AND(AF261&gt;=AG261,AF261&lt;=AE261),(P261-T261),IF(AND(AG261&lt;=AD261,AE261&gt;=AD261),0,IF(AF261&gt;AE261,((AG261-AD261)*12)*Q261,0)))))</f>
        <v>14680.19</v>
      </c>
      <c r="Y261">
        <f>X261*U261</f>
        <v>14680.19</v>
      </c>
      <c r="Z261">
        <v>1</v>
      </c>
      <c r="AA261">
        <f>Y261*Z261</f>
        <v>14680.19</v>
      </c>
      <c r="AB261">
        <f>IF(O261&gt;0,0,AA261+V261*Z261)*Z261</f>
        <v>14680.19</v>
      </c>
      <c r="AC261">
        <f>IF(O261&gt;0,(N261-AA261)/2,IF(AD261&gt;=AG261,(((N261*U261)*Z261)-AB261)/2,((((N261*U261)*Z261)-AA261)+(((N261*U261)*Z261)-AB261))/2))</f>
        <v>0</v>
      </c>
      <c r="AD261">
        <f t="shared" si="165"/>
        <v>2009.6666666666667</v>
      </c>
      <c r="AE261">
        <f t="shared" si="166"/>
        <v>2018.0833333333333</v>
      </c>
      <c r="AF261">
        <f t="shared" si="167"/>
        <v>2012.6666666666667</v>
      </c>
      <c r="AG261">
        <f t="shared" si="168"/>
        <v>2017.0833333333333</v>
      </c>
      <c r="AH261">
        <f t="shared" si="169"/>
        <v>-8.3333333333333329E-2</v>
      </c>
    </row>
    <row r="262" spans="1:34">
      <c r="A262" t="s">
        <v>284</v>
      </c>
      <c r="C262">
        <v>3557</v>
      </c>
      <c r="D262" t="s">
        <v>156</v>
      </c>
      <c r="E262">
        <v>2000</v>
      </c>
      <c r="F262">
        <v>6</v>
      </c>
      <c r="G262">
        <v>0.2</v>
      </c>
      <c r="I262" t="s">
        <v>78</v>
      </c>
      <c r="J262">
        <v>7</v>
      </c>
      <c r="K262">
        <f>E262+J262</f>
        <v>2007</v>
      </c>
      <c r="N262">
        <v>149691.38</v>
      </c>
      <c r="P262">
        <f t="shared" si="154"/>
        <v>119753.10400000001</v>
      </c>
      <c r="Q262">
        <f t="shared" si="155"/>
        <v>1425.6321904761905</v>
      </c>
      <c r="R262">
        <f>IF(O262&gt;0,0,IF(OR(AD262&gt;AE262,AF262&lt;AG262),0,IF(AND(AF262&gt;=AG262,AF262&lt;=AE262),Q262*((AF262-AG262)*12),IF(AND(AG262&lt;=AD262,AE262&gt;=AD262),((AE262-AD262)*12)*Q262,IF(AF262&gt;AE262,12*Q262,0)))))</f>
        <v>0</v>
      </c>
      <c r="S262">
        <f>IF(O262=0,0,IF(AND(AH262&gt;=AG262,AH262&lt;=AF262),((AH262-AG262)*12)*Q262,0))</f>
        <v>0</v>
      </c>
      <c r="T262">
        <f>IF(S262&gt;0,S262,R262)</f>
        <v>0</v>
      </c>
      <c r="U262">
        <v>1</v>
      </c>
      <c r="V262">
        <f>U262*SUM(R262:S262)</f>
        <v>0</v>
      </c>
      <c r="X262">
        <f>IF(AD262&gt;AE262,0,IF(AF262&lt;AG262,P262,IF(AND(AF262&gt;=AG262,AF262&lt;=AE262),(P262-T262),IF(AND(AG262&lt;=AD262,AE262&gt;=AD262),0,IF(AF262&gt;AE262,((AG262-AD262)*12)*Q262,0)))))</f>
        <v>119753.10400000001</v>
      </c>
      <c r="Y262">
        <f>X262*U262</f>
        <v>119753.10400000001</v>
      </c>
      <c r="Z262">
        <v>1</v>
      </c>
      <c r="AA262">
        <f>Y262*Z262</f>
        <v>119753.10400000001</v>
      </c>
      <c r="AB262">
        <f>IF(O262&gt;0,0,AA262+V262*Z262)*Z262</f>
        <v>119753.10400000001</v>
      </c>
      <c r="AC262">
        <f>IF(O262&gt;0,(N262-AA262)/2,IF(AD262&gt;=AG262,(((N262*U262)*Z262)-AB262)/2,((((N262*U262)*Z262)-AA262)+(((N262*U262)*Z262)-AB262))/2))</f>
        <v>29938.275999999998</v>
      </c>
      <c r="AD262">
        <f t="shared" si="165"/>
        <v>2000.4166666666667</v>
      </c>
      <c r="AE262">
        <f t="shared" si="166"/>
        <v>2018.0833333333333</v>
      </c>
      <c r="AF262">
        <f t="shared" si="167"/>
        <v>2007.4166666666667</v>
      </c>
      <c r="AG262">
        <f t="shared" si="168"/>
        <v>2017.0833333333333</v>
      </c>
      <c r="AH262">
        <f t="shared" si="169"/>
        <v>-8.3333333333333329E-2</v>
      </c>
    </row>
    <row r="264" spans="1:34">
      <c r="D264" t="s">
        <v>608</v>
      </c>
    </row>
    <row r="265" spans="1:34">
      <c r="A265" t="s">
        <v>155</v>
      </c>
      <c r="B265">
        <v>61066</v>
      </c>
      <c r="C265">
        <v>3552</v>
      </c>
      <c r="D265" t="s">
        <v>169</v>
      </c>
      <c r="E265">
        <v>1999</v>
      </c>
      <c r="F265">
        <v>10</v>
      </c>
      <c r="G265">
        <v>0.2</v>
      </c>
      <c r="I265" t="s">
        <v>78</v>
      </c>
      <c r="J265">
        <v>7</v>
      </c>
      <c r="K265">
        <f t="shared" ref="K265:K272" si="170">E265+J265</f>
        <v>2006</v>
      </c>
      <c r="N265">
        <v>85471.71</v>
      </c>
      <c r="P265">
        <f t="shared" ref="P265:P272" si="171">N265-N265*G265</f>
        <v>68377.368000000002</v>
      </c>
      <c r="Q265">
        <f t="shared" ref="Q265:Q272" si="172">P265/J265/12</f>
        <v>814.0162857142858</v>
      </c>
      <c r="R265">
        <f t="shared" ref="R265:R272" si="173">IF(O265&gt;0,0,IF(OR(AD265&gt;AE265,AF265&lt;AG265),0,IF(AND(AF265&gt;=AG265,AF265&lt;=AE265),Q265*((AF265-AG265)*12),IF(AND(AG265&lt;=AD265,AE265&gt;=AD265),((AE265-AD265)*12)*Q265,IF(AF265&gt;AE265,12*Q265,0)))))</f>
        <v>0</v>
      </c>
      <c r="S265">
        <f t="shared" ref="S265:S272" si="174">IF(O265=0,0,IF(AND(AH265&gt;=AG265,AH265&lt;=AF265),((AH265-AG265)*12)*Q265,0))</f>
        <v>0</v>
      </c>
      <c r="T265">
        <f t="shared" ref="T265:T272" si="175">IF(S265&gt;0,S265,R265)</f>
        <v>0</v>
      </c>
      <c r="U265">
        <v>1</v>
      </c>
      <c r="V265">
        <f t="shared" ref="V265:V272" si="176">U265*SUM(R265:S265)</f>
        <v>0</v>
      </c>
      <c r="X265">
        <f t="shared" ref="X265:X272" si="177">IF(AD265&gt;AE265,0,IF(AF265&lt;AG265,P265,IF(AND(AF265&gt;=AG265,AF265&lt;=AE265),(P265-T265),IF(AND(AG265&lt;=AD265,AE265&gt;=AD265),0,IF(AF265&gt;AE265,((AG265-AD265)*12)*Q265,0)))))</f>
        <v>68377.368000000002</v>
      </c>
      <c r="Y265">
        <f t="shared" ref="Y265:Y272" si="178">X265*U265</f>
        <v>68377.368000000002</v>
      </c>
      <c r="Z265">
        <v>1</v>
      </c>
      <c r="AA265">
        <f t="shared" ref="AA265:AA272" si="179">Y265*Z265</f>
        <v>68377.368000000002</v>
      </c>
      <c r="AB265">
        <f t="shared" ref="AB265:AB272" si="180">IF(O265&gt;0,0,AA265+V265*Z265)*Z265</f>
        <v>68377.368000000002</v>
      </c>
      <c r="AC265">
        <f t="shared" ref="AC265:AC272" si="181">IF(O265&gt;0,(N265-AA265)/2,IF(AD265&gt;=AG265,(((N265*U265)*Z265)-AB265)/2,((((N265*U265)*Z265)-AA265)+(((N265*U265)*Z265)-AB265))/2))</f>
        <v>17094.342000000004</v>
      </c>
      <c r="AD265">
        <f t="shared" ref="AD265:AD272" si="182">$E265+(($F265-1)/12)</f>
        <v>1999.75</v>
      </c>
      <c r="AE265">
        <f t="shared" ref="AE265:AE272" si="183">($P$5+1)-($P$2/12)</f>
        <v>2018.0833333333333</v>
      </c>
      <c r="AF265">
        <f t="shared" ref="AF265:AF272" si="184">$K265+(($F265-1)/12)</f>
        <v>2006.75</v>
      </c>
      <c r="AG265">
        <f t="shared" ref="AG265:AG272" si="185">$P$4+($P$3/12)</f>
        <v>2017.0833333333333</v>
      </c>
      <c r="AH265">
        <f t="shared" ref="AH265:AH272" si="186">$L265+(($M265-1)/12)</f>
        <v>-8.3333333333333329E-2</v>
      </c>
    </row>
    <row r="266" spans="1:34">
      <c r="A266" t="s">
        <v>155</v>
      </c>
      <c r="B266">
        <v>79325</v>
      </c>
      <c r="C266">
        <v>3552</v>
      </c>
      <c r="D266" t="s">
        <v>389</v>
      </c>
      <c r="E266">
        <v>2010</v>
      </c>
      <c r="F266">
        <v>10</v>
      </c>
      <c r="G266">
        <v>0</v>
      </c>
      <c r="I266" t="s">
        <v>78</v>
      </c>
      <c r="J266">
        <v>3</v>
      </c>
      <c r="K266">
        <f t="shared" si="170"/>
        <v>2013</v>
      </c>
      <c r="N266">
        <v>14337.43</v>
      </c>
      <c r="P266">
        <f t="shared" si="171"/>
        <v>14337.43</v>
      </c>
      <c r="Q266">
        <f t="shared" si="172"/>
        <v>398.26194444444445</v>
      </c>
      <c r="R266">
        <f t="shared" si="173"/>
        <v>0</v>
      </c>
      <c r="S266">
        <f t="shared" si="174"/>
        <v>0</v>
      </c>
      <c r="T266">
        <f t="shared" si="175"/>
        <v>0</v>
      </c>
      <c r="U266">
        <v>1</v>
      </c>
      <c r="V266">
        <f t="shared" si="176"/>
        <v>0</v>
      </c>
      <c r="X266">
        <f t="shared" si="177"/>
        <v>14337.43</v>
      </c>
      <c r="Y266">
        <f t="shared" si="178"/>
        <v>14337.43</v>
      </c>
      <c r="Z266">
        <v>1</v>
      </c>
      <c r="AA266">
        <f t="shared" si="179"/>
        <v>14337.43</v>
      </c>
      <c r="AB266">
        <f t="shared" si="180"/>
        <v>14337.43</v>
      </c>
      <c r="AC266">
        <f t="shared" si="181"/>
        <v>0</v>
      </c>
      <c r="AD266">
        <f t="shared" si="182"/>
        <v>2010.75</v>
      </c>
      <c r="AE266">
        <f t="shared" si="183"/>
        <v>2018.0833333333333</v>
      </c>
      <c r="AF266">
        <f t="shared" si="184"/>
        <v>2013.75</v>
      </c>
      <c r="AG266">
        <f t="shared" si="185"/>
        <v>2017.0833333333333</v>
      </c>
      <c r="AH266">
        <f t="shared" si="186"/>
        <v>-8.3333333333333329E-2</v>
      </c>
    </row>
    <row r="267" spans="1:34">
      <c r="A267" t="s">
        <v>462</v>
      </c>
      <c r="B267">
        <v>114547</v>
      </c>
      <c r="C267">
        <v>3552</v>
      </c>
      <c r="D267" t="s">
        <v>509</v>
      </c>
      <c r="E267">
        <v>2014</v>
      </c>
      <c r="F267">
        <v>7</v>
      </c>
      <c r="G267">
        <v>0</v>
      </c>
      <c r="I267" t="s">
        <v>78</v>
      </c>
      <c r="J267">
        <v>3</v>
      </c>
      <c r="K267">
        <f t="shared" si="170"/>
        <v>2017</v>
      </c>
      <c r="N267">
        <v>6550.26</v>
      </c>
      <c r="P267">
        <f t="shared" si="171"/>
        <v>6550.26</v>
      </c>
      <c r="Q267">
        <f t="shared" si="172"/>
        <v>181.95166666666668</v>
      </c>
      <c r="R267">
        <f t="shared" si="173"/>
        <v>909.75833333349885</v>
      </c>
      <c r="S267">
        <f t="shared" si="174"/>
        <v>0</v>
      </c>
      <c r="T267">
        <f t="shared" si="175"/>
        <v>909.75833333349885</v>
      </c>
      <c r="U267">
        <v>1</v>
      </c>
      <c r="V267">
        <f t="shared" si="176"/>
        <v>909.75833333349885</v>
      </c>
      <c r="X267">
        <f t="shared" si="177"/>
        <v>5640.5016666665015</v>
      </c>
      <c r="Y267">
        <f t="shared" si="178"/>
        <v>5640.5016666665015</v>
      </c>
      <c r="Z267">
        <v>1</v>
      </c>
      <c r="AA267">
        <f t="shared" si="179"/>
        <v>5640.5016666665015</v>
      </c>
      <c r="AB267">
        <f t="shared" si="180"/>
        <v>6550.26</v>
      </c>
      <c r="AC267">
        <f t="shared" si="181"/>
        <v>454.87916666674937</v>
      </c>
      <c r="AD267">
        <f t="shared" si="182"/>
        <v>2014.5</v>
      </c>
      <c r="AE267">
        <f t="shared" si="183"/>
        <v>2018.0833333333333</v>
      </c>
      <c r="AF267">
        <f t="shared" si="184"/>
        <v>2017.5</v>
      </c>
      <c r="AG267">
        <f t="shared" si="185"/>
        <v>2017.0833333333333</v>
      </c>
      <c r="AH267">
        <f t="shared" si="186"/>
        <v>-8.3333333333333329E-2</v>
      </c>
    </row>
    <row r="268" spans="1:34">
      <c r="A268" t="s">
        <v>155</v>
      </c>
      <c r="C268">
        <v>3552</v>
      </c>
      <c r="D268" t="s">
        <v>142</v>
      </c>
      <c r="E268">
        <v>1999</v>
      </c>
      <c r="F268">
        <v>10</v>
      </c>
      <c r="G268">
        <v>0.2</v>
      </c>
      <c r="I268" t="s">
        <v>78</v>
      </c>
      <c r="J268">
        <v>7</v>
      </c>
      <c r="K268">
        <f t="shared" si="170"/>
        <v>2006</v>
      </c>
      <c r="N268">
        <v>1532.03</v>
      </c>
      <c r="P268">
        <f t="shared" si="171"/>
        <v>1225.624</v>
      </c>
      <c r="Q268">
        <f t="shared" si="172"/>
        <v>14.590761904761905</v>
      </c>
      <c r="R268">
        <f t="shared" si="173"/>
        <v>0</v>
      </c>
      <c r="S268">
        <f t="shared" si="174"/>
        <v>0</v>
      </c>
      <c r="T268">
        <f t="shared" si="175"/>
        <v>0</v>
      </c>
      <c r="U268">
        <v>1</v>
      </c>
      <c r="V268">
        <f t="shared" si="176"/>
        <v>0</v>
      </c>
      <c r="X268">
        <f t="shared" si="177"/>
        <v>1225.624</v>
      </c>
      <c r="Y268">
        <f t="shared" si="178"/>
        <v>1225.624</v>
      </c>
      <c r="Z268">
        <v>1</v>
      </c>
      <c r="AA268">
        <f t="shared" si="179"/>
        <v>1225.624</v>
      </c>
      <c r="AB268">
        <f t="shared" si="180"/>
        <v>1225.624</v>
      </c>
      <c r="AC268">
        <f t="shared" si="181"/>
        <v>306.40599999999995</v>
      </c>
      <c r="AD268">
        <f t="shared" si="182"/>
        <v>1999.75</v>
      </c>
      <c r="AE268">
        <f t="shared" si="183"/>
        <v>2018.0833333333333</v>
      </c>
      <c r="AF268">
        <f t="shared" si="184"/>
        <v>2006.75</v>
      </c>
      <c r="AG268">
        <f t="shared" si="185"/>
        <v>2017.0833333333333</v>
      </c>
      <c r="AH268">
        <f t="shared" si="186"/>
        <v>-8.3333333333333329E-2</v>
      </c>
    </row>
    <row r="269" spans="1:34">
      <c r="A269" t="s">
        <v>155</v>
      </c>
      <c r="C269">
        <v>3552</v>
      </c>
      <c r="D269" t="s">
        <v>92</v>
      </c>
      <c r="E269">
        <v>1999</v>
      </c>
      <c r="F269">
        <v>11</v>
      </c>
      <c r="G269">
        <v>0.2</v>
      </c>
      <c r="I269" t="s">
        <v>78</v>
      </c>
      <c r="J269">
        <v>7</v>
      </c>
      <c r="K269">
        <f t="shared" si="170"/>
        <v>2006</v>
      </c>
      <c r="N269">
        <v>63738.66</v>
      </c>
      <c r="P269">
        <f t="shared" si="171"/>
        <v>50990.928</v>
      </c>
      <c r="Q269">
        <f t="shared" si="172"/>
        <v>607.03485714285716</v>
      </c>
      <c r="R269">
        <f t="shared" si="173"/>
        <v>0</v>
      </c>
      <c r="S269">
        <f t="shared" si="174"/>
        <v>0</v>
      </c>
      <c r="T269">
        <f t="shared" si="175"/>
        <v>0</v>
      </c>
      <c r="U269">
        <v>1</v>
      </c>
      <c r="V269">
        <f t="shared" si="176"/>
        <v>0</v>
      </c>
      <c r="X269">
        <f t="shared" si="177"/>
        <v>50990.928</v>
      </c>
      <c r="Y269">
        <f t="shared" si="178"/>
        <v>50990.928</v>
      </c>
      <c r="Z269">
        <v>1</v>
      </c>
      <c r="AA269">
        <f t="shared" si="179"/>
        <v>50990.928</v>
      </c>
      <c r="AB269">
        <f t="shared" si="180"/>
        <v>50990.928</v>
      </c>
      <c r="AC269">
        <f t="shared" si="181"/>
        <v>12747.732000000004</v>
      </c>
      <c r="AD269">
        <f t="shared" si="182"/>
        <v>1999.8333333333333</v>
      </c>
      <c r="AE269">
        <f t="shared" si="183"/>
        <v>2018.0833333333333</v>
      </c>
      <c r="AF269">
        <f t="shared" si="184"/>
        <v>2006.8333333333333</v>
      </c>
      <c r="AG269">
        <f t="shared" si="185"/>
        <v>2017.0833333333333</v>
      </c>
      <c r="AH269">
        <f t="shared" si="186"/>
        <v>-8.3333333333333329E-2</v>
      </c>
    </row>
    <row r="270" spans="1:34">
      <c r="A270" t="s">
        <v>155</v>
      </c>
      <c r="C270">
        <v>3552</v>
      </c>
      <c r="D270" t="s">
        <v>90</v>
      </c>
      <c r="E270">
        <v>1999</v>
      </c>
      <c r="F270">
        <v>11</v>
      </c>
      <c r="G270">
        <v>0.2</v>
      </c>
      <c r="I270" t="s">
        <v>78</v>
      </c>
      <c r="J270">
        <v>7</v>
      </c>
      <c r="K270">
        <f t="shared" si="170"/>
        <v>2006</v>
      </c>
      <c r="N270">
        <v>550.87</v>
      </c>
      <c r="P270">
        <f t="shared" si="171"/>
        <v>440.69600000000003</v>
      </c>
      <c r="Q270">
        <f t="shared" si="172"/>
        <v>5.2463809523809521</v>
      </c>
      <c r="R270">
        <f t="shared" si="173"/>
        <v>0</v>
      </c>
      <c r="S270">
        <f t="shared" si="174"/>
        <v>0</v>
      </c>
      <c r="T270">
        <f t="shared" si="175"/>
        <v>0</v>
      </c>
      <c r="U270">
        <v>1</v>
      </c>
      <c r="V270">
        <f t="shared" si="176"/>
        <v>0</v>
      </c>
      <c r="X270">
        <f t="shared" si="177"/>
        <v>440.69600000000003</v>
      </c>
      <c r="Y270">
        <f t="shared" si="178"/>
        <v>440.69600000000003</v>
      </c>
      <c r="Z270">
        <v>1</v>
      </c>
      <c r="AA270">
        <f t="shared" si="179"/>
        <v>440.69600000000003</v>
      </c>
      <c r="AB270">
        <f t="shared" si="180"/>
        <v>440.69600000000003</v>
      </c>
      <c r="AC270">
        <f t="shared" si="181"/>
        <v>110.17399999999998</v>
      </c>
      <c r="AD270">
        <f t="shared" si="182"/>
        <v>1999.8333333333333</v>
      </c>
      <c r="AE270">
        <f t="shared" si="183"/>
        <v>2018.0833333333333</v>
      </c>
      <c r="AF270">
        <f t="shared" si="184"/>
        <v>2006.8333333333333</v>
      </c>
      <c r="AG270">
        <f t="shared" si="185"/>
        <v>2017.0833333333333</v>
      </c>
      <c r="AH270">
        <f t="shared" si="186"/>
        <v>-8.3333333333333329E-2</v>
      </c>
    </row>
    <row r="271" spans="1:34">
      <c r="A271" t="s">
        <v>155</v>
      </c>
      <c r="C271">
        <v>3552</v>
      </c>
      <c r="D271" t="s">
        <v>89</v>
      </c>
      <c r="E271">
        <v>1999</v>
      </c>
      <c r="F271">
        <v>11</v>
      </c>
      <c r="G271">
        <v>0.2</v>
      </c>
      <c r="I271" t="s">
        <v>78</v>
      </c>
      <c r="J271">
        <v>7</v>
      </c>
      <c r="K271">
        <f t="shared" si="170"/>
        <v>2006</v>
      </c>
      <c r="N271">
        <v>1118.51</v>
      </c>
      <c r="P271">
        <f t="shared" si="171"/>
        <v>894.80799999999999</v>
      </c>
      <c r="Q271">
        <f t="shared" si="172"/>
        <v>10.652476190476191</v>
      </c>
      <c r="R271">
        <f t="shared" si="173"/>
        <v>0</v>
      </c>
      <c r="S271">
        <f t="shared" si="174"/>
        <v>0</v>
      </c>
      <c r="T271">
        <f t="shared" si="175"/>
        <v>0</v>
      </c>
      <c r="U271">
        <v>1</v>
      </c>
      <c r="V271">
        <f t="shared" si="176"/>
        <v>0</v>
      </c>
      <c r="X271">
        <f t="shared" si="177"/>
        <v>894.80799999999999</v>
      </c>
      <c r="Y271">
        <f t="shared" si="178"/>
        <v>894.80799999999999</v>
      </c>
      <c r="Z271">
        <v>1</v>
      </c>
      <c r="AA271">
        <f t="shared" si="179"/>
        <v>894.80799999999999</v>
      </c>
      <c r="AB271">
        <f t="shared" si="180"/>
        <v>894.80799999999999</v>
      </c>
      <c r="AC271">
        <f t="shared" si="181"/>
        <v>223.702</v>
      </c>
      <c r="AD271">
        <f t="shared" si="182"/>
        <v>1999.8333333333333</v>
      </c>
      <c r="AE271">
        <f t="shared" si="183"/>
        <v>2018.0833333333333</v>
      </c>
      <c r="AF271">
        <f t="shared" si="184"/>
        <v>2006.8333333333333</v>
      </c>
      <c r="AG271">
        <f t="shared" si="185"/>
        <v>2017.0833333333333</v>
      </c>
      <c r="AH271">
        <f t="shared" si="186"/>
        <v>-8.3333333333333329E-2</v>
      </c>
    </row>
    <row r="272" spans="1:34">
      <c r="A272" t="s">
        <v>284</v>
      </c>
      <c r="C272">
        <v>3552</v>
      </c>
      <c r="D272" t="s">
        <v>91</v>
      </c>
      <c r="E272">
        <v>2000</v>
      </c>
      <c r="F272">
        <v>1</v>
      </c>
      <c r="G272">
        <v>0.2</v>
      </c>
      <c r="I272" t="s">
        <v>78</v>
      </c>
      <c r="J272">
        <v>7</v>
      </c>
      <c r="K272">
        <f t="shared" si="170"/>
        <v>2007</v>
      </c>
      <c r="N272">
        <v>3143.6</v>
      </c>
      <c r="P272">
        <f t="shared" si="171"/>
        <v>2514.88</v>
      </c>
      <c r="Q272">
        <f t="shared" si="172"/>
        <v>29.939047619047617</v>
      </c>
      <c r="R272">
        <f t="shared" si="173"/>
        <v>0</v>
      </c>
      <c r="S272">
        <f t="shared" si="174"/>
        <v>0</v>
      </c>
      <c r="T272">
        <f t="shared" si="175"/>
        <v>0</v>
      </c>
      <c r="U272">
        <v>1</v>
      </c>
      <c r="V272">
        <f t="shared" si="176"/>
        <v>0</v>
      </c>
      <c r="X272">
        <f t="shared" si="177"/>
        <v>2514.88</v>
      </c>
      <c r="Y272">
        <f t="shared" si="178"/>
        <v>2514.88</v>
      </c>
      <c r="Z272">
        <v>1</v>
      </c>
      <c r="AA272">
        <f t="shared" si="179"/>
        <v>2514.88</v>
      </c>
      <c r="AB272">
        <f t="shared" si="180"/>
        <v>2514.88</v>
      </c>
      <c r="AC272">
        <f t="shared" si="181"/>
        <v>628.7199999999998</v>
      </c>
      <c r="AD272">
        <f t="shared" si="182"/>
        <v>2000</v>
      </c>
      <c r="AE272">
        <f t="shared" si="183"/>
        <v>2018.0833333333333</v>
      </c>
      <c r="AF272">
        <f t="shared" si="184"/>
        <v>2007</v>
      </c>
      <c r="AG272">
        <f t="shared" si="185"/>
        <v>2017.0833333333333</v>
      </c>
      <c r="AH272">
        <f t="shared" si="186"/>
        <v>-8.3333333333333329E-2</v>
      </c>
    </row>
    <row r="276" spans="1:34">
      <c r="D276" t="s">
        <v>609</v>
      </c>
    </row>
    <row r="277" spans="1:34">
      <c r="A277" t="s">
        <v>286</v>
      </c>
      <c r="B277">
        <v>61106</v>
      </c>
      <c r="C277">
        <v>2029</v>
      </c>
      <c r="D277" t="s">
        <v>153</v>
      </c>
      <c r="E277">
        <v>2007</v>
      </c>
      <c r="F277">
        <v>6</v>
      </c>
      <c r="G277">
        <v>0.2</v>
      </c>
      <c r="I277" t="s">
        <v>78</v>
      </c>
      <c r="J277">
        <v>7</v>
      </c>
      <c r="K277">
        <f>E277+J277</f>
        <v>2014</v>
      </c>
      <c r="N277">
        <v>215572.54</v>
      </c>
      <c r="P277">
        <f>N277-N277*G277</f>
        <v>172458.03200000001</v>
      </c>
      <c r="Q277">
        <f>P277/J277/12</f>
        <v>2053.0718095238094</v>
      </c>
      <c r="R277">
        <f>IF(O277&gt;0,0,IF(OR(AD277&gt;AE277,AF277&lt;AG277),0,IF(AND(AF277&gt;=AG277,AF277&lt;=AE277),Q277*((AF277-AG277)*12),IF(AND(AG277&lt;=AD277,AE277&gt;=AD277),((AE277-AD277)*12)*Q277,IF(AF277&gt;AE277,12*Q277,0)))))</f>
        <v>0</v>
      </c>
      <c r="S277">
        <f>IF(O277=0,0,IF(AND(AH277&gt;=AG277,AH277&lt;=AF277),((AH277-AG277)*12)*Q277,0))</f>
        <v>0</v>
      </c>
      <c r="T277">
        <f>IF(S277&gt;0,S277,R277)</f>
        <v>0</v>
      </c>
      <c r="U277">
        <v>1</v>
      </c>
      <c r="V277">
        <f>U277*SUM(R277:S277)</f>
        <v>0</v>
      </c>
      <c r="X277">
        <f>IF(AD277&gt;AE277,0,IF(AF277&lt;AG277,P277,IF(AND(AF277&gt;=AG277,AF277&lt;=AE277),(P277-T277),IF(AND(AG277&lt;=AD277,AE277&gt;=AD277),0,IF(AF277&gt;AE277,((AG277-AD277)*12)*Q277,0)))))</f>
        <v>172458.03200000001</v>
      </c>
      <c r="Y277">
        <f>X277*U277</f>
        <v>172458.03200000001</v>
      </c>
      <c r="Z277">
        <v>1</v>
      </c>
      <c r="AA277">
        <f>Y277*Z277</f>
        <v>172458.03200000001</v>
      </c>
      <c r="AB277">
        <f>IF(O277&gt;0,0,AA277+V277*Z277)*Z277</f>
        <v>172458.03200000001</v>
      </c>
      <c r="AC277">
        <f>IF(O277&gt;0,(N277-AA277)/2,IF(AD277&gt;=AG277,(((N277*U277)*Z277)-AB277)/2,((((N277*U277)*Z277)-AA277)+(((N277*U277)*Z277)-AB277))/2))</f>
        <v>43114.508000000002</v>
      </c>
      <c r="AD277">
        <f>$E277+(($F277-1)/12)</f>
        <v>2007.4166666666667</v>
      </c>
      <c r="AE277">
        <f>($P$5+1)-($P$2/12)</f>
        <v>2018.0833333333333</v>
      </c>
      <c r="AF277">
        <f>$K277+(($F277-1)/12)</f>
        <v>2014.4166666666667</v>
      </c>
      <c r="AG277">
        <f>$P$4+($P$3/12)</f>
        <v>2017.0833333333333</v>
      </c>
      <c r="AH277">
        <f>$L277+(($M277-1)/12)</f>
        <v>-8.3333333333333329E-2</v>
      </c>
    </row>
  </sheetData>
  <autoFilter ref="B1:B5553"/>
  <mergeCells count="1">
    <mergeCell ref="AJ5:AR6"/>
  </mergeCells>
  <hyperlinks>
    <hyperlink ref="I196" r:id="rId1" display="\\sacinf05\DistShares\Fixed Assets\2013"/>
  </hyperlinks>
  <pageMargins left="0.25" right="0.25" top="0.25" bottom="0.25" header="0.5" footer="0.5"/>
  <pageSetup scale="49" fitToHeight="0" orientation="landscape" r:id="rId2"/>
  <headerFooter alignWithMargins="0"/>
  <rowBreaks count="1" manualBreakCount="1">
    <brk id="325" min="2" max="28" man="1"/>
  </rowBreak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14"/>
  <sheetViews>
    <sheetView tabSelected="1" view="pageBreakPreview" zoomScale="75" zoomScaleNormal="100" zoomScaleSheetLayoutView="75" workbookViewId="0">
      <pane xSplit="1" ySplit="11" topLeftCell="B12" activePane="bottomRight" state="frozen"/>
      <selection activeCell="D461" sqref="D461"/>
      <selection pane="topRight" activeCell="D461" sqref="D461"/>
      <selection pane="bottomLeft" activeCell="D461" sqref="D461"/>
      <selection pane="bottomRight" activeCell="O12" sqref="O12"/>
    </sheetView>
  </sheetViews>
  <sheetFormatPr defaultColWidth="11.42578125" defaultRowHeight="12.75"/>
  <cols>
    <col min="1" max="1" width="7" customWidth="1"/>
    <col min="2" max="2" width="6.7109375" customWidth="1"/>
    <col min="3" max="3" width="44.7109375" bestFit="1" customWidth="1"/>
    <col min="4" max="4" width="11.28515625" bestFit="1" customWidth="1"/>
    <col min="5" max="5" width="7.28515625" bestFit="1" customWidth="1"/>
    <col min="6" max="6" width="3.42578125" bestFit="1" customWidth="1"/>
    <col min="7" max="7" width="7" bestFit="1" customWidth="1"/>
    <col min="8" max="8" width="1.28515625" customWidth="1"/>
    <col min="9" max="9" width="7" bestFit="1" customWidth="1"/>
    <col min="10" max="10" width="5.5703125" bestFit="1" customWidth="1"/>
    <col min="11" max="11" width="5" bestFit="1" customWidth="1"/>
    <col min="12" max="12" width="5.7109375" customWidth="1"/>
    <col min="13" max="13" width="4.28515625" customWidth="1"/>
    <col min="14" max="14" width="9.140625" bestFit="1" customWidth="1"/>
    <col min="15" max="15" width="7.7109375" customWidth="1"/>
    <col min="16" max="16" width="9" bestFit="1" customWidth="1"/>
    <col min="17" max="17" width="7" customWidth="1"/>
    <col min="18" max="18" width="7.7109375" bestFit="1" customWidth="1"/>
    <col min="19" max="20" width="7.7109375" customWidth="1"/>
    <col min="21" max="21" width="4.42578125" customWidth="1"/>
    <col min="22" max="22" width="8.42578125" bestFit="1" customWidth="1"/>
    <col min="23" max="23" width="4.42578125" customWidth="1"/>
    <col min="24" max="25" width="9" customWidth="1"/>
    <col min="26" max="26" width="6.42578125" customWidth="1"/>
    <col min="27" max="27" width="9.28515625" bestFit="1" customWidth="1"/>
    <col min="28" max="28" width="9" bestFit="1" customWidth="1"/>
    <col min="29" max="29" width="10" bestFit="1" customWidth="1"/>
    <col min="30" max="30" width="7.85546875" bestFit="1" customWidth="1"/>
    <col min="31" max="31" width="8.28515625" customWidth="1"/>
    <col min="32" max="32" width="8" customWidth="1"/>
    <col min="33" max="33" width="7.85546875" bestFit="1" customWidth="1"/>
    <col min="34" max="34" width="7" bestFit="1" customWidth="1"/>
    <col min="35" max="35" width="11.42578125" customWidth="1"/>
    <col min="36" max="36" width="13.42578125" bestFit="1" customWidth="1"/>
    <col min="37" max="37" width="3.7109375" customWidth="1"/>
    <col min="38" max="38" width="17.5703125" bestFit="1" customWidth="1"/>
    <col min="39" max="39" width="3.7109375" customWidth="1"/>
    <col min="40" max="40" width="17.85546875" bestFit="1" customWidth="1"/>
    <col min="41" max="41" width="3.7109375" customWidth="1"/>
    <col min="42" max="42" width="18.28515625" bestFit="1" customWidth="1"/>
    <col min="43" max="43" width="3.42578125" customWidth="1"/>
    <col min="44" max="44" width="13.42578125" bestFit="1" customWidth="1"/>
  </cols>
  <sheetData>
    <row r="1" spans="1:44">
      <c r="C1" t="s">
        <v>343</v>
      </c>
    </row>
    <row r="2" spans="1:44">
      <c r="C2" t="s">
        <v>26</v>
      </c>
      <c r="P2">
        <f>'Trucks 2183'!M2</f>
        <v>3</v>
      </c>
      <c r="Q2" t="s">
        <v>27</v>
      </c>
    </row>
    <row r="3" spans="1:44">
      <c r="C3">
        <f>'Summary 2183'!H8</f>
        <v>44500</v>
      </c>
      <c r="P3">
        <f>'Trucks 2183'!M3</f>
        <v>2021</v>
      </c>
      <c r="Q3" t="s">
        <v>28</v>
      </c>
      <c r="AE3" t="s">
        <v>29</v>
      </c>
      <c r="AF3" t="s">
        <v>30</v>
      </c>
    </row>
    <row r="4" spans="1:44">
      <c r="P4">
        <f>'Trucks 2183'!M4</f>
        <v>2022</v>
      </c>
      <c r="Q4" t="s">
        <v>31</v>
      </c>
      <c r="AE4" t="s">
        <v>32</v>
      </c>
      <c r="AF4" t="s">
        <v>33</v>
      </c>
    </row>
    <row r="5" spans="1:44">
      <c r="P5">
        <f>'Trucks 2183'!M5</f>
        <v>2022.25</v>
      </c>
      <c r="Q5" t="s">
        <v>34</v>
      </c>
      <c r="AE5" t="s">
        <v>35</v>
      </c>
      <c r="AF5" t="s">
        <v>36</v>
      </c>
      <c r="AJ5" s="478" t="s">
        <v>633</v>
      </c>
      <c r="AK5" s="478"/>
      <c r="AL5" s="478"/>
      <c r="AM5" s="478"/>
      <c r="AN5" s="478"/>
      <c r="AO5" s="478"/>
      <c r="AP5" s="478"/>
      <c r="AQ5" s="478"/>
      <c r="AR5" s="478"/>
    </row>
    <row r="6" spans="1:44">
      <c r="AE6" t="s">
        <v>37</v>
      </c>
      <c r="AF6" t="s">
        <v>38</v>
      </c>
      <c r="AJ6" s="478"/>
      <c r="AK6" s="478"/>
      <c r="AL6" s="478"/>
      <c r="AM6" s="478"/>
      <c r="AN6" s="478"/>
      <c r="AO6" s="478"/>
      <c r="AP6" s="478"/>
      <c r="AQ6" s="478"/>
      <c r="AR6" s="478"/>
    </row>
    <row r="7" spans="1:44">
      <c r="AE7" t="s">
        <v>39</v>
      </c>
      <c r="AF7" t="s">
        <v>40</v>
      </c>
    </row>
    <row r="8" spans="1:44">
      <c r="S8" t="s">
        <v>41</v>
      </c>
      <c r="V8" t="s">
        <v>42</v>
      </c>
      <c r="X8" t="s">
        <v>44</v>
      </c>
      <c r="Y8" t="s">
        <v>44</v>
      </c>
      <c r="AA8" t="s">
        <v>25</v>
      </c>
      <c r="AB8" t="s">
        <v>43</v>
      </c>
      <c r="AN8" t="s">
        <v>634</v>
      </c>
      <c r="AP8" t="s">
        <v>634</v>
      </c>
    </row>
    <row r="9" spans="1:44">
      <c r="B9" t="s">
        <v>45</v>
      </c>
      <c r="E9" t="s">
        <v>46</v>
      </c>
      <c r="G9" t="s">
        <v>47</v>
      </c>
      <c r="I9" t="s">
        <v>45</v>
      </c>
      <c r="K9" t="s">
        <v>48</v>
      </c>
      <c r="L9" t="s">
        <v>45</v>
      </c>
      <c r="N9" t="s">
        <v>45</v>
      </c>
      <c r="O9" t="s">
        <v>49</v>
      </c>
      <c r="P9" t="s">
        <v>45</v>
      </c>
      <c r="R9" t="s">
        <v>50</v>
      </c>
      <c r="S9" t="s">
        <v>48</v>
      </c>
      <c r="T9" t="s">
        <v>42</v>
      </c>
      <c r="U9" t="s">
        <v>51</v>
      </c>
      <c r="V9" t="s">
        <v>44</v>
      </c>
      <c r="X9" t="s">
        <v>52</v>
      </c>
      <c r="Y9" t="s">
        <v>52</v>
      </c>
      <c r="Z9" t="s">
        <v>53</v>
      </c>
      <c r="AA9" t="s">
        <v>54</v>
      </c>
      <c r="AB9" t="s">
        <v>54</v>
      </c>
      <c r="AC9" t="s">
        <v>55</v>
      </c>
      <c r="AJ9" t="s">
        <v>635</v>
      </c>
      <c r="AL9" t="s">
        <v>636</v>
      </c>
      <c r="AN9" t="s">
        <v>637</v>
      </c>
      <c r="AP9" t="s">
        <v>637</v>
      </c>
      <c r="AR9" t="s">
        <v>638</v>
      </c>
    </row>
    <row r="10" spans="1:44">
      <c r="C10" t="s">
        <v>56</v>
      </c>
      <c r="E10" t="s">
        <v>57</v>
      </c>
      <c r="G10" t="s">
        <v>58</v>
      </c>
      <c r="I10" t="s">
        <v>100</v>
      </c>
      <c r="J10" t="s">
        <v>59</v>
      </c>
      <c r="K10" t="s">
        <v>60</v>
      </c>
      <c r="L10" t="s">
        <v>49</v>
      </c>
      <c r="M10" t="s">
        <v>61</v>
      </c>
      <c r="N10" t="s">
        <v>49</v>
      </c>
      <c r="O10" t="s">
        <v>41</v>
      </c>
      <c r="P10" t="s">
        <v>62</v>
      </c>
      <c r="Q10" t="s">
        <v>63</v>
      </c>
      <c r="R10" t="s">
        <v>48</v>
      </c>
      <c r="S10" t="s">
        <v>64</v>
      </c>
      <c r="T10" t="s">
        <v>65</v>
      </c>
      <c r="U10" t="s">
        <v>66</v>
      </c>
      <c r="V10" t="s">
        <v>67</v>
      </c>
      <c r="X10" t="s">
        <v>62</v>
      </c>
      <c r="Y10" t="s">
        <v>62</v>
      </c>
      <c r="Z10" t="s">
        <v>66</v>
      </c>
      <c r="AA10" t="s">
        <v>68</v>
      </c>
      <c r="AB10" t="s">
        <v>68</v>
      </c>
      <c r="AC10" t="s">
        <v>6</v>
      </c>
      <c r="AD10" t="s">
        <v>29</v>
      </c>
      <c r="AE10" t="s">
        <v>69</v>
      </c>
      <c r="AF10" t="s">
        <v>70</v>
      </c>
      <c r="AG10" t="s">
        <v>37</v>
      </c>
      <c r="AH10" t="s">
        <v>39</v>
      </c>
      <c r="AJ10" t="s">
        <v>639</v>
      </c>
      <c r="AL10" t="s">
        <v>640</v>
      </c>
      <c r="AN10" t="s">
        <v>641</v>
      </c>
      <c r="AP10" t="s">
        <v>642</v>
      </c>
      <c r="AR10" t="s">
        <v>6</v>
      </c>
    </row>
    <row r="11" spans="1:44">
      <c r="A11" t="s">
        <v>71</v>
      </c>
      <c r="B11" t="s">
        <v>72</v>
      </c>
      <c r="C11" t="s">
        <v>73</v>
      </c>
      <c r="D11" t="s">
        <v>432</v>
      </c>
      <c r="E11" t="s">
        <v>48</v>
      </c>
      <c r="F11" t="s">
        <v>74</v>
      </c>
      <c r="G11" t="s">
        <v>51</v>
      </c>
      <c r="H11" t="s">
        <v>99</v>
      </c>
      <c r="I11" t="s">
        <v>75</v>
      </c>
      <c r="J11" t="s">
        <v>76</v>
      </c>
      <c r="K11" t="s">
        <v>62</v>
      </c>
      <c r="L11" t="s">
        <v>173</v>
      </c>
      <c r="M11" t="s">
        <v>99</v>
      </c>
      <c r="N11" t="s">
        <v>173</v>
      </c>
      <c r="O11" t="s">
        <v>99</v>
      </c>
      <c r="P11" t="s">
        <v>173</v>
      </c>
      <c r="Q11" t="s">
        <v>62</v>
      </c>
      <c r="R11" t="s">
        <v>62</v>
      </c>
      <c r="S11" t="s">
        <v>99</v>
      </c>
      <c r="T11" t="s">
        <v>77</v>
      </c>
      <c r="U11" t="s">
        <v>99</v>
      </c>
      <c r="V11" t="s">
        <v>68</v>
      </c>
      <c r="X11">
        <f>'Summary 2183'!F8</f>
        <v>44136</v>
      </c>
      <c r="Y11">
        <f>+C3</f>
        <v>44500</v>
      </c>
      <c r="Z11" t="s">
        <v>51</v>
      </c>
      <c r="AA11">
        <f>+X11</f>
        <v>44136</v>
      </c>
      <c r="AB11">
        <f>+C3</f>
        <v>44500</v>
      </c>
      <c r="AC11">
        <f>AB11</f>
        <v>44500</v>
      </c>
    </row>
    <row r="12" spans="1:44">
      <c r="C12" t="s">
        <v>17</v>
      </c>
      <c r="E12">
        <v>2000</v>
      </c>
      <c r="F12">
        <v>7</v>
      </c>
      <c r="G12">
        <v>0</v>
      </c>
      <c r="I12" t="s">
        <v>78</v>
      </c>
      <c r="J12" t="s">
        <v>10</v>
      </c>
      <c r="K12">
        <f t="shared" ref="K12:K20" si="0">E12+J12</f>
        <v>2039</v>
      </c>
      <c r="N12">
        <v>157653.60999999999</v>
      </c>
      <c r="O12">
        <v>0</v>
      </c>
      <c r="P12">
        <f t="shared" ref="P12:P20" si="1">N12-N12*G12</f>
        <v>157653.60999999999</v>
      </c>
      <c r="Q12">
        <f t="shared" ref="Q12:Q20" si="2">P12/J12/12</f>
        <v>336.86668803418803</v>
      </c>
      <c r="R12">
        <f t="shared" ref="R12:R20" si="3">IF(O12&gt;0,0,IF(OR(AD12&gt;AE12,AF12&lt;AG12),0,IF(AND(AF12&gt;=AG12,AF12&lt;=AE12),Q12*((AF12-AG12)*12),IF(AND(AG12&lt;=AD12,AE12&gt;=AD12),((AE12-AD12)*12)*Q12,IF(AF12&gt;AE12,12*Q12,0)))))</f>
        <v>0</v>
      </c>
      <c r="S12">
        <f t="shared" ref="S12:S20" si="4">IF(O12=0,0,IF(AND(AH12&gt;=AG12,AH12&lt;=AF12),((AH12-AG12)*12)*Q12,0))</f>
        <v>0</v>
      </c>
      <c r="T12">
        <f t="shared" ref="T12:T20" si="5">IF(S12&gt;0,S12,R12)</f>
        <v>0</v>
      </c>
      <c r="U12">
        <v>1</v>
      </c>
      <c r="V12">
        <f t="shared" ref="V12:V20" si="6">U12*SUM(R12:S12)</f>
        <v>0</v>
      </c>
      <c r="X12">
        <f t="shared" ref="X12:X20" si="7">IF(AD12&gt;AE12,0,IF(AF12&lt;AG12,P12,IF(AND(AF12&gt;=AG12,AF12&lt;=AE12),(P12-T12),IF(AND(AG12&lt;=AD12,AE12&gt;=AD12),0,IF(AF12&gt;AE12,((AG12-AD12)*12)*Q12,0)))))</f>
        <v>157653.60999999999</v>
      </c>
      <c r="Y12">
        <f t="shared" ref="Y12:Y20" si="8">X12*U12</f>
        <v>157653.60999999999</v>
      </c>
      <c r="Z12">
        <v>1</v>
      </c>
      <c r="AA12">
        <f t="shared" ref="AA12:AA20" si="9">Y12*Z12</f>
        <v>157653.60999999999</v>
      </c>
      <c r="AB12">
        <f t="shared" ref="AB12:AB20" si="10">IF(O12&gt;0,0,AA12+V12*Z12)*Z12</f>
        <v>157653.60999999999</v>
      </c>
      <c r="AC12">
        <f t="shared" ref="AC12:AC20" si="11">IF(O12&gt;0,(N12-AA12)/2,IF(AD12&gt;=AG12,(((N12*U12)*Z12)-AB12)/2,((((N12*U12)*Z12)-AA12)+(((N12*U12)*Z12)-AB12))/2))</f>
        <v>0</v>
      </c>
      <c r="AD12">
        <f t="shared" ref="AD12:AD20" si="12">$E12+(($F12-1)/12)</f>
        <v>2000.5</v>
      </c>
      <c r="AE12">
        <f t="shared" ref="AE12:AE20" si="13">($P$5+1)-($P$2/12)</f>
        <v>2023</v>
      </c>
      <c r="AF12">
        <f t="shared" ref="AF12:AF20" si="14">$K12+(($F12-1)/12)</f>
        <v>2039.5</v>
      </c>
      <c r="AG12">
        <f t="shared" ref="AG12:AG20" si="15">$P$4+($P$3/12)</f>
        <v>2190.4166666666665</v>
      </c>
      <c r="AH12">
        <f t="shared" ref="AH12:AH20" si="16">$L12+(($M12-1)/12)</f>
        <v>-8.3333333333333329E-2</v>
      </c>
      <c r="AJ12">
        <f>+IF((AF12-AG12)&gt;3,((N12-P12)/(AF12-AG12)),(N12-P12)/3)</f>
        <v>0</v>
      </c>
      <c r="AL12">
        <f>+AJ12+V12</f>
        <v>0</v>
      </c>
      <c r="AN12">
        <f>+IF(AF12&lt;AG12,-AC12,0)</f>
        <v>0</v>
      </c>
      <c r="AP12">
        <f>IF(AF12&gt;AG12,IF(AJ12&gt;0,IF(O12&gt;0,(N12-AA12)/2,IF(AD12&gt;=AG12,(((N12*U12)*Z12)-(AB12+AJ12))/2,((((N12*U12)*Z12)-AA12)+(((N12*U12)*Z12)-(AB12+AJ12)))/2)),0),0)</f>
        <v>0</v>
      </c>
      <c r="AR12">
        <f>+AC12+AN12+(IF(AP12&gt;0,(AP12-AC12),0))</f>
        <v>0</v>
      </c>
    </row>
    <row r="13" spans="1:44">
      <c r="C13" t="s">
        <v>18</v>
      </c>
      <c r="E13">
        <v>2000</v>
      </c>
      <c r="F13">
        <v>7</v>
      </c>
      <c r="G13">
        <v>0</v>
      </c>
      <c r="I13" t="s">
        <v>78</v>
      </c>
      <c r="J13" t="s">
        <v>10</v>
      </c>
      <c r="K13">
        <f t="shared" si="0"/>
        <v>2039</v>
      </c>
      <c r="N13">
        <v>749055.76</v>
      </c>
      <c r="O13">
        <v>0</v>
      </c>
      <c r="P13">
        <f t="shared" si="1"/>
        <v>749055.76</v>
      </c>
      <c r="Q13">
        <f t="shared" si="2"/>
        <v>1600.5464957264958</v>
      </c>
      <c r="R13">
        <f t="shared" si="3"/>
        <v>0</v>
      </c>
      <c r="S13">
        <f t="shared" si="4"/>
        <v>0</v>
      </c>
      <c r="T13">
        <f t="shared" si="5"/>
        <v>0</v>
      </c>
      <c r="U13">
        <v>1</v>
      </c>
      <c r="V13">
        <f t="shared" si="6"/>
        <v>0</v>
      </c>
      <c r="X13">
        <f t="shared" si="7"/>
        <v>749055.76</v>
      </c>
      <c r="Y13">
        <f t="shared" si="8"/>
        <v>749055.76</v>
      </c>
      <c r="Z13">
        <v>1</v>
      </c>
      <c r="AA13">
        <f t="shared" si="9"/>
        <v>749055.76</v>
      </c>
      <c r="AB13">
        <f t="shared" si="10"/>
        <v>749055.76</v>
      </c>
      <c r="AC13">
        <f t="shared" si="11"/>
        <v>0</v>
      </c>
      <c r="AD13">
        <f t="shared" si="12"/>
        <v>2000.5</v>
      </c>
      <c r="AE13">
        <f t="shared" si="13"/>
        <v>2023</v>
      </c>
      <c r="AF13">
        <f t="shared" si="14"/>
        <v>2039.5</v>
      </c>
      <c r="AG13">
        <f t="shared" si="15"/>
        <v>2190.4166666666665</v>
      </c>
      <c r="AH13">
        <f t="shared" si="16"/>
        <v>-8.3333333333333329E-2</v>
      </c>
      <c r="AJ13">
        <f t="shared" ref="AJ13:AJ20" si="17">+IF((AF13-AG13)&gt;3,((N13-P13)/(AF13-AG13)),(N13-P13)/3)</f>
        <v>0</v>
      </c>
      <c r="AL13">
        <f t="shared" ref="AL13:AL20" si="18">+AJ13+V13</f>
        <v>0</v>
      </c>
      <c r="AN13">
        <f t="shared" ref="AN13:AN20" si="19">+IF(AF13&lt;AG13,-AC13,0)</f>
        <v>0</v>
      </c>
      <c r="AP13">
        <f t="shared" ref="AP13:AP20" si="20">IF(AF13&gt;AG13,IF(AJ13&gt;0,IF(O13&gt;0,(N13-AA13)/2,IF(AD13&gt;=AG13,(((N13*U13)*Z13)-(AB13+AJ13))/2,((((N13*U13)*Z13)-AA13)+(((N13*U13)*Z13)-(AB13+AJ13)))/2)),0),0)</f>
        <v>0</v>
      </c>
      <c r="AR13">
        <f t="shared" ref="AR13:AR20" si="21">+AC13+AN13+(IF(AP13&gt;0,(AP13-AC13),0))</f>
        <v>0</v>
      </c>
    </row>
    <row r="14" spans="1:44">
      <c r="C14" t="s">
        <v>19</v>
      </c>
      <c r="E14">
        <v>2000</v>
      </c>
      <c r="F14">
        <v>7</v>
      </c>
      <c r="G14">
        <v>0</v>
      </c>
      <c r="I14" t="s">
        <v>78</v>
      </c>
      <c r="J14" t="s">
        <v>10</v>
      </c>
      <c r="K14">
        <f t="shared" si="0"/>
        <v>2039</v>
      </c>
      <c r="N14">
        <v>1278030.99</v>
      </c>
      <c r="O14">
        <v>0</v>
      </c>
      <c r="P14">
        <f t="shared" si="1"/>
        <v>1278030.99</v>
      </c>
      <c r="Q14">
        <f t="shared" si="2"/>
        <v>2730.835448717949</v>
      </c>
      <c r="R14">
        <f t="shared" si="3"/>
        <v>0</v>
      </c>
      <c r="S14">
        <f t="shared" si="4"/>
        <v>0</v>
      </c>
      <c r="T14">
        <f t="shared" si="5"/>
        <v>0</v>
      </c>
      <c r="U14">
        <v>1</v>
      </c>
      <c r="V14">
        <f t="shared" si="6"/>
        <v>0</v>
      </c>
      <c r="X14">
        <f t="shared" si="7"/>
        <v>1278030.99</v>
      </c>
      <c r="Y14">
        <f t="shared" si="8"/>
        <v>1278030.99</v>
      </c>
      <c r="Z14">
        <v>1</v>
      </c>
      <c r="AA14">
        <f t="shared" si="9"/>
        <v>1278030.99</v>
      </c>
      <c r="AB14">
        <f t="shared" si="10"/>
        <v>1278030.99</v>
      </c>
      <c r="AC14">
        <f t="shared" si="11"/>
        <v>0</v>
      </c>
      <c r="AD14">
        <f t="shared" si="12"/>
        <v>2000.5</v>
      </c>
      <c r="AE14">
        <f t="shared" si="13"/>
        <v>2023</v>
      </c>
      <c r="AF14">
        <f t="shared" si="14"/>
        <v>2039.5</v>
      </c>
      <c r="AG14">
        <f t="shared" si="15"/>
        <v>2190.4166666666665</v>
      </c>
      <c r="AH14">
        <f t="shared" si="16"/>
        <v>-8.3333333333333329E-2</v>
      </c>
      <c r="AJ14">
        <f t="shared" si="17"/>
        <v>0</v>
      </c>
      <c r="AL14">
        <f t="shared" si="18"/>
        <v>0</v>
      </c>
      <c r="AN14">
        <f t="shared" si="19"/>
        <v>0</v>
      </c>
      <c r="AP14">
        <f t="shared" si="20"/>
        <v>0</v>
      </c>
      <c r="AR14">
        <f t="shared" si="21"/>
        <v>0</v>
      </c>
    </row>
    <row r="15" spans="1:44">
      <c r="C15" t="s">
        <v>349</v>
      </c>
      <c r="E15">
        <v>2001</v>
      </c>
      <c r="F15">
        <v>1</v>
      </c>
      <c r="G15">
        <v>0</v>
      </c>
      <c r="I15" t="s">
        <v>78</v>
      </c>
      <c r="J15" t="s">
        <v>10</v>
      </c>
      <c r="K15">
        <f t="shared" si="0"/>
        <v>2040</v>
      </c>
      <c r="N15">
        <v>26815.63</v>
      </c>
      <c r="O15">
        <v>0</v>
      </c>
      <c r="P15">
        <f t="shared" si="1"/>
        <v>26815.63</v>
      </c>
      <c r="Q15">
        <f t="shared" si="2"/>
        <v>57.298354700854702</v>
      </c>
      <c r="R15">
        <f t="shared" si="3"/>
        <v>0</v>
      </c>
      <c r="S15">
        <f t="shared" si="4"/>
        <v>0</v>
      </c>
      <c r="T15">
        <f t="shared" si="5"/>
        <v>0</v>
      </c>
      <c r="U15">
        <v>1</v>
      </c>
      <c r="V15">
        <f t="shared" si="6"/>
        <v>0</v>
      </c>
      <c r="X15">
        <f t="shared" si="7"/>
        <v>26815.63</v>
      </c>
      <c r="Y15">
        <f t="shared" si="8"/>
        <v>26815.63</v>
      </c>
      <c r="Z15">
        <v>1</v>
      </c>
      <c r="AA15">
        <f t="shared" si="9"/>
        <v>26815.63</v>
      </c>
      <c r="AB15">
        <f t="shared" si="10"/>
        <v>26815.63</v>
      </c>
      <c r="AC15">
        <f t="shared" si="11"/>
        <v>0</v>
      </c>
      <c r="AD15">
        <f t="shared" si="12"/>
        <v>2001</v>
      </c>
      <c r="AE15">
        <f t="shared" si="13"/>
        <v>2023</v>
      </c>
      <c r="AF15">
        <f t="shared" si="14"/>
        <v>2040</v>
      </c>
      <c r="AG15">
        <f t="shared" si="15"/>
        <v>2190.4166666666665</v>
      </c>
      <c r="AH15">
        <f t="shared" si="16"/>
        <v>-8.3333333333333329E-2</v>
      </c>
      <c r="AJ15">
        <f t="shared" si="17"/>
        <v>0</v>
      </c>
      <c r="AL15">
        <f t="shared" si="18"/>
        <v>0</v>
      </c>
      <c r="AN15">
        <f t="shared" si="19"/>
        <v>0</v>
      </c>
      <c r="AP15">
        <f t="shared" si="20"/>
        <v>0</v>
      </c>
      <c r="AR15">
        <f t="shared" si="21"/>
        <v>0</v>
      </c>
    </row>
    <row r="16" spans="1:44">
      <c r="C16" t="s">
        <v>14</v>
      </c>
      <c r="E16">
        <v>2004</v>
      </c>
      <c r="F16">
        <v>7</v>
      </c>
      <c r="G16">
        <v>0</v>
      </c>
      <c r="I16" t="s">
        <v>78</v>
      </c>
      <c r="J16" t="s">
        <v>102</v>
      </c>
      <c r="K16">
        <f t="shared" si="0"/>
        <v>2019</v>
      </c>
      <c r="N16">
        <v>4936.42</v>
      </c>
      <c r="O16">
        <v>0</v>
      </c>
      <c r="P16">
        <f t="shared" si="1"/>
        <v>4936.42</v>
      </c>
      <c r="Q16">
        <f t="shared" si="2"/>
        <v>27.424555555555557</v>
      </c>
      <c r="R16">
        <f t="shared" si="3"/>
        <v>0</v>
      </c>
      <c r="S16">
        <f t="shared" si="4"/>
        <v>0</v>
      </c>
      <c r="T16">
        <f t="shared" si="5"/>
        <v>0</v>
      </c>
      <c r="U16">
        <v>1</v>
      </c>
      <c r="V16">
        <f t="shared" si="6"/>
        <v>0</v>
      </c>
      <c r="X16">
        <f t="shared" si="7"/>
        <v>4936.42</v>
      </c>
      <c r="Y16">
        <f t="shared" si="8"/>
        <v>4936.42</v>
      </c>
      <c r="Z16">
        <v>1</v>
      </c>
      <c r="AA16">
        <f t="shared" si="9"/>
        <v>4936.42</v>
      </c>
      <c r="AB16">
        <f t="shared" si="10"/>
        <v>4936.42</v>
      </c>
      <c r="AC16">
        <f t="shared" si="11"/>
        <v>0</v>
      </c>
      <c r="AD16">
        <f t="shared" si="12"/>
        <v>2004.5</v>
      </c>
      <c r="AE16">
        <f t="shared" si="13"/>
        <v>2023</v>
      </c>
      <c r="AF16">
        <f t="shared" si="14"/>
        <v>2019.5</v>
      </c>
      <c r="AG16">
        <f t="shared" si="15"/>
        <v>2190.4166666666665</v>
      </c>
      <c r="AH16">
        <f t="shared" si="16"/>
        <v>-8.3333333333333329E-2</v>
      </c>
      <c r="AJ16">
        <f t="shared" si="17"/>
        <v>0</v>
      </c>
      <c r="AL16">
        <f t="shared" si="18"/>
        <v>0</v>
      </c>
      <c r="AN16">
        <f t="shared" si="19"/>
        <v>0</v>
      </c>
      <c r="AP16">
        <f t="shared" si="20"/>
        <v>0</v>
      </c>
      <c r="AR16">
        <f t="shared" si="21"/>
        <v>0</v>
      </c>
    </row>
    <row r="17" spans="3:44">
      <c r="C17" t="s">
        <v>344</v>
      </c>
      <c r="E17">
        <v>2006</v>
      </c>
      <c r="F17">
        <v>8</v>
      </c>
      <c r="G17">
        <v>0</v>
      </c>
      <c r="I17" t="s">
        <v>78</v>
      </c>
      <c r="J17" t="s">
        <v>10</v>
      </c>
      <c r="K17">
        <f t="shared" si="0"/>
        <v>2045</v>
      </c>
      <c r="N17">
        <v>32833.279999999999</v>
      </c>
      <c r="O17">
        <v>0</v>
      </c>
      <c r="P17">
        <f t="shared" si="1"/>
        <v>32833.279999999999</v>
      </c>
      <c r="Q17">
        <f t="shared" si="2"/>
        <v>70.1565811965812</v>
      </c>
      <c r="R17">
        <f t="shared" si="3"/>
        <v>0</v>
      </c>
      <c r="S17">
        <f t="shared" si="4"/>
        <v>0</v>
      </c>
      <c r="T17">
        <f t="shared" si="5"/>
        <v>0</v>
      </c>
      <c r="U17">
        <v>1</v>
      </c>
      <c r="V17">
        <f t="shared" si="6"/>
        <v>0</v>
      </c>
      <c r="X17">
        <f t="shared" si="7"/>
        <v>32833.279999999999</v>
      </c>
      <c r="Y17">
        <f t="shared" si="8"/>
        <v>32833.279999999999</v>
      </c>
      <c r="Z17">
        <v>1</v>
      </c>
      <c r="AA17">
        <f t="shared" si="9"/>
        <v>32833.279999999999</v>
      </c>
      <c r="AB17">
        <f t="shared" si="10"/>
        <v>32833.279999999999</v>
      </c>
      <c r="AC17">
        <f t="shared" si="11"/>
        <v>0</v>
      </c>
      <c r="AD17">
        <f t="shared" si="12"/>
        <v>2006.5833333333333</v>
      </c>
      <c r="AE17">
        <f t="shared" si="13"/>
        <v>2023</v>
      </c>
      <c r="AF17">
        <f t="shared" si="14"/>
        <v>2045.5833333333333</v>
      </c>
      <c r="AG17">
        <f t="shared" si="15"/>
        <v>2190.4166666666665</v>
      </c>
      <c r="AH17">
        <f t="shared" si="16"/>
        <v>-8.3333333333333329E-2</v>
      </c>
      <c r="AJ17">
        <f t="shared" si="17"/>
        <v>0</v>
      </c>
      <c r="AL17">
        <f t="shared" si="18"/>
        <v>0</v>
      </c>
      <c r="AN17">
        <f t="shared" si="19"/>
        <v>0</v>
      </c>
      <c r="AP17">
        <f t="shared" si="20"/>
        <v>0</v>
      </c>
      <c r="AR17">
        <f t="shared" si="21"/>
        <v>0</v>
      </c>
    </row>
    <row r="18" spans="3:44">
      <c r="C18" t="s">
        <v>301</v>
      </c>
      <c r="E18">
        <v>2006</v>
      </c>
      <c r="F18">
        <v>4</v>
      </c>
      <c r="G18">
        <v>0</v>
      </c>
      <c r="I18" t="s">
        <v>78</v>
      </c>
      <c r="J18" t="s">
        <v>10</v>
      </c>
      <c r="K18">
        <f t="shared" si="0"/>
        <v>2045</v>
      </c>
      <c r="N18">
        <v>8226.42</v>
      </c>
      <c r="O18">
        <v>0</v>
      </c>
      <c r="P18">
        <f t="shared" si="1"/>
        <v>8226.42</v>
      </c>
      <c r="Q18">
        <f t="shared" si="2"/>
        <v>17.577820512820512</v>
      </c>
      <c r="R18">
        <f t="shared" si="3"/>
        <v>0</v>
      </c>
      <c r="S18">
        <f t="shared" si="4"/>
        <v>0</v>
      </c>
      <c r="T18">
        <f t="shared" si="5"/>
        <v>0</v>
      </c>
      <c r="U18">
        <v>1</v>
      </c>
      <c r="V18">
        <f t="shared" si="6"/>
        <v>0</v>
      </c>
      <c r="X18">
        <f t="shared" si="7"/>
        <v>8226.42</v>
      </c>
      <c r="Y18">
        <f t="shared" si="8"/>
        <v>8226.42</v>
      </c>
      <c r="Z18">
        <v>1</v>
      </c>
      <c r="AA18">
        <f t="shared" si="9"/>
        <v>8226.42</v>
      </c>
      <c r="AB18">
        <f t="shared" si="10"/>
        <v>8226.42</v>
      </c>
      <c r="AC18">
        <f t="shared" si="11"/>
        <v>0</v>
      </c>
      <c r="AD18">
        <f t="shared" si="12"/>
        <v>2006.25</v>
      </c>
      <c r="AE18">
        <f t="shared" si="13"/>
        <v>2023</v>
      </c>
      <c r="AF18">
        <f t="shared" si="14"/>
        <v>2045.25</v>
      </c>
      <c r="AG18">
        <f t="shared" si="15"/>
        <v>2190.4166666666665</v>
      </c>
      <c r="AH18">
        <f t="shared" si="16"/>
        <v>-8.3333333333333329E-2</v>
      </c>
      <c r="AJ18">
        <f t="shared" si="17"/>
        <v>0</v>
      </c>
      <c r="AL18">
        <f t="shared" si="18"/>
        <v>0</v>
      </c>
      <c r="AN18">
        <f t="shared" si="19"/>
        <v>0</v>
      </c>
      <c r="AP18">
        <f t="shared" si="20"/>
        <v>0</v>
      </c>
      <c r="AR18">
        <f t="shared" si="21"/>
        <v>0</v>
      </c>
    </row>
    <row r="19" spans="3:44">
      <c r="C19" t="s">
        <v>15</v>
      </c>
      <c r="E19">
        <v>2006</v>
      </c>
      <c r="F19">
        <v>1</v>
      </c>
      <c r="G19">
        <v>0</v>
      </c>
      <c r="I19" t="s">
        <v>78</v>
      </c>
      <c r="J19" t="s">
        <v>10</v>
      </c>
      <c r="K19">
        <f t="shared" si="0"/>
        <v>2045</v>
      </c>
      <c r="N19">
        <v>16082.22</v>
      </c>
      <c r="O19">
        <v>0</v>
      </c>
      <c r="P19">
        <f t="shared" si="1"/>
        <v>16082.22</v>
      </c>
      <c r="Q19">
        <f t="shared" si="2"/>
        <v>34.363717948717948</v>
      </c>
      <c r="R19">
        <f t="shared" si="3"/>
        <v>0</v>
      </c>
      <c r="S19">
        <f t="shared" si="4"/>
        <v>0</v>
      </c>
      <c r="T19">
        <f t="shared" si="5"/>
        <v>0</v>
      </c>
      <c r="U19">
        <v>1</v>
      </c>
      <c r="V19">
        <f t="shared" si="6"/>
        <v>0</v>
      </c>
      <c r="X19">
        <f t="shared" si="7"/>
        <v>16082.22</v>
      </c>
      <c r="Y19">
        <f t="shared" si="8"/>
        <v>16082.22</v>
      </c>
      <c r="Z19">
        <v>1</v>
      </c>
      <c r="AA19">
        <f t="shared" si="9"/>
        <v>16082.22</v>
      </c>
      <c r="AB19">
        <f t="shared" si="10"/>
        <v>16082.22</v>
      </c>
      <c r="AC19">
        <f t="shared" si="11"/>
        <v>0</v>
      </c>
      <c r="AD19">
        <f t="shared" si="12"/>
        <v>2006</v>
      </c>
      <c r="AE19">
        <f t="shared" si="13"/>
        <v>2023</v>
      </c>
      <c r="AF19">
        <f t="shared" si="14"/>
        <v>2045</v>
      </c>
      <c r="AG19">
        <f t="shared" si="15"/>
        <v>2190.4166666666665</v>
      </c>
      <c r="AH19">
        <f t="shared" si="16"/>
        <v>-8.3333333333333329E-2</v>
      </c>
      <c r="AJ19">
        <f t="shared" si="17"/>
        <v>0</v>
      </c>
      <c r="AL19">
        <f t="shared" si="18"/>
        <v>0</v>
      </c>
      <c r="AN19">
        <f t="shared" si="19"/>
        <v>0</v>
      </c>
      <c r="AP19">
        <f t="shared" si="20"/>
        <v>0</v>
      </c>
      <c r="AR19">
        <f t="shared" si="21"/>
        <v>0</v>
      </c>
    </row>
    <row r="20" spans="3:44">
      <c r="C20" t="s">
        <v>110</v>
      </c>
      <c r="E20">
        <v>2007</v>
      </c>
      <c r="F20">
        <v>5</v>
      </c>
      <c r="G20">
        <v>0</v>
      </c>
      <c r="I20" t="s">
        <v>78</v>
      </c>
      <c r="J20" t="s">
        <v>102</v>
      </c>
      <c r="K20">
        <f t="shared" si="0"/>
        <v>2022</v>
      </c>
      <c r="N20">
        <v>6504</v>
      </c>
      <c r="O20">
        <v>0</v>
      </c>
      <c r="P20">
        <f t="shared" si="1"/>
        <v>6504</v>
      </c>
      <c r="Q20">
        <f t="shared" si="2"/>
        <v>36.133333333333333</v>
      </c>
      <c r="R20">
        <f t="shared" si="3"/>
        <v>0</v>
      </c>
      <c r="S20">
        <f t="shared" si="4"/>
        <v>0</v>
      </c>
      <c r="T20">
        <f t="shared" si="5"/>
        <v>0</v>
      </c>
      <c r="U20">
        <v>1</v>
      </c>
      <c r="V20">
        <f t="shared" si="6"/>
        <v>0</v>
      </c>
      <c r="X20">
        <f t="shared" si="7"/>
        <v>6504</v>
      </c>
      <c r="Y20">
        <f t="shared" si="8"/>
        <v>6504</v>
      </c>
      <c r="Z20">
        <v>1</v>
      </c>
      <c r="AA20">
        <f t="shared" si="9"/>
        <v>6504</v>
      </c>
      <c r="AB20">
        <f t="shared" si="10"/>
        <v>6504</v>
      </c>
      <c r="AC20">
        <f t="shared" si="11"/>
        <v>0</v>
      </c>
      <c r="AD20">
        <f t="shared" si="12"/>
        <v>2007.3333333333333</v>
      </c>
      <c r="AE20">
        <f t="shared" si="13"/>
        <v>2023</v>
      </c>
      <c r="AF20">
        <f t="shared" si="14"/>
        <v>2022.3333333333333</v>
      </c>
      <c r="AG20">
        <f t="shared" si="15"/>
        <v>2190.4166666666665</v>
      </c>
      <c r="AH20">
        <f t="shared" si="16"/>
        <v>-8.3333333333333329E-2</v>
      </c>
      <c r="AJ20">
        <f t="shared" si="17"/>
        <v>0</v>
      </c>
      <c r="AL20">
        <f t="shared" si="18"/>
        <v>0</v>
      </c>
      <c r="AN20">
        <f t="shared" si="19"/>
        <v>0</v>
      </c>
      <c r="AP20">
        <f t="shared" si="20"/>
        <v>0</v>
      </c>
      <c r="AR20">
        <f t="shared" si="21"/>
        <v>0</v>
      </c>
    </row>
    <row r="21" spans="3:44">
      <c r="C21" t="s">
        <v>316</v>
      </c>
    </row>
    <row r="22" spans="3:44">
      <c r="C22" t="s">
        <v>79</v>
      </c>
      <c r="M22">
        <f>SUM(M21:M21)</f>
        <v>0</v>
      </c>
      <c r="N22">
        <f>SUM(N12:N20)</f>
        <v>2280138.3299999996</v>
      </c>
      <c r="O22">
        <f>SUM(O21:O21)</f>
        <v>0</v>
      </c>
      <c r="P22">
        <f>SUM(P12:P20)</f>
        <v>2280138.3299999996</v>
      </c>
      <c r="Q22">
        <f>SUM(Q12:Q20)</f>
        <v>4911.2029957264958</v>
      </c>
      <c r="R22">
        <f>SUM(R12:R20)</f>
        <v>0</v>
      </c>
      <c r="S22">
        <f>SUM(S21:S21)</f>
        <v>0</v>
      </c>
      <c r="T22">
        <f>SUM(T21:T21)</f>
        <v>0</v>
      </c>
      <c r="U22">
        <f>SUM(U21:U21)</f>
        <v>0</v>
      </c>
      <c r="V22">
        <f>SUM(V12:V20)</f>
        <v>0</v>
      </c>
      <c r="W22">
        <f>SUM(W21:W21)</f>
        <v>0</v>
      </c>
      <c r="X22">
        <f>SUM(X12:X20)</f>
        <v>2280138.3299999996</v>
      </c>
      <c r="Y22">
        <f>SUM(Y12:Y20)</f>
        <v>2280138.3299999996</v>
      </c>
      <c r="Z22">
        <f>SUM(Z21:Z21)</f>
        <v>0</v>
      </c>
      <c r="AA22">
        <f>SUM(AA12:AA20)</f>
        <v>2280138.3299999996</v>
      </c>
      <c r="AB22">
        <f>SUM(AB12:AB20)</f>
        <v>2280138.3299999996</v>
      </c>
      <c r="AC22">
        <f>SUM(AC12:AC20)</f>
        <v>0</v>
      </c>
      <c r="AJ22">
        <f t="shared" ref="AJ22:AR22" si="22">SUM(AJ12:AJ20)</f>
        <v>0</v>
      </c>
      <c r="AK22">
        <f t="shared" si="22"/>
        <v>0</v>
      </c>
      <c r="AL22">
        <f t="shared" si="22"/>
        <v>0</v>
      </c>
      <c r="AM22">
        <f t="shared" si="22"/>
        <v>0</v>
      </c>
      <c r="AN22">
        <f t="shared" si="22"/>
        <v>0</v>
      </c>
      <c r="AO22">
        <f t="shared" si="22"/>
        <v>0</v>
      </c>
      <c r="AP22">
        <f t="shared" si="22"/>
        <v>0</v>
      </c>
      <c r="AQ22">
        <f t="shared" si="22"/>
        <v>0</v>
      </c>
      <c r="AR22">
        <f t="shared" si="22"/>
        <v>0</v>
      </c>
    </row>
    <row r="23" spans="3:44">
      <c r="C23" t="s">
        <v>316</v>
      </c>
    </row>
    <row r="24" spans="3:44">
      <c r="C24" t="s">
        <v>316</v>
      </c>
    </row>
    <row r="25" spans="3:44">
      <c r="C25" t="s">
        <v>264</v>
      </c>
    </row>
    <row r="26" spans="3:44">
      <c r="C26" t="s">
        <v>316</v>
      </c>
    </row>
    <row r="27" spans="3:44">
      <c r="C27" t="s">
        <v>347</v>
      </c>
      <c r="E27">
        <v>1982</v>
      </c>
      <c r="F27">
        <v>4</v>
      </c>
      <c r="G27">
        <v>0</v>
      </c>
      <c r="I27" t="s">
        <v>78</v>
      </c>
      <c r="J27" t="s">
        <v>176</v>
      </c>
      <c r="K27">
        <f t="shared" ref="K27:K45" si="23">E27+J27</f>
        <v>2032</v>
      </c>
      <c r="N27">
        <v>3500</v>
      </c>
      <c r="O27">
        <v>0</v>
      </c>
      <c r="P27">
        <f t="shared" ref="P27:P45" si="24">N27-N27*G27</f>
        <v>3500</v>
      </c>
      <c r="Q27">
        <f t="shared" ref="Q27:Q45" si="25">P27/J27/12</f>
        <v>5.833333333333333</v>
      </c>
      <c r="R27">
        <f t="shared" ref="R27:R44" si="26">IF(O27&gt;0,0,IF(OR(AD27&gt;AE27,AF27&lt;AG27),0,IF(AND(AF27&gt;=AG27,AF27&lt;=AE27),Q27*((AF27-AG27)*12),IF(AND(AG27&lt;=AD27,AE27&gt;=AD27),((AE27-AD27)*12)*Q27,IF(AF27&gt;AE27,12*Q27,0)))))</f>
        <v>0</v>
      </c>
      <c r="S27">
        <f t="shared" ref="S27:S44" si="27">IF(O27=0,0,IF(AND(AH27&gt;=AG27,AH27&lt;=AF27),((AH27-AG27)*12)*Q27,0))</f>
        <v>0</v>
      </c>
      <c r="T27">
        <f t="shared" ref="T27:T44" si="28">IF(S27&gt;0,S27,R27)</f>
        <v>0</v>
      </c>
      <c r="U27">
        <v>1</v>
      </c>
      <c r="V27">
        <f t="shared" ref="V27:V44" si="29">U27*SUM(R27:S27)</f>
        <v>0</v>
      </c>
      <c r="X27">
        <f t="shared" ref="X27:X44" si="30">IF(AD27&gt;AE27,0,IF(AF27&lt;AG27,P27,IF(AND(AF27&gt;=AG27,AF27&lt;=AE27),(P27-T27),IF(AND(AG27&lt;=AD27,AE27&gt;=AD27),0,IF(AF27&gt;AE27,((AG27-AD27)*12)*Q27,0)))))</f>
        <v>3500</v>
      </c>
      <c r="Y27">
        <f t="shared" ref="Y27:Y44" si="31">X27*U27</f>
        <v>3500</v>
      </c>
      <c r="Z27">
        <v>1</v>
      </c>
      <c r="AA27">
        <f t="shared" ref="AA27:AA44" si="32">Y27*Z27</f>
        <v>3500</v>
      </c>
      <c r="AB27">
        <f t="shared" ref="AB27:AB44" si="33">IF(O27&gt;0,0,AA27+V27*Z27)*Z27</f>
        <v>3500</v>
      </c>
      <c r="AC27">
        <f t="shared" ref="AC27:AC44" si="34">IF(O27&gt;0,(N27-AA27)/2,IF(AD27&gt;=AG27,(((N27*U27)*Z27)-AB27)/2,((((N27*U27)*Z27)-AA27)+(((N27*U27)*Z27)-AB27))/2))</f>
        <v>0</v>
      </c>
      <c r="AD27">
        <f t="shared" ref="AD27:AD46" si="35">$E27+(($F27-1)/12)</f>
        <v>1982.25</v>
      </c>
      <c r="AE27">
        <f t="shared" ref="AE27:AE46" si="36">($P$5+1)-($P$2/12)</f>
        <v>2023</v>
      </c>
      <c r="AF27">
        <f t="shared" ref="AF27:AF46" si="37">$K27+(($F27-1)/12)</f>
        <v>2032.25</v>
      </c>
      <c r="AG27">
        <f t="shared" ref="AG27:AG46" si="38">$P$4+($P$3/12)</f>
        <v>2190.4166666666665</v>
      </c>
      <c r="AH27">
        <f t="shared" ref="AH27:AH46" si="39">$L27+(($M27-1)/12)</f>
        <v>-8.3333333333333329E-2</v>
      </c>
      <c r="AJ27">
        <f>+IF((AF27-AG27)&gt;3,((N27-P27)/(AF27-AG27)),(N27-P27)/3)</f>
        <v>0</v>
      </c>
      <c r="AL27">
        <f>+AJ27+V27</f>
        <v>0</v>
      </c>
      <c r="AN27">
        <f>+IF(AF27&lt;AG27,-AC27,0)</f>
        <v>0</v>
      </c>
      <c r="AP27">
        <f>IF(AF27&gt;AG27,IF(AJ27&gt;0,IF(O27&gt;0,(N27-AA27)/2,IF(AD27&gt;=AG27,(((N27*U27)*Z27)-(AB27+AJ27))/2,((((N27*U27)*Z27)-AA27)+(((N27*U27)*Z27)-(AB27+AJ27)))/2)),0),0)</f>
        <v>0</v>
      </c>
      <c r="AR27">
        <f>+AC27+AN27+(IF(AP27&gt;0,(AP27-AC27),0))</f>
        <v>0</v>
      </c>
    </row>
    <row r="28" spans="3:44">
      <c r="C28" t="s">
        <v>347</v>
      </c>
      <c r="E28">
        <v>1982</v>
      </c>
      <c r="F28">
        <v>4</v>
      </c>
      <c r="G28">
        <v>0</v>
      </c>
      <c r="I28" t="s">
        <v>78</v>
      </c>
      <c r="J28" t="s">
        <v>102</v>
      </c>
      <c r="K28">
        <f t="shared" si="23"/>
        <v>1997</v>
      </c>
      <c r="N28">
        <v>25135</v>
      </c>
      <c r="O28">
        <v>0</v>
      </c>
      <c r="P28">
        <f t="shared" si="24"/>
        <v>25135</v>
      </c>
      <c r="Q28">
        <f t="shared" si="25"/>
        <v>139.63888888888889</v>
      </c>
      <c r="R28">
        <f t="shared" si="26"/>
        <v>0</v>
      </c>
      <c r="S28">
        <f t="shared" si="27"/>
        <v>0</v>
      </c>
      <c r="T28">
        <f t="shared" si="28"/>
        <v>0</v>
      </c>
      <c r="U28">
        <v>1</v>
      </c>
      <c r="V28">
        <f t="shared" si="29"/>
        <v>0</v>
      </c>
      <c r="X28">
        <f t="shared" si="30"/>
        <v>25135</v>
      </c>
      <c r="Y28">
        <f t="shared" si="31"/>
        <v>25135</v>
      </c>
      <c r="Z28">
        <v>1</v>
      </c>
      <c r="AA28">
        <f t="shared" si="32"/>
        <v>25135</v>
      </c>
      <c r="AB28">
        <f t="shared" si="33"/>
        <v>25135</v>
      </c>
      <c r="AC28">
        <f t="shared" si="34"/>
        <v>0</v>
      </c>
      <c r="AD28">
        <f t="shared" si="35"/>
        <v>1982.25</v>
      </c>
      <c r="AE28">
        <f t="shared" si="36"/>
        <v>2023</v>
      </c>
      <c r="AF28">
        <f t="shared" si="37"/>
        <v>1997.25</v>
      </c>
      <c r="AG28">
        <f t="shared" si="38"/>
        <v>2190.4166666666665</v>
      </c>
      <c r="AH28">
        <f t="shared" si="39"/>
        <v>-8.3333333333333329E-2</v>
      </c>
      <c r="AJ28">
        <f t="shared" ref="AJ28:AJ46" si="40">+IF((AF28-AG28)&gt;3,((N28-P28)/(AF28-AG28)),(N28-P28)/3)</f>
        <v>0</v>
      </c>
      <c r="AL28">
        <f t="shared" ref="AL28:AL46" si="41">+AJ28+V28</f>
        <v>0</v>
      </c>
      <c r="AN28">
        <f t="shared" ref="AN28:AN46" si="42">+IF(AF28&lt;AG28,-AC28,0)</f>
        <v>0</v>
      </c>
      <c r="AP28">
        <f t="shared" ref="AP28:AP46" si="43">IF(AF28&gt;AG28,IF(AJ28&gt;0,IF(O28&gt;0,(N28-AA28)/2,IF(AD28&gt;=AG28,(((N28*U28)*Z28)-(AB28+AJ28))/2,((((N28*U28)*Z28)-AA28)+(((N28*U28)*Z28)-(AB28+AJ28)))/2)),0),0)</f>
        <v>0</v>
      </c>
      <c r="AR28">
        <f t="shared" ref="AR28:AR46" si="44">+AC28+AN28+(IF(AP28&gt;0,(AP28-AC28),0))</f>
        <v>0</v>
      </c>
    </row>
    <row r="29" spans="3:44">
      <c r="C29" t="s">
        <v>16</v>
      </c>
      <c r="E29">
        <v>2000</v>
      </c>
      <c r="F29">
        <v>7</v>
      </c>
      <c r="G29">
        <v>0</v>
      </c>
      <c r="I29" t="s">
        <v>78</v>
      </c>
      <c r="J29" t="s">
        <v>102</v>
      </c>
      <c r="K29">
        <f t="shared" si="23"/>
        <v>2015</v>
      </c>
      <c r="N29">
        <v>1338603.97</v>
      </c>
      <c r="O29">
        <v>0</v>
      </c>
      <c r="P29">
        <f t="shared" si="24"/>
        <v>1338603.97</v>
      </c>
      <c r="Q29">
        <f t="shared" si="25"/>
        <v>7436.6887222222222</v>
      </c>
      <c r="R29">
        <f t="shared" si="26"/>
        <v>0</v>
      </c>
      <c r="S29">
        <f t="shared" si="27"/>
        <v>0</v>
      </c>
      <c r="T29">
        <f t="shared" si="28"/>
        <v>0</v>
      </c>
      <c r="U29">
        <v>1</v>
      </c>
      <c r="V29">
        <f t="shared" si="29"/>
        <v>0</v>
      </c>
      <c r="X29">
        <f t="shared" si="30"/>
        <v>1338603.97</v>
      </c>
      <c r="Y29">
        <f t="shared" si="31"/>
        <v>1338603.97</v>
      </c>
      <c r="Z29">
        <v>1</v>
      </c>
      <c r="AA29">
        <f t="shared" si="32"/>
        <v>1338603.97</v>
      </c>
      <c r="AB29">
        <f t="shared" si="33"/>
        <v>1338603.97</v>
      </c>
      <c r="AC29">
        <f t="shared" si="34"/>
        <v>0</v>
      </c>
      <c r="AD29">
        <f t="shared" si="35"/>
        <v>2000.5</v>
      </c>
      <c r="AE29">
        <f t="shared" si="36"/>
        <v>2023</v>
      </c>
      <c r="AF29">
        <f t="shared" si="37"/>
        <v>2015.5</v>
      </c>
      <c r="AG29">
        <f t="shared" si="38"/>
        <v>2190.4166666666665</v>
      </c>
      <c r="AH29">
        <f t="shared" si="39"/>
        <v>-8.3333333333333329E-2</v>
      </c>
      <c r="AJ29">
        <f t="shared" si="40"/>
        <v>0</v>
      </c>
      <c r="AL29">
        <f t="shared" si="41"/>
        <v>0</v>
      </c>
      <c r="AN29">
        <f t="shared" si="42"/>
        <v>0</v>
      </c>
      <c r="AP29">
        <f t="shared" si="43"/>
        <v>0</v>
      </c>
      <c r="AR29">
        <f t="shared" si="44"/>
        <v>0</v>
      </c>
    </row>
    <row r="30" spans="3:44">
      <c r="C30" t="s">
        <v>350</v>
      </c>
      <c r="E30">
        <v>2001</v>
      </c>
      <c r="F30">
        <v>12</v>
      </c>
      <c r="G30">
        <v>0</v>
      </c>
      <c r="I30" t="s">
        <v>78</v>
      </c>
      <c r="J30" t="s">
        <v>7</v>
      </c>
      <c r="K30">
        <f t="shared" si="23"/>
        <v>2021</v>
      </c>
      <c r="N30">
        <v>16629.8</v>
      </c>
      <c r="O30">
        <v>0</v>
      </c>
      <c r="P30">
        <f t="shared" si="24"/>
        <v>16629.8</v>
      </c>
      <c r="Q30">
        <f t="shared" si="25"/>
        <v>69.290833333333339</v>
      </c>
      <c r="R30">
        <f t="shared" si="26"/>
        <v>0</v>
      </c>
      <c r="S30">
        <f t="shared" si="27"/>
        <v>0</v>
      </c>
      <c r="T30">
        <f t="shared" si="28"/>
        <v>0</v>
      </c>
      <c r="U30">
        <v>1</v>
      </c>
      <c r="V30">
        <f t="shared" si="29"/>
        <v>0</v>
      </c>
      <c r="X30">
        <f t="shared" si="30"/>
        <v>16629.8</v>
      </c>
      <c r="Y30">
        <f t="shared" si="31"/>
        <v>16629.8</v>
      </c>
      <c r="Z30">
        <v>1</v>
      </c>
      <c r="AA30">
        <f t="shared" si="32"/>
        <v>16629.8</v>
      </c>
      <c r="AB30">
        <f t="shared" si="33"/>
        <v>16629.8</v>
      </c>
      <c r="AC30">
        <f t="shared" si="34"/>
        <v>0</v>
      </c>
      <c r="AD30">
        <f t="shared" si="35"/>
        <v>2001.9166666666667</v>
      </c>
      <c r="AE30">
        <f t="shared" si="36"/>
        <v>2023</v>
      </c>
      <c r="AF30">
        <f t="shared" si="37"/>
        <v>2021.9166666666667</v>
      </c>
      <c r="AG30">
        <f t="shared" si="38"/>
        <v>2190.4166666666665</v>
      </c>
      <c r="AH30">
        <f t="shared" si="39"/>
        <v>-8.3333333333333329E-2</v>
      </c>
      <c r="AJ30">
        <f t="shared" si="40"/>
        <v>0</v>
      </c>
      <c r="AL30">
        <f t="shared" si="41"/>
        <v>0</v>
      </c>
      <c r="AN30">
        <f t="shared" si="42"/>
        <v>0</v>
      </c>
      <c r="AP30">
        <f t="shared" si="43"/>
        <v>0</v>
      </c>
      <c r="AR30">
        <f t="shared" si="44"/>
        <v>0</v>
      </c>
    </row>
    <row r="31" spans="3:44">
      <c r="C31" t="s">
        <v>351</v>
      </c>
      <c r="E31">
        <v>2001</v>
      </c>
      <c r="F31">
        <v>11</v>
      </c>
      <c r="G31">
        <v>0</v>
      </c>
      <c r="I31" t="s">
        <v>78</v>
      </c>
      <c r="J31" t="s">
        <v>7</v>
      </c>
      <c r="K31">
        <f t="shared" si="23"/>
        <v>2021</v>
      </c>
      <c r="N31">
        <v>944175.96</v>
      </c>
      <c r="O31">
        <v>0</v>
      </c>
      <c r="P31">
        <f t="shared" si="24"/>
        <v>944175.96</v>
      </c>
      <c r="Q31">
        <f t="shared" si="25"/>
        <v>3934.0664999999995</v>
      </c>
      <c r="R31">
        <f t="shared" si="26"/>
        <v>0</v>
      </c>
      <c r="S31">
        <f t="shared" si="27"/>
        <v>0</v>
      </c>
      <c r="T31">
        <f t="shared" si="28"/>
        <v>0</v>
      </c>
      <c r="U31">
        <v>1</v>
      </c>
      <c r="V31">
        <f t="shared" si="29"/>
        <v>0</v>
      </c>
      <c r="X31">
        <f t="shared" si="30"/>
        <v>944175.96</v>
      </c>
      <c r="Y31">
        <f t="shared" si="31"/>
        <v>944175.96</v>
      </c>
      <c r="Z31">
        <v>1</v>
      </c>
      <c r="AA31">
        <f t="shared" si="32"/>
        <v>944175.96</v>
      </c>
      <c r="AB31">
        <f t="shared" si="33"/>
        <v>944175.96</v>
      </c>
      <c r="AC31">
        <f t="shared" si="34"/>
        <v>0</v>
      </c>
      <c r="AD31">
        <f t="shared" si="35"/>
        <v>2001.8333333333333</v>
      </c>
      <c r="AE31">
        <f t="shared" si="36"/>
        <v>2023</v>
      </c>
      <c r="AF31">
        <f t="shared" si="37"/>
        <v>2021.8333333333333</v>
      </c>
      <c r="AG31">
        <f t="shared" si="38"/>
        <v>2190.4166666666665</v>
      </c>
      <c r="AH31">
        <f t="shared" si="39"/>
        <v>-8.3333333333333329E-2</v>
      </c>
      <c r="AJ31">
        <f t="shared" si="40"/>
        <v>0</v>
      </c>
      <c r="AL31">
        <f t="shared" si="41"/>
        <v>0</v>
      </c>
      <c r="AN31">
        <f t="shared" si="42"/>
        <v>0</v>
      </c>
      <c r="AP31">
        <f t="shared" si="43"/>
        <v>0</v>
      </c>
      <c r="AR31">
        <f t="shared" si="44"/>
        <v>0</v>
      </c>
    </row>
    <row r="32" spans="3:44">
      <c r="C32" t="s">
        <v>13</v>
      </c>
      <c r="E32">
        <v>2001</v>
      </c>
      <c r="F32">
        <v>7</v>
      </c>
      <c r="G32">
        <v>0</v>
      </c>
      <c r="I32" t="s">
        <v>78</v>
      </c>
      <c r="J32" t="s">
        <v>7</v>
      </c>
      <c r="K32">
        <f t="shared" si="23"/>
        <v>2021</v>
      </c>
      <c r="N32">
        <v>46855</v>
      </c>
      <c r="O32">
        <v>0</v>
      </c>
      <c r="P32">
        <f t="shared" si="24"/>
        <v>46855</v>
      </c>
      <c r="Q32">
        <f t="shared" si="25"/>
        <v>195.22916666666666</v>
      </c>
      <c r="R32">
        <f t="shared" si="26"/>
        <v>0</v>
      </c>
      <c r="S32">
        <f t="shared" si="27"/>
        <v>0</v>
      </c>
      <c r="T32">
        <f t="shared" si="28"/>
        <v>0</v>
      </c>
      <c r="U32">
        <v>1</v>
      </c>
      <c r="V32">
        <f t="shared" si="29"/>
        <v>0</v>
      </c>
      <c r="X32">
        <f t="shared" si="30"/>
        <v>46855</v>
      </c>
      <c r="Y32">
        <f t="shared" si="31"/>
        <v>46855</v>
      </c>
      <c r="Z32">
        <v>1</v>
      </c>
      <c r="AA32">
        <f t="shared" si="32"/>
        <v>46855</v>
      </c>
      <c r="AB32">
        <f t="shared" si="33"/>
        <v>46855</v>
      </c>
      <c r="AC32">
        <f t="shared" si="34"/>
        <v>0</v>
      </c>
      <c r="AD32">
        <f t="shared" si="35"/>
        <v>2001.5</v>
      </c>
      <c r="AE32">
        <f t="shared" si="36"/>
        <v>2023</v>
      </c>
      <c r="AF32">
        <f t="shared" si="37"/>
        <v>2021.5</v>
      </c>
      <c r="AG32">
        <f t="shared" si="38"/>
        <v>2190.4166666666665</v>
      </c>
      <c r="AH32">
        <f t="shared" si="39"/>
        <v>-8.3333333333333329E-2</v>
      </c>
      <c r="AJ32">
        <f t="shared" si="40"/>
        <v>0</v>
      </c>
      <c r="AL32">
        <f t="shared" si="41"/>
        <v>0</v>
      </c>
      <c r="AN32">
        <f t="shared" si="42"/>
        <v>0</v>
      </c>
      <c r="AP32">
        <f t="shared" si="43"/>
        <v>0</v>
      </c>
      <c r="AR32">
        <f t="shared" si="44"/>
        <v>0</v>
      </c>
    </row>
    <row r="33" spans="3:44">
      <c r="C33" t="s">
        <v>86</v>
      </c>
      <c r="E33">
        <v>2002</v>
      </c>
      <c r="F33">
        <v>9</v>
      </c>
      <c r="G33">
        <v>0</v>
      </c>
      <c r="I33" t="s">
        <v>78</v>
      </c>
      <c r="J33" t="s">
        <v>10</v>
      </c>
      <c r="K33">
        <f t="shared" si="23"/>
        <v>2041</v>
      </c>
      <c r="N33">
        <v>17566.23</v>
      </c>
      <c r="O33">
        <v>0</v>
      </c>
      <c r="P33">
        <f t="shared" si="24"/>
        <v>17566.23</v>
      </c>
      <c r="Q33">
        <f t="shared" si="25"/>
        <v>37.534679487179488</v>
      </c>
      <c r="R33">
        <f t="shared" si="26"/>
        <v>0</v>
      </c>
      <c r="S33">
        <f t="shared" si="27"/>
        <v>0</v>
      </c>
      <c r="T33">
        <f t="shared" si="28"/>
        <v>0</v>
      </c>
      <c r="U33">
        <v>1</v>
      </c>
      <c r="V33">
        <f t="shared" si="29"/>
        <v>0</v>
      </c>
      <c r="X33">
        <f t="shared" si="30"/>
        <v>17566.23</v>
      </c>
      <c r="Y33">
        <f t="shared" si="31"/>
        <v>17566.23</v>
      </c>
      <c r="Z33">
        <v>1</v>
      </c>
      <c r="AA33">
        <f t="shared" si="32"/>
        <v>17566.23</v>
      </c>
      <c r="AB33">
        <f t="shared" si="33"/>
        <v>17566.23</v>
      </c>
      <c r="AC33">
        <f t="shared" si="34"/>
        <v>0</v>
      </c>
      <c r="AD33">
        <f t="shared" si="35"/>
        <v>2002.6666666666667</v>
      </c>
      <c r="AE33">
        <f t="shared" si="36"/>
        <v>2023</v>
      </c>
      <c r="AF33">
        <f t="shared" si="37"/>
        <v>2041.6666666666667</v>
      </c>
      <c r="AG33">
        <f t="shared" si="38"/>
        <v>2190.4166666666665</v>
      </c>
      <c r="AH33">
        <f t="shared" si="39"/>
        <v>-8.3333333333333329E-2</v>
      </c>
      <c r="AJ33">
        <f t="shared" si="40"/>
        <v>0</v>
      </c>
      <c r="AL33">
        <f t="shared" si="41"/>
        <v>0</v>
      </c>
      <c r="AN33">
        <f t="shared" si="42"/>
        <v>0</v>
      </c>
      <c r="AP33">
        <f t="shared" si="43"/>
        <v>0</v>
      </c>
      <c r="AR33">
        <f t="shared" si="44"/>
        <v>0</v>
      </c>
    </row>
    <row r="34" spans="3:44">
      <c r="C34" t="s">
        <v>267</v>
      </c>
      <c r="E34">
        <v>2002</v>
      </c>
      <c r="F34">
        <v>11</v>
      </c>
      <c r="G34">
        <v>0</v>
      </c>
      <c r="I34" t="s">
        <v>78</v>
      </c>
      <c r="J34" t="s">
        <v>102</v>
      </c>
      <c r="K34">
        <f t="shared" si="23"/>
        <v>2017</v>
      </c>
      <c r="N34">
        <v>4096.84</v>
      </c>
      <c r="O34">
        <v>0</v>
      </c>
      <c r="P34">
        <f t="shared" si="24"/>
        <v>4096.84</v>
      </c>
      <c r="Q34">
        <f t="shared" si="25"/>
        <v>22.760222222222225</v>
      </c>
      <c r="R34">
        <f t="shared" si="26"/>
        <v>0</v>
      </c>
      <c r="S34">
        <f t="shared" si="27"/>
        <v>0</v>
      </c>
      <c r="T34">
        <f t="shared" si="28"/>
        <v>0</v>
      </c>
      <c r="U34">
        <v>1</v>
      </c>
      <c r="V34">
        <f t="shared" si="29"/>
        <v>0</v>
      </c>
      <c r="X34">
        <f t="shared" si="30"/>
        <v>4096.84</v>
      </c>
      <c r="Y34">
        <f t="shared" si="31"/>
        <v>4096.84</v>
      </c>
      <c r="Z34">
        <v>1</v>
      </c>
      <c r="AA34">
        <f t="shared" si="32"/>
        <v>4096.84</v>
      </c>
      <c r="AB34">
        <f t="shared" si="33"/>
        <v>4096.84</v>
      </c>
      <c r="AC34">
        <f t="shared" si="34"/>
        <v>0</v>
      </c>
      <c r="AD34">
        <f t="shared" si="35"/>
        <v>2002.8333333333333</v>
      </c>
      <c r="AE34">
        <f t="shared" si="36"/>
        <v>2023</v>
      </c>
      <c r="AF34">
        <f t="shared" si="37"/>
        <v>2017.8333333333333</v>
      </c>
      <c r="AG34">
        <f t="shared" si="38"/>
        <v>2190.4166666666665</v>
      </c>
      <c r="AH34">
        <f t="shared" si="39"/>
        <v>-8.3333333333333329E-2</v>
      </c>
      <c r="AJ34">
        <f t="shared" si="40"/>
        <v>0</v>
      </c>
      <c r="AL34">
        <f t="shared" si="41"/>
        <v>0</v>
      </c>
      <c r="AN34">
        <f t="shared" si="42"/>
        <v>0</v>
      </c>
      <c r="AP34">
        <f t="shared" si="43"/>
        <v>0</v>
      </c>
      <c r="AR34">
        <f t="shared" si="44"/>
        <v>0</v>
      </c>
    </row>
    <row r="35" spans="3:44">
      <c r="C35" t="s">
        <v>12</v>
      </c>
      <c r="E35">
        <v>2004</v>
      </c>
      <c r="F35">
        <v>7</v>
      </c>
      <c r="G35">
        <v>0</v>
      </c>
      <c r="I35" t="s">
        <v>78</v>
      </c>
      <c r="J35" t="s">
        <v>102</v>
      </c>
      <c r="K35">
        <f t="shared" si="23"/>
        <v>2019</v>
      </c>
      <c r="N35">
        <v>24008.400000000001</v>
      </c>
      <c r="O35">
        <v>0</v>
      </c>
      <c r="P35">
        <f t="shared" si="24"/>
        <v>24008.400000000001</v>
      </c>
      <c r="Q35">
        <f t="shared" si="25"/>
        <v>133.38000000000002</v>
      </c>
      <c r="R35">
        <f t="shared" si="26"/>
        <v>0</v>
      </c>
      <c r="S35">
        <f t="shared" si="27"/>
        <v>0</v>
      </c>
      <c r="T35">
        <f t="shared" si="28"/>
        <v>0</v>
      </c>
      <c r="U35">
        <v>1</v>
      </c>
      <c r="V35">
        <f t="shared" si="29"/>
        <v>0</v>
      </c>
      <c r="X35">
        <f t="shared" si="30"/>
        <v>24008.400000000001</v>
      </c>
      <c r="Y35">
        <f t="shared" si="31"/>
        <v>24008.400000000001</v>
      </c>
      <c r="Z35">
        <v>1</v>
      </c>
      <c r="AA35">
        <f t="shared" si="32"/>
        <v>24008.400000000001</v>
      </c>
      <c r="AB35">
        <f t="shared" si="33"/>
        <v>24008.400000000001</v>
      </c>
      <c r="AC35">
        <f t="shared" si="34"/>
        <v>0</v>
      </c>
      <c r="AD35">
        <f t="shared" si="35"/>
        <v>2004.5</v>
      </c>
      <c r="AE35">
        <f t="shared" si="36"/>
        <v>2023</v>
      </c>
      <c r="AF35">
        <f t="shared" si="37"/>
        <v>2019.5</v>
      </c>
      <c r="AG35">
        <f t="shared" si="38"/>
        <v>2190.4166666666665</v>
      </c>
      <c r="AH35">
        <f t="shared" si="39"/>
        <v>-8.3333333333333329E-2</v>
      </c>
      <c r="AJ35">
        <f t="shared" si="40"/>
        <v>0</v>
      </c>
      <c r="AL35">
        <f t="shared" si="41"/>
        <v>0</v>
      </c>
      <c r="AN35">
        <f t="shared" si="42"/>
        <v>0</v>
      </c>
      <c r="AP35">
        <f t="shared" si="43"/>
        <v>0</v>
      </c>
      <c r="AR35">
        <f t="shared" si="44"/>
        <v>0</v>
      </c>
    </row>
    <row r="36" spans="3:44">
      <c r="C36" t="s">
        <v>109</v>
      </c>
      <c r="E36">
        <v>2007</v>
      </c>
      <c r="F36">
        <v>3</v>
      </c>
      <c r="G36">
        <v>0</v>
      </c>
      <c r="I36" t="s">
        <v>78</v>
      </c>
      <c r="J36" t="s">
        <v>102</v>
      </c>
      <c r="K36">
        <f t="shared" si="23"/>
        <v>2022</v>
      </c>
      <c r="N36">
        <v>163426.01999999999</v>
      </c>
      <c r="O36">
        <v>0</v>
      </c>
      <c r="P36">
        <f t="shared" si="24"/>
        <v>163426.01999999999</v>
      </c>
      <c r="Q36">
        <f t="shared" si="25"/>
        <v>907.92233333333331</v>
      </c>
      <c r="R36">
        <f t="shared" si="26"/>
        <v>0</v>
      </c>
      <c r="S36">
        <f t="shared" si="27"/>
        <v>0</v>
      </c>
      <c r="T36">
        <f t="shared" si="28"/>
        <v>0</v>
      </c>
      <c r="U36">
        <v>1</v>
      </c>
      <c r="V36">
        <f t="shared" si="29"/>
        <v>0</v>
      </c>
      <c r="X36">
        <f t="shared" si="30"/>
        <v>163426.01999999999</v>
      </c>
      <c r="Y36">
        <f t="shared" si="31"/>
        <v>163426.01999999999</v>
      </c>
      <c r="Z36">
        <v>1</v>
      </c>
      <c r="AA36">
        <f t="shared" si="32"/>
        <v>163426.01999999999</v>
      </c>
      <c r="AB36">
        <f t="shared" si="33"/>
        <v>163426.01999999999</v>
      </c>
      <c r="AC36">
        <f t="shared" si="34"/>
        <v>0</v>
      </c>
      <c r="AD36">
        <f t="shared" si="35"/>
        <v>2007.1666666666667</v>
      </c>
      <c r="AE36">
        <f t="shared" si="36"/>
        <v>2023</v>
      </c>
      <c r="AF36">
        <f t="shared" si="37"/>
        <v>2022.1666666666667</v>
      </c>
      <c r="AG36">
        <f t="shared" si="38"/>
        <v>2190.4166666666665</v>
      </c>
      <c r="AH36">
        <f t="shared" si="39"/>
        <v>-8.3333333333333329E-2</v>
      </c>
      <c r="AJ36">
        <f t="shared" si="40"/>
        <v>0</v>
      </c>
      <c r="AL36">
        <f t="shared" si="41"/>
        <v>0</v>
      </c>
      <c r="AN36">
        <f t="shared" si="42"/>
        <v>0</v>
      </c>
      <c r="AP36">
        <f t="shared" si="43"/>
        <v>0</v>
      </c>
      <c r="AR36">
        <f t="shared" si="44"/>
        <v>0</v>
      </c>
    </row>
    <row r="37" spans="3:44">
      <c r="C37" t="s">
        <v>111</v>
      </c>
      <c r="E37">
        <v>2008</v>
      </c>
      <c r="F37">
        <v>1</v>
      </c>
      <c r="G37">
        <v>0</v>
      </c>
      <c r="I37" t="s">
        <v>78</v>
      </c>
      <c r="J37" t="s">
        <v>102</v>
      </c>
      <c r="K37">
        <f t="shared" si="23"/>
        <v>2023</v>
      </c>
      <c r="N37">
        <v>3824.1</v>
      </c>
      <c r="O37">
        <v>0</v>
      </c>
      <c r="P37">
        <f t="shared" si="24"/>
        <v>3824.1</v>
      </c>
      <c r="Q37">
        <f t="shared" si="25"/>
        <v>21.245000000000001</v>
      </c>
      <c r="R37">
        <f t="shared" si="26"/>
        <v>0</v>
      </c>
      <c r="S37">
        <f t="shared" si="27"/>
        <v>0</v>
      </c>
      <c r="T37">
        <f t="shared" si="28"/>
        <v>0</v>
      </c>
      <c r="U37">
        <v>1</v>
      </c>
      <c r="V37">
        <f t="shared" si="29"/>
        <v>0</v>
      </c>
      <c r="X37">
        <f t="shared" si="30"/>
        <v>3824.1</v>
      </c>
      <c r="Y37">
        <f t="shared" si="31"/>
        <v>3824.1</v>
      </c>
      <c r="Z37">
        <v>1</v>
      </c>
      <c r="AA37">
        <f t="shared" si="32"/>
        <v>3824.1</v>
      </c>
      <c r="AB37">
        <f t="shared" si="33"/>
        <v>3824.1</v>
      </c>
      <c r="AC37">
        <f t="shared" si="34"/>
        <v>0</v>
      </c>
      <c r="AD37">
        <f t="shared" si="35"/>
        <v>2008</v>
      </c>
      <c r="AE37">
        <f t="shared" si="36"/>
        <v>2023</v>
      </c>
      <c r="AF37">
        <f t="shared" si="37"/>
        <v>2023</v>
      </c>
      <c r="AG37">
        <f t="shared" si="38"/>
        <v>2190.4166666666665</v>
      </c>
      <c r="AH37">
        <f t="shared" si="39"/>
        <v>-8.3333333333333329E-2</v>
      </c>
      <c r="AJ37">
        <f t="shared" si="40"/>
        <v>0</v>
      </c>
      <c r="AL37">
        <f t="shared" si="41"/>
        <v>0</v>
      </c>
      <c r="AN37">
        <f t="shared" si="42"/>
        <v>0</v>
      </c>
      <c r="AP37">
        <f t="shared" si="43"/>
        <v>0</v>
      </c>
      <c r="AR37">
        <f t="shared" si="44"/>
        <v>0</v>
      </c>
    </row>
    <row r="38" spans="3:44">
      <c r="C38" t="s">
        <v>413</v>
      </c>
      <c r="D38">
        <v>77321</v>
      </c>
      <c r="E38">
        <v>2010</v>
      </c>
      <c r="F38">
        <v>8</v>
      </c>
      <c r="G38">
        <v>0</v>
      </c>
      <c r="I38" t="s">
        <v>78</v>
      </c>
      <c r="J38">
        <v>10</v>
      </c>
      <c r="K38">
        <f t="shared" si="23"/>
        <v>2020</v>
      </c>
      <c r="N38">
        <v>790.01</v>
      </c>
      <c r="O38">
        <v>0</v>
      </c>
      <c r="P38">
        <f t="shared" si="24"/>
        <v>790.01</v>
      </c>
      <c r="Q38">
        <f t="shared" si="25"/>
        <v>6.5834166666666674</v>
      </c>
      <c r="R38">
        <f t="shared" si="26"/>
        <v>0</v>
      </c>
      <c r="S38">
        <f t="shared" si="27"/>
        <v>0</v>
      </c>
      <c r="T38">
        <f t="shared" si="28"/>
        <v>0</v>
      </c>
      <c r="U38">
        <v>1</v>
      </c>
      <c r="V38">
        <f t="shared" si="29"/>
        <v>0</v>
      </c>
      <c r="X38">
        <f t="shared" si="30"/>
        <v>790.01</v>
      </c>
      <c r="Y38">
        <f t="shared" si="31"/>
        <v>790.01</v>
      </c>
      <c r="Z38">
        <v>1</v>
      </c>
      <c r="AA38">
        <f t="shared" si="32"/>
        <v>790.01</v>
      </c>
      <c r="AB38">
        <f t="shared" si="33"/>
        <v>790.01</v>
      </c>
      <c r="AC38">
        <f t="shared" si="34"/>
        <v>0</v>
      </c>
      <c r="AD38">
        <f t="shared" si="35"/>
        <v>2010.5833333333333</v>
      </c>
      <c r="AE38">
        <f t="shared" si="36"/>
        <v>2023</v>
      </c>
      <c r="AF38">
        <f t="shared" si="37"/>
        <v>2020.5833333333333</v>
      </c>
      <c r="AG38">
        <f t="shared" si="38"/>
        <v>2190.4166666666665</v>
      </c>
      <c r="AH38">
        <f t="shared" si="39"/>
        <v>-8.3333333333333329E-2</v>
      </c>
      <c r="AJ38">
        <f t="shared" si="40"/>
        <v>0</v>
      </c>
      <c r="AL38">
        <f t="shared" si="41"/>
        <v>0</v>
      </c>
      <c r="AN38">
        <f t="shared" si="42"/>
        <v>0</v>
      </c>
      <c r="AP38">
        <f t="shared" si="43"/>
        <v>0</v>
      </c>
      <c r="AR38">
        <f t="shared" si="44"/>
        <v>0</v>
      </c>
    </row>
    <row r="39" spans="3:44">
      <c r="C39" t="s">
        <v>414</v>
      </c>
      <c r="D39">
        <v>76639</v>
      </c>
      <c r="E39">
        <v>2010</v>
      </c>
      <c r="F39">
        <v>8</v>
      </c>
      <c r="G39">
        <v>0</v>
      </c>
      <c r="I39" t="s">
        <v>78</v>
      </c>
      <c r="J39">
        <v>10</v>
      </c>
      <c r="K39">
        <f t="shared" si="23"/>
        <v>2020</v>
      </c>
      <c r="N39">
        <v>7000</v>
      </c>
      <c r="O39">
        <v>0</v>
      </c>
      <c r="P39">
        <f t="shared" si="24"/>
        <v>7000</v>
      </c>
      <c r="Q39">
        <f t="shared" si="25"/>
        <v>58.333333333333336</v>
      </c>
      <c r="R39">
        <f t="shared" si="26"/>
        <v>0</v>
      </c>
      <c r="S39">
        <f t="shared" si="27"/>
        <v>0</v>
      </c>
      <c r="T39">
        <f t="shared" si="28"/>
        <v>0</v>
      </c>
      <c r="U39">
        <v>1</v>
      </c>
      <c r="V39">
        <f t="shared" si="29"/>
        <v>0</v>
      </c>
      <c r="X39">
        <f t="shared" si="30"/>
        <v>7000</v>
      </c>
      <c r="Y39">
        <f t="shared" si="31"/>
        <v>7000</v>
      </c>
      <c r="Z39">
        <v>1</v>
      </c>
      <c r="AA39">
        <f t="shared" si="32"/>
        <v>7000</v>
      </c>
      <c r="AB39">
        <f t="shared" si="33"/>
        <v>7000</v>
      </c>
      <c r="AC39">
        <f t="shared" si="34"/>
        <v>0</v>
      </c>
      <c r="AD39">
        <f t="shared" si="35"/>
        <v>2010.5833333333333</v>
      </c>
      <c r="AE39">
        <f t="shared" si="36"/>
        <v>2023</v>
      </c>
      <c r="AF39">
        <f t="shared" si="37"/>
        <v>2020.5833333333333</v>
      </c>
      <c r="AG39">
        <f t="shared" si="38"/>
        <v>2190.4166666666665</v>
      </c>
      <c r="AH39">
        <f t="shared" si="39"/>
        <v>-8.3333333333333329E-2</v>
      </c>
      <c r="AJ39">
        <f t="shared" si="40"/>
        <v>0</v>
      </c>
      <c r="AL39">
        <f t="shared" si="41"/>
        <v>0</v>
      </c>
      <c r="AN39">
        <f t="shared" si="42"/>
        <v>0</v>
      </c>
      <c r="AP39">
        <f t="shared" si="43"/>
        <v>0</v>
      </c>
      <c r="AR39">
        <f t="shared" si="44"/>
        <v>0</v>
      </c>
    </row>
    <row r="40" spans="3:44">
      <c r="C40" t="s">
        <v>415</v>
      </c>
      <c r="D40">
        <v>77322</v>
      </c>
      <c r="E40">
        <v>2010</v>
      </c>
      <c r="F40">
        <v>8</v>
      </c>
      <c r="G40">
        <v>0</v>
      </c>
      <c r="I40" t="s">
        <v>78</v>
      </c>
      <c r="J40">
        <v>10</v>
      </c>
      <c r="K40">
        <f t="shared" si="23"/>
        <v>2020</v>
      </c>
      <c r="N40">
        <v>1127.8399999999999</v>
      </c>
      <c r="O40">
        <v>0</v>
      </c>
      <c r="P40">
        <f t="shared" si="24"/>
        <v>1127.8399999999999</v>
      </c>
      <c r="Q40">
        <f t="shared" si="25"/>
        <v>9.3986666666666654</v>
      </c>
      <c r="R40">
        <f t="shared" si="26"/>
        <v>0</v>
      </c>
      <c r="S40">
        <f t="shared" si="27"/>
        <v>0</v>
      </c>
      <c r="T40">
        <f t="shared" si="28"/>
        <v>0</v>
      </c>
      <c r="U40">
        <v>1</v>
      </c>
      <c r="V40">
        <f t="shared" si="29"/>
        <v>0</v>
      </c>
      <c r="X40">
        <f t="shared" si="30"/>
        <v>1127.8399999999999</v>
      </c>
      <c r="Y40">
        <f t="shared" si="31"/>
        <v>1127.8399999999999</v>
      </c>
      <c r="Z40">
        <v>1</v>
      </c>
      <c r="AA40">
        <f t="shared" si="32"/>
        <v>1127.8399999999999</v>
      </c>
      <c r="AB40">
        <f t="shared" si="33"/>
        <v>1127.8399999999999</v>
      </c>
      <c r="AC40">
        <f t="shared" si="34"/>
        <v>0</v>
      </c>
      <c r="AD40">
        <f t="shared" si="35"/>
        <v>2010.5833333333333</v>
      </c>
      <c r="AE40">
        <f t="shared" si="36"/>
        <v>2023</v>
      </c>
      <c r="AF40">
        <f t="shared" si="37"/>
        <v>2020.5833333333333</v>
      </c>
      <c r="AG40">
        <f t="shared" si="38"/>
        <v>2190.4166666666665</v>
      </c>
      <c r="AH40">
        <f t="shared" si="39"/>
        <v>-8.3333333333333329E-2</v>
      </c>
      <c r="AJ40">
        <f t="shared" si="40"/>
        <v>0</v>
      </c>
      <c r="AL40">
        <f t="shared" si="41"/>
        <v>0</v>
      </c>
      <c r="AN40">
        <f t="shared" si="42"/>
        <v>0</v>
      </c>
      <c r="AP40">
        <f t="shared" si="43"/>
        <v>0</v>
      </c>
      <c r="AR40">
        <f t="shared" si="44"/>
        <v>0</v>
      </c>
    </row>
    <row r="41" spans="3:44">
      <c r="C41" t="s">
        <v>416</v>
      </c>
      <c r="D41">
        <v>76800</v>
      </c>
      <c r="E41">
        <v>2010</v>
      </c>
      <c r="F41">
        <v>8</v>
      </c>
      <c r="G41">
        <v>0</v>
      </c>
      <c r="I41" t="s">
        <v>78</v>
      </c>
      <c r="J41">
        <v>10</v>
      </c>
      <c r="K41">
        <f t="shared" si="23"/>
        <v>2020</v>
      </c>
      <c r="N41">
        <v>8574.6</v>
      </c>
      <c r="O41">
        <v>0</v>
      </c>
      <c r="P41">
        <f t="shared" si="24"/>
        <v>8574.6</v>
      </c>
      <c r="Q41">
        <f t="shared" si="25"/>
        <v>71.454999999999998</v>
      </c>
      <c r="R41">
        <f t="shared" si="26"/>
        <v>0</v>
      </c>
      <c r="S41">
        <f t="shared" si="27"/>
        <v>0</v>
      </c>
      <c r="T41">
        <f t="shared" si="28"/>
        <v>0</v>
      </c>
      <c r="U41">
        <v>1</v>
      </c>
      <c r="V41">
        <f t="shared" si="29"/>
        <v>0</v>
      </c>
      <c r="X41">
        <f t="shared" si="30"/>
        <v>8574.6</v>
      </c>
      <c r="Y41">
        <f t="shared" si="31"/>
        <v>8574.6</v>
      </c>
      <c r="Z41">
        <v>1</v>
      </c>
      <c r="AA41">
        <f t="shared" si="32"/>
        <v>8574.6</v>
      </c>
      <c r="AB41">
        <f t="shared" si="33"/>
        <v>8574.6</v>
      </c>
      <c r="AC41">
        <f t="shared" si="34"/>
        <v>0</v>
      </c>
      <c r="AD41">
        <f t="shared" si="35"/>
        <v>2010.5833333333333</v>
      </c>
      <c r="AE41">
        <f t="shared" si="36"/>
        <v>2023</v>
      </c>
      <c r="AF41">
        <f t="shared" si="37"/>
        <v>2020.5833333333333</v>
      </c>
      <c r="AG41">
        <f t="shared" si="38"/>
        <v>2190.4166666666665</v>
      </c>
      <c r="AH41">
        <f t="shared" si="39"/>
        <v>-8.3333333333333329E-2</v>
      </c>
      <c r="AJ41">
        <f t="shared" si="40"/>
        <v>0</v>
      </c>
      <c r="AL41">
        <f t="shared" si="41"/>
        <v>0</v>
      </c>
      <c r="AN41">
        <f t="shared" si="42"/>
        <v>0</v>
      </c>
      <c r="AP41">
        <f t="shared" si="43"/>
        <v>0</v>
      </c>
      <c r="AR41">
        <f t="shared" si="44"/>
        <v>0</v>
      </c>
    </row>
    <row r="42" spans="3:44">
      <c r="C42" t="s">
        <v>411</v>
      </c>
      <c r="D42">
        <v>76648</v>
      </c>
      <c r="E42">
        <v>2010</v>
      </c>
      <c r="F42">
        <v>9</v>
      </c>
      <c r="G42">
        <v>0</v>
      </c>
      <c r="I42" t="s">
        <v>78</v>
      </c>
      <c r="J42">
        <v>10</v>
      </c>
      <c r="K42">
        <f t="shared" si="23"/>
        <v>2020</v>
      </c>
      <c r="N42">
        <v>19869.22</v>
      </c>
      <c r="O42">
        <v>0</v>
      </c>
      <c r="P42">
        <f t="shared" si="24"/>
        <v>19869.22</v>
      </c>
      <c r="Q42">
        <f t="shared" si="25"/>
        <v>165.57683333333333</v>
      </c>
      <c r="R42">
        <f t="shared" si="26"/>
        <v>0</v>
      </c>
      <c r="S42">
        <f t="shared" si="27"/>
        <v>0</v>
      </c>
      <c r="T42">
        <f t="shared" si="28"/>
        <v>0</v>
      </c>
      <c r="U42">
        <v>1</v>
      </c>
      <c r="V42">
        <f t="shared" si="29"/>
        <v>0</v>
      </c>
      <c r="X42">
        <f t="shared" si="30"/>
        <v>19869.22</v>
      </c>
      <c r="Y42">
        <f t="shared" si="31"/>
        <v>19869.22</v>
      </c>
      <c r="Z42">
        <v>1</v>
      </c>
      <c r="AA42">
        <f t="shared" si="32"/>
        <v>19869.22</v>
      </c>
      <c r="AB42">
        <f t="shared" si="33"/>
        <v>19869.22</v>
      </c>
      <c r="AC42">
        <f t="shared" si="34"/>
        <v>0</v>
      </c>
      <c r="AD42">
        <f t="shared" si="35"/>
        <v>2010.6666666666667</v>
      </c>
      <c r="AE42">
        <f t="shared" si="36"/>
        <v>2023</v>
      </c>
      <c r="AF42">
        <f t="shared" si="37"/>
        <v>2020.6666666666667</v>
      </c>
      <c r="AG42">
        <f t="shared" si="38"/>
        <v>2190.4166666666665</v>
      </c>
      <c r="AH42">
        <f t="shared" si="39"/>
        <v>-8.3333333333333329E-2</v>
      </c>
      <c r="AJ42">
        <f t="shared" si="40"/>
        <v>0</v>
      </c>
      <c r="AL42">
        <f t="shared" si="41"/>
        <v>0</v>
      </c>
      <c r="AN42">
        <f t="shared" si="42"/>
        <v>0</v>
      </c>
      <c r="AP42">
        <f t="shared" si="43"/>
        <v>0</v>
      </c>
      <c r="AR42">
        <f t="shared" si="44"/>
        <v>0</v>
      </c>
    </row>
    <row r="43" spans="3:44">
      <c r="C43" t="s">
        <v>412</v>
      </c>
      <c r="D43">
        <v>77100</v>
      </c>
      <c r="E43">
        <v>2010</v>
      </c>
      <c r="F43">
        <v>9</v>
      </c>
      <c r="G43">
        <v>0</v>
      </c>
      <c r="I43" t="s">
        <v>78</v>
      </c>
      <c r="J43">
        <v>10</v>
      </c>
      <c r="K43">
        <f t="shared" si="23"/>
        <v>2020</v>
      </c>
      <c r="N43">
        <v>932.5</v>
      </c>
      <c r="O43">
        <v>0</v>
      </c>
      <c r="P43">
        <f t="shared" si="24"/>
        <v>932.5</v>
      </c>
      <c r="Q43">
        <f t="shared" si="25"/>
        <v>7.770833333333333</v>
      </c>
      <c r="R43">
        <f t="shared" si="26"/>
        <v>0</v>
      </c>
      <c r="S43">
        <f t="shared" si="27"/>
        <v>0</v>
      </c>
      <c r="T43">
        <f t="shared" si="28"/>
        <v>0</v>
      </c>
      <c r="U43">
        <v>1</v>
      </c>
      <c r="V43">
        <f t="shared" si="29"/>
        <v>0</v>
      </c>
      <c r="X43">
        <f t="shared" si="30"/>
        <v>932.5</v>
      </c>
      <c r="Y43">
        <f t="shared" si="31"/>
        <v>932.5</v>
      </c>
      <c r="Z43">
        <v>1</v>
      </c>
      <c r="AA43">
        <f t="shared" si="32"/>
        <v>932.5</v>
      </c>
      <c r="AB43">
        <f t="shared" si="33"/>
        <v>932.5</v>
      </c>
      <c r="AC43">
        <f t="shared" si="34"/>
        <v>0</v>
      </c>
      <c r="AD43">
        <f t="shared" si="35"/>
        <v>2010.6666666666667</v>
      </c>
      <c r="AE43">
        <f t="shared" si="36"/>
        <v>2023</v>
      </c>
      <c r="AF43">
        <f t="shared" si="37"/>
        <v>2020.6666666666667</v>
      </c>
      <c r="AG43">
        <f t="shared" si="38"/>
        <v>2190.4166666666665</v>
      </c>
      <c r="AH43">
        <f t="shared" si="39"/>
        <v>-8.3333333333333329E-2</v>
      </c>
      <c r="AJ43">
        <f t="shared" si="40"/>
        <v>0</v>
      </c>
      <c r="AL43">
        <f t="shared" si="41"/>
        <v>0</v>
      </c>
      <c r="AN43">
        <f t="shared" si="42"/>
        <v>0</v>
      </c>
      <c r="AP43">
        <f t="shared" si="43"/>
        <v>0</v>
      </c>
      <c r="AR43">
        <f t="shared" si="44"/>
        <v>0</v>
      </c>
    </row>
    <row r="44" spans="3:44">
      <c r="C44" t="s">
        <v>412</v>
      </c>
      <c r="D44">
        <v>77791</v>
      </c>
      <c r="E44">
        <v>2010</v>
      </c>
      <c r="F44">
        <v>9</v>
      </c>
      <c r="G44">
        <v>0</v>
      </c>
      <c r="I44" t="s">
        <v>78</v>
      </c>
      <c r="J44">
        <v>10</v>
      </c>
      <c r="K44">
        <f t="shared" si="23"/>
        <v>2020</v>
      </c>
      <c r="N44">
        <v>1098.69</v>
      </c>
      <c r="O44">
        <v>0</v>
      </c>
      <c r="P44">
        <f t="shared" si="24"/>
        <v>1098.69</v>
      </c>
      <c r="Q44">
        <f t="shared" si="25"/>
        <v>9.1557499999999994</v>
      </c>
      <c r="R44">
        <f t="shared" si="26"/>
        <v>0</v>
      </c>
      <c r="S44">
        <f t="shared" si="27"/>
        <v>0</v>
      </c>
      <c r="T44">
        <f t="shared" si="28"/>
        <v>0</v>
      </c>
      <c r="U44">
        <v>1</v>
      </c>
      <c r="V44">
        <f t="shared" si="29"/>
        <v>0</v>
      </c>
      <c r="X44">
        <f t="shared" si="30"/>
        <v>1098.69</v>
      </c>
      <c r="Y44">
        <f t="shared" si="31"/>
        <v>1098.69</v>
      </c>
      <c r="Z44">
        <v>1</v>
      </c>
      <c r="AA44">
        <f t="shared" si="32"/>
        <v>1098.69</v>
      </c>
      <c r="AB44">
        <f t="shared" si="33"/>
        <v>1098.69</v>
      </c>
      <c r="AC44">
        <f t="shared" si="34"/>
        <v>0</v>
      </c>
      <c r="AD44">
        <f t="shared" si="35"/>
        <v>2010.6666666666667</v>
      </c>
      <c r="AE44">
        <f t="shared" si="36"/>
        <v>2023</v>
      </c>
      <c r="AF44">
        <f t="shared" si="37"/>
        <v>2020.6666666666667</v>
      </c>
      <c r="AG44">
        <f t="shared" si="38"/>
        <v>2190.4166666666665</v>
      </c>
      <c r="AH44">
        <f t="shared" si="39"/>
        <v>-8.3333333333333329E-2</v>
      </c>
      <c r="AJ44">
        <f t="shared" si="40"/>
        <v>0</v>
      </c>
      <c r="AL44">
        <f t="shared" si="41"/>
        <v>0</v>
      </c>
      <c r="AN44">
        <f t="shared" si="42"/>
        <v>0</v>
      </c>
      <c r="AP44">
        <f t="shared" si="43"/>
        <v>0</v>
      </c>
      <c r="AR44">
        <f t="shared" si="44"/>
        <v>0</v>
      </c>
    </row>
    <row r="45" spans="3:44">
      <c r="C45" t="s">
        <v>579</v>
      </c>
      <c r="D45">
        <v>125074</v>
      </c>
      <c r="E45">
        <v>2015</v>
      </c>
      <c r="F45">
        <v>7</v>
      </c>
      <c r="G45">
        <v>0</v>
      </c>
      <c r="I45" t="s">
        <v>78</v>
      </c>
      <c r="J45">
        <v>10</v>
      </c>
      <c r="K45">
        <f t="shared" si="23"/>
        <v>2025</v>
      </c>
      <c r="N45">
        <v>5978.5</v>
      </c>
      <c r="P45">
        <f t="shared" si="24"/>
        <v>5978.5</v>
      </c>
      <c r="Q45">
        <f t="shared" si="25"/>
        <v>49.820833333333333</v>
      </c>
      <c r="R45">
        <f>IF(O45&gt;0,0,IF(OR(AD45&gt;AE45,AF45&lt;AG45),0,IF(AND(AF45&gt;=AG45,AF45&lt;=AE45),Q45*((AF45-AG45)*12),IF(AND(AG45&lt;=AD45,AE45&gt;=AD45),((AE45-AD45)*12)*Q45,IF(AF45&gt;AE45,12*Q45,0)))))</f>
        <v>0</v>
      </c>
      <c r="S45">
        <f>IF(O45=0,0,IF(AND(AH45&gt;=AG45,AH45&lt;=AF45),((AH45-AG45)*12)*Q45,0))</f>
        <v>0</v>
      </c>
      <c r="T45">
        <f>IF(S45&gt;0,S45,R45)</f>
        <v>0</v>
      </c>
      <c r="U45">
        <v>1</v>
      </c>
      <c r="V45">
        <f>U45*SUM(R45:S45)</f>
        <v>0</v>
      </c>
      <c r="X45">
        <f>IF(AD45&gt;AE45,0,IF(AF45&lt;AG45,P45,IF(AND(AF45&gt;=AG45,AF45&lt;=AE45),(P45-T45),IF(AND(AG45&lt;=AD45,AE45&gt;=AD45),0,IF(AF45&gt;AE45,((AG45-AD45)*12)*Q45,0)))))</f>
        <v>5978.5</v>
      </c>
      <c r="Y45">
        <f>X45*U45</f>
        <v>5978.5</v>
      </c>
      <c r="Z45">
        <v>1</v>
      </c>
      <c r="AA45">
        <f>Y45*Z45</f>
        <v>5978.5</v>
      </c>
      <c r="AB45">
        <f>IF(O45&gt;0,0,AA45+V45*Z45)*Z45</f>
        <v>5978.5</v>
      </c>
      <c r="AC45">
        <f>IF(O45&gt;0,(N45-AA45)/2,IF(AD45&gt;=AG45,(((N45*U45)*Z45)-AB45)/2,((((N45*U45)*Z45)-AA45)+(((N45*U45)*Z45)-AB45))/2))</f>
        <v>0</v>
      </c>
      <c r="AD45">
        <f t="shared" si="35"/>
        <v>2015.5</v>
      </c>
      <c r="AE45">
        <f t="shared" si="36"/>
        <v>2023</v>
      </c>
      <c r="AF45">
        <f t="shared" si="37"/>
        <v>2025.5</v>
      </c>
      <c r="AG45">
        <f t="shared" si="38"/>
        <v>2190.4166666666665</v>
      </c>
      <c r="AH45">
        <f t="shared" si="39"/>
        <v>-8.3333333333333329E-2</v>
      </c>
      <c r="AJ45">
        <f t="shared" si="40"/>
        <v>0</v>
      </c>
      <c r="AL45">
        <f t="shared" si="41"/>
        <v>0</v>
      </c>
      <c r="AN45">
        <f t="shared" si="42"/>
        <v>0</v>
      </c>
      <c r="AP45">
        <f t="shared" si="43"/>
        <v>0</v>
      </c>
      <c r="AR45">
        <f t="shared" si="44"/>
        <v>0</v>
      </c>
    </row>
    <row r="46" spans="3:44">
      <c r="C46" t="s">
        <v>606</v>
      </c>
      <c r="D46">
        <v>169402</v>
      </c>
      <c r="E46">
        <v>2016</v>
      </c>
      <c r="F46">
        <v>8</v>
      </c>
      <c r="G46">
        <v>0</v>
      </c>
      <c r="I46" t="s">
        <v>78</v>
      </c>
      <c r="J46">
        <v>10</v>
      </c>
      <c r="K46">
        <f>E46+J46</f>
        <v>2026</v>
      </c>
      <c r="N46">
        <v>27577.19</v>
      </c>
      <c r="P46">
        <f>N46-N46*G46</f>
        <v>27577.19</v>
      </c>
      <c r="Q46">
        <f>P46/J46/12</f>
        <v>229.80991666666668</v>
      </c>
      <c r="R46">
        <f>IF(O46&gt;0,0,IF(OR(AD46&gt;AE46,AF46&lt;AG46),0,IF(AND(AF46&gt;=AG46,AF46&lt;=AE46),Q46*((AF46-AG46)*12),IF(AND(AG46&lt;=AD46,AE46&gt;=AD46),((AE46-AD46)*12)*Q46,IF(AF46&gt;AE46,12*Q46,0)))))</f>
        <v>0</v>
      </c>
      <c r="S46">
        <f>IF(O46=0,0,IF(AND(AH46&gt;=AG46,AH46&lt;=AF46),((AH46-AG46)*12)*Q46,0))</f>
        <v>0</v>
      </c>
      <c r="T46">
        <f>IF(S46&gt;0,S46,R46)</f>
        <v>0</v>
      </c>
      <c r="U46">
        <v>1</v>
      </c>
      <c r="V46">
        <f>U46*SUM(R46:S46)</f>
        <v>0</v>
      </c>
      <c r="X46">
        <f>IF(AD46&gt;AE46,0,IF(AF46&lt;AG46,P46,IF(AND(AF46&gt;=AG46,AF46&lt;=AE46),(P46-T46),IF(AND(AG46&lt;=AD46,AE46&gt;=AD46),0,IF(AF46&gt;AE46,((AG46-AD46)*12)*Q46,0)))))</f>
        <v>27577.19</v>
      </c>
      <c r="Y46">
        <f>X46*U46</f>
        <v>27577.19</v>
      </c>
      <c r="Z46">
        <v>1</v>
      </c>
      <c r="AA46">
        <f>Y46*Z46</f>
        <v>27577.19</v>
      </c>
      <c r="AB46">
        <f>IF(O46&gt;0,0,AA46+V46*Z46)*Z46</f>
        <v>27577.19</v>
      </c>
      <c r="AC46">
        <f>IF(O46&gt;0,(N46-AA46)/2,IF(AD46&gt;=AG46,(((N46*U46)*Z46)-AB46)/2,((((N46*U46)*Z46)-AA46)+(((N46*U46)*Z46)-AB46))/2))</f>
        <v>0</v>
      </c>
      <c r="AD46">
        <f t="shared" si="35"/>
        <v>2016.5833333333333</v>
      </c>
      <c r="AE46">
        <f t="shared" si="36"/>
        <v>2023</v>
      </c>
      <c r="AF46">
        <f t="shared" si="37"/>
        <v>2026.5833333333333</v>
      </c>
      <c r="AG46">
        <f t="shared" si="38"/>
        <v>2190.4166666666665</v>
      </c>
      <c r="AH46">
        <f t="shared" si="39"/>
        <v>-8.3333333333333329E-2</v>
      </c>
      <c r="AJ46">
        <f t="shared" si="40"/>
        <v>0</v>
      </c>
      <c r="AL46">
        <f t="shared" si="41"/>
        <v>0</v>
      </c>
      <c r="AN46">
        <f t="shared" si="42"/>
        <v>0</v>
      </c>
      <c r="AP46">
        <f t="shared" si="43"/>
        <v>0</v>
      </c>
      <c r="AR46">
        <f t="shared" si="44"/>
        <v>0</v>
      </c>
    </row>
    <row r="47" spans="3:44">
      <c r="C47" t="s">
        <v>316</v>
      </c>
    </row>
    <row r="48" spans="3:44">
      <c r="C48" t="s">
        <v>177</v>
      </c>
      <c r="N48">
        <f>SUM(N27:N47)</f>
        <v>2660769.8699999996</v>
      </c>
      <c r="O48">
        <f t="shared" ref="O48:AB48" si="45">SUM(O27:O47)</f>
        <v>0</v>
      </c>
      <c r="P48">
        <f t="shared" si="45"/>
        <v>2660769.8699999996</v>
      </c>
      <c r="Q48">
        <f t="shared" si="45"/>
        <v>13511.494262820514</v>
      </c>
      <c r="R48">
        <f t="shared" si="45"/>
        <v>0</v>
      </c>
      <c r="T48">
        <f t="shared" si="45"/>
        <v>0</v>
      </c>
      <c r="V48">
        <f t="shared" si="45"/>
        <v>0</v>
      </c>
      <c r="X48">
        <f>SUM(X27:X47)</f>
        <v>2660769.8699999996</v>
      </c>
      <c r="Y48">
        <f t="shared" si="45"/>
        <v>2660769.8699999996</v>
      </c>
      <c r="AA48">
        <f t="shared" si="45"/>
        <v>2660769.8699999996</v>
      </c>
      <c r="AB48">
        <f t="shared" si="45"/>
        <v>2660769.8699999996</v>
      </c>
      <c r="AC48">
        <f>SUM(AC27:AC47)</f>
        <v>0</v>
      </c>
      <c r="AJ48">
        <f t="shared" ref="AJ48:AR48" si="46">SUM(AJ27:AJ47)</f>
        <v>0</v>
      </c>
      <c r="AK48">
        <f t="shared" si="46"/>
        <v>0</v>
      </c>
      <c r="AL48">
        <f t="shared" si="46"/>
        <v>0</v>
      </c>
      <c r="AM48">
        <f t="shared" si="46"/>
        <v>0</v>
      </c>
      <c r="AN48">
        <f t="shared" si="46"/>
        <v>0</v>
      </c>
      <c r="AO48">
        <f t="shared" si="46"/>
        <v>0</v>
      </c>
      <c r="AP48">
        <f t="shared" si="46"/>
        <v>0</v>
      </c>
      <c r="AQ48">
        <f t="shared" si="46"/>
        <v>0</v>
      </c>
      <c r="AR48">
        <f t="shared" si="46"/>
        <v>0</v>
      </c>
    </row>
    <row r="49" spans="2:44">
      <c r="C49" t="s">
        <v>316</v>
      </c>
    </row>
    <row r="50" spans="2:44">
      <c r="C50" t="s">
        <v>316</v>
      </c>
    </row>
    <row r="51" spans="2:44">
      <c r="C51" t="s">
        <v>265</v>
      </c>
    </row>
    <row r="52" spans="2:44">
      <c r="C52" t="s">
        <v>316</v>
      </c>
    </row>
    <row r="53" spans="2:44">
      <c r="C53" t="s">
        <v>359</v>
      </c>
      <c r="E53">
        <v>1992</v>
      </c>
      <c r="F53">
        <v>1</v>
      </c>
      <c r="G53">
        <v>0</v>
      </c>
      <c r="I53" t="s">
        <v>78</v>
      </c>
      <c r="J53" t="s">
        <v>9</v>
      </c>
      <c r="K53">
        <f t="shared" ref="K53:K104" si="47">E53+J53</f>
        <v>2002</v>
      </c>
      <c r="N53">
        <v>10411</v>
      </c>
      <c r="O53">
        <v>0</v>
      </c>
      <c r="P53">
        <f t="shared" ref="P53:P102" si="48">N53-N53*G53</f>
        <v>10411</v>
      </c>
      <c r="Q53">
        <f t="shared" ref="Q53:Q102" si="49">P53/J53/12</f>
        <v>86.758333333333326</v>
      </c>
      <c r="R53">
        <f t="shared" ref="R53:R102" si="50">IF(O53&gt;0,0,IF(OR(AD53&gt;AE53,AF53&lt;AG53),0,IF(AND(AF53&gt;=AG53,AF53&lt;=AE53),Q53*((AF53-AG53)*12),IF(AND(AG53&lt;=AD53,AE53&gt;=AD53),((AE53-AD53)*12)*Q53,IF(AF53&gt;AE53,12*Q53,0)))))</f>
        <v>0</v>
      </c>
      <c r="S53">
        <f t="shared" ref="S53:S102" si="51">IF(O53=0,0,IF(AND(AH53&gt;=AG53,AH53&lt;=AF53),((AH53-AG53)*12)*Q53,0))</f>
        <v>0</v>
      </c>
      <c r="T53">
        <f t="shared" ref="T53:T102" si="52">IF(S53&gt;0,S53,R53)</f>
        <v>0</v>
      </c>
      <c r="U53">
        <v>1</v>
      </c>
      <c r="V53">
        <f t="shared" ref="V53:V102" si="53">U53*SUM(R53:S53)</f>
        <v>0</v>
      </c>
      <c r="X53">
        <f t="shared" ref="X53:X102" si="54">IF(AD53&gt;AE53,0,IF(AF53&lt;AG53,P53,IF(AND(AF53&gt;=AG53,AF53&lt;=AE53),(P53-T53),IF(AND(AG53&lt;=AD53,AE53&gt;=AD53),0,IF(AF53&gt;AE53,((AG53-AD53)*12)*Q53,0)))))</f>
        <v>10411</v>
      </c>
      <c r="Y53">
        <f t="shared" ref="Y53:Y102" si="55">X53*U53</f>
        <v>10411</v>
      </c>
      <c r="Z53">
        <v>1</v>
      </c>
      <c r="AA53">
        <f t="shared" ref="AA53:AA102" si="56">Y53*Z53</f>
        <v>10411</v>
      </c>
      <c r="AB53">
        <f t="shared" ref="AB53:AB102" si="57">IF(O53&gt;0,0,AA53+V53*Z53)*Z53</f>
        <v>10411</v>
      </c>
      <c r="AC53">
        <f t="shared" ref="AC53:AC102" si="58">IF(O53&gt;0,(N53-AA53)/2,IF(AD53&gt;=AG53,(((N53*U53)*Z53)-AB53)/2,((((N53*U53)*Z53)-AA53)+(((N53*U53)*Z53)-AB53))/2))</f>
        <v>0</v>
      </c>
      <c r="AD53">
        <f t="shared" ref="AD53:AD105" si="59">$E53+(($F53-1)/12)</f>
        <v>1992</v>
      </c>
      <c r="AE53">
        <f t="shared" ref="AE53:AE105" si="60">($P$5+1)-($P$2/12)</f>
        <v>2023</v>
      </c>
      <c r="AF53">
        <f t="shared" ref="AF53:AF105" si="61">$K53+(($F53-1)/12)</f>
        <v>2002</v>
      </c>
      <c r="AG53">
        <f t="shared" ref="AG53:AG105" si="62">$P$4+($P$3/12)</f>
        <v>2190.4166666666665</v>
      </c>
      <c r="AH53">
        <f t="shared" ref="AH53:AH105" si="63">$L53+(($M53-1)/12)</f>
        <v>-8.3333333333333329E-2</v>
      </c>
      <c r="AJ53">
        <f>+IF((AF53-AG53)&gt;3,((N53-P53)/(AF53-AG53)),(N53-P53)/3)</f>
        <v>0</v>
      </c>
      <c r="AL53">
        <f>+AJ53+V53</f>
        <v>0</v>
      </c>
      <c r="AN53">
        <f>+IF(AF53&lt;AG53,-AC53,0)</f>
        <v>0</v>
      </c>
      <c r="AP53">
        <f>IF(AF53&gt;AG53,IF(AJ53&gt;0,IF(O53&gt;0,(N53-AA53)/2,IF(AD53&gt;=AG53,(((N53*U53)*Z53)-(AB53+AJ53))/2,((((N53*U53)*Z53)-AA53)+(((N53*U53)*Z53)-(AB53+AJ53)))/2)),0),0)</f>
        <v>0</v>
      </c>
      <c r="AR53">
        <f>+AC53+AN53+(IF(AP53&gt;0,(AP53-AC53),0))</f>
        <v>0</v>
      </c>
    </row>
    <row r="54" spans="2:44">
      <c r="C54" t="s">
        <v>113</v>
      </c>
      <c r="E54">
        <v>1992</v>
      </c>
      <c r="F54">
        <v>6</v>
      </c>
      <c r="G54">
        <v>0</v>
      </c>
      <c r="I54" t="s">
        <v>78</v>
      </c>
      <c r="J54">
        <v>5</v>
      </c>
      <c r="K54">
        <f t="shared" si="47"/>
        <v>1997</v>
      </c>
      <c r="N54">
        <v>179873</v>
      </c>
      <c r="O54">
        <v>0</v>
      </c>
      <c r="P54">
        <f t="shared" si="48"/>
        <v>179873</v>
      </c>
      <c r="Q54">
        <f t="shared" si="49"/>
        <v>2997.8833333333332</v>
      </c>
      <c r="R54">
        <f t="shared" si="50"/>
        <v>0</v>
      </c>
      <c r="S54">
        <f t="shared" si="51"/>
        <v>0</v>
      </c>
      <c r="T54">
        <f t="shared" si="52"/>
        <v>0</v>
      </c>
      <c r="U54">
        <v>1</v>
      </c>
      <c r="V54">
        <f t="shared" si="53"/>
        <v>0</v>
      </c>
      <c r="X54">
        <f t="shared" si="54"/>
        <v>179873</v>
      </c>
      <c r="Y54">
        <f t="shared" si="55"/>
        <v>179873</v>
      </c>
      <c r="Z54">
        <v>1</v>
      </c>
      <c r="AA54">
        <f t="shared" si="56"/>
        <v>179873</v>
      </c>
      <c r="AB54">
        <f t="shared" si="57"/>
        <v>179873</v>
      </c>
      <c r="AC54">
        <f t="shared" si="58"/>
        <v>0</v>
      </c>
      <c r="AD54">
        <f t="shared" si="59"/>
        <v>1992.4166666666667</v>
      </c>
      <c r="AE54">
        <f t="shared" si="60"/>
        <v>2023</v>
      </c>
      <c r="AF54">
        <f t="shared" si="61"/>
        <v>1997.4166666666667</v>
      </c>
      <c r="AG54">
        <f t="shared" si="62"/>
        <v>2190.4166666666665</v>
      </c>
      <c r="AH54">
        <f t="shared" si="63"/>
        <v>-8.3333333333333329E-2</v>
      </c>
      <c r="AJ54">
        <f t="shared" ref="AJ54:AJ105" si="64">+IF((AF54-AG54)&gt;3,((N54-P54)/(AF54-AG54)),(N54-P54)/3)</f>
        <v>0</v>
      </c>
      <c r="AL54">
        <f t="shared" ref="AL54:AL105" si="65">+AJ54+V54</f>
        <v>0</v>
      </c>
      <c r="AN54">
        <f t="shared" ref="AN54:AN105" si="66">+IF(AF54&lt;AG54,-AC54,0)</f>
        <v>0</v>
      </c>
      <c r="AP54">
        <f t="shared" ref="AP54:AP105" si="67">IF(AF54&gt;AG54,IF(AJ54&gt;0,IF(O54&gt;0,(N54-AA54)/2,IF(AD54&gt;=AG54,(((N54*U54)*Z54)-(AB54+AJ54))/2,((((N54*U54)*Z54)-AA54)+(((N54*U54)*Z54)-(AB54+AJ54)))/2)),0),0)</f>
        <v>0</v>
      </c>
      <c r="AR54">
        <f t="shared" ref="AR54:AR105" si="68">+AC54+AN54+(IF(AP54&gt;0,(AP54-AC54),0))</f>
        <v>0</v>
      </c>
    </row>
    <row r="55" spans="2:44">
      <c r="B55">
        <v>9243</v>
      </c>
      <c r="C55" t="s">
        <v>345</v>
      </c>
      <c r="E55">
        <v>1995</v>
      </c>
      <c r="F55">
        <v>8</v>
      </c>
      <c r="G55">
        <v>0.2</v>
      </c>
      <c r="I55" t="s">
        <v>78</v>
      </c>
      <c r="J55">
        <v>7</v>
      </c>
      <c r="K55">
        <f>E55+J55</f>
        <v>2002</v>
      </c>
      <c r="N55">
        <v>11060</v>
      </c>
      <c r="O55">
        <v>0</v>
      </c>
      <c r="P55">
        <f>N55-N55*G55</f>
        <v>8848</v>
      </c>
      <c r="Q55">
        <f>P55/J55/12</f>
        <v>105.33333333333333</v>
      </c>
      <c r="R55">
        <f>IF(O55&gt;0,0,IF(OR(AD55&gt;AE55,AF55&lt;AG55),0,IF(AND(AF55&gt;=AG55,AF55&lt;=AE55),Q55*((AF55-AG55)*12),IF(AND(AG55&lt;=AD55,AE55&gt;=AD55),((AE55-AD55)*12)*Q55,IF(AF55&gt;AE55,12*Q55,0)))))</f>
        <v>0</v>
      </c>
      <c r="S55">
        <f>IF(O55=0,0,IF(AND(AH55&gt;=AG55,AH55&lt;=AF55),((AH55-AG55)*12)*Q55,0))</f>
        <v>0</v>
      </c>
      <c r="T55">
        <f>IF(S55&gt;0,S55,R55)</f>
        <v>0</v>
      </c>
      <c r="U55">
        <v>1</v>
      </c>
      <c r="V55">
        <f>U55*SUM(R55:S55)</f>
        <v>0</v>
      </c>
      <c r="X55">
        <f>IF(AD55&gt;AE55,0,IF(AF55&lt;AG55,P55,IF(AND(AF55&gt;=AG55,AF55&lt;=AE55),(P55-T55),IF(AND(AG55&lt;=AD55,AE55&gt;=AD55),0,IF(AF55&gt;AE55,((AG55-AD55)*12)*Q55,0)))))</f>
        <v>8848</v>
      </c>
      <c r="Y55">
        <f>X55*U55</f>
        <v>8848</v>
      </c>
      <c r="Z55">
        <v>1</v>
      </c>
      <c r="AA55">
        <f>Y55*Z55</f>
        <v>8848</v>
      </c>
      <c r="AB55">
        <f>IF(O55&gt;0,0,AA55+V55*Z55)*Z55</f>
        <v>8848</v>
      </c>
      <c r="AC55">
        <f>IF(O55&gt;0,(N55-AA55)/2,IF(AD55&gt;=AG55,(((N55*U55)*Z55)-AB55)/2,((((N55*U55)*Z55)-AA55)+(((N55*U55)*Z55)-AB55))/2))</f>
        <v>2212</v>
      </c>
      <c r="AD55">
        <f>$E55+(($F55-1)/12)</f>
        <v>1995.5833333333333</v>
      </c>
      <c r="AE55">
        <f>($P$5+1)-($P$2/12)</f>
        <v>2023</v>
      </c>
      <c r="AF55">
        <f>$K55+(($F55-1)/12)</f>
        <v>2002.5833333333333</v>
      </c>
      <c r="AG55">
        <f>$P$4+($P$3/12)</f>
        <v>2190.4166666666665</v>
      </c>
      <c r="AH55">
        <f>$L55+(($M55-1)/12)</f>
        <v>-8.3333333333333329E-2</v>
      </c>
      <c r="AJ55">
        <f t="shared" si="64"/>
        <v>737.33333333333337</v>
      </c>
      <c r="AL55">
        <f t="shared" si="65"/>
        <v>737.33333333333337</v>
      </c>
      <c r="AN55">
        <f t="shared" si="66"/>
        <v>-2212</v>
      </c>
      <c r="AP55">
        <f t="shared" si="67"/>
        <v>0</v>
      </c>
      <c r="AR55">
        <f t="shared" si="68"/>
        <v>0</v>
      </c>
    </row>
    <row r="56" spans="2:44">
      <c r="C56" t="s">
        <v>360</v>
      </c>
      <c r="E56">
        <v>1996</v>
      </c>
      <c r="F56">
        <v>11</v>
      </c>
      <c r="G56">
        <v>0</v>
      </c>
      <c r="I56" t="s">
        <v>78</v>
      </c>
      <c r="J56">
        <v>5</v>
      </c>
      <c r="K56">
        <f t="shared" si="47"/>
        <v>2001</v>
      </c>
      <c r="N56">
        <v>14553</v>
      </c>
      <c r="O56">
        <v>0</v>
      </c>
      <c r="P56">
        <f t="shared" si="48"/>
        <v>14553</v>
      </c>
      <c r="Q56">
        <f t="shared" si="49"/>
        <v>242.54999999999998</v>
      </c>
      <c r="R56">
        <f t="shared" si="50"/>
        <v>0</v>
      </c>
      <c r="S56">
        <f t="shared" si="51"/>
        <v>0</v>
      </c>
      <c r="T56">
        <f t="shared" si="52"/>
        <v>0</v>
      </c>
      <c r="U56">
        <v>1</v>
      </c>
      <c r="V56">
        <f t="shared" si="53"/>
        <v>0</v>
      </c>
      <c r="X56">
        <f t="shared" si="54"/>
        <v>14553</v>
      </c>
      <c r="Y56">
        <f t="shared" si="55"/>
        <v>14553</v>
      </c>
      <c r="Z56">
        <v>1</v>
      </c>
      <c r="AA56">
        <f t="shared" si="56"/>
        <v>14553</v>
      </c>
      <c r="AB56">
        <f t="shared" si="57"/>
        <v>14553</v>
      </c>
      <c r="AC56">
        <f t="shared" si="58"/>
        <v>0</v>
      </c>
      <c r="AD56">
        <f t="shared" si="59"/>
        <v>1996.8333333333333</v>
      </c>
      <c r="AE56">
        <f t="shared" si="60"/>
        <v>2023</v>
      </c>
      <c r="AF56">
        <f t="shared" si="61"/>
        <v>2001.8333333333333</v>
      </c>
      <c r="AG56">
        <f t="shared" si="62"/>
        <v>2190.4166666666665</v>
      </c>
      <c r="AH56">
        <f t="shared" si="63"/>
        <v>-8.3333333333333329E-2</v>
      </c>
      <c r="AJ56">
        <f t="shared" si="64"/>
        <v>0</v>
      </c>
      <c r="AL56">
        <f t="shared" si="65"/>
        <v>0</v>
      </c>
      <c r="AN56">
        <f t="shared" si="66"/>
        <v>0</v>
      </c>
      <c r="AP56">
        <f t="shared" si="67"/>
        <v>0</v>
      </c>
      <c r="AR56">
        <f t="shared" si="68"/>
        <v>0</v>
      </c>
    </row>
    <row r="57" spans="2:44">
      <c r="C57" t="s">
        <v>116</v>
      </c>
      <c r="E57">
        <v>1997</v>
      </c>
      <c r="F57">
        <v>10</v>
      </c>
      <c r="G57">
        <v>0</v>
      </c>
      <c r="I57" t="s">
        <v>78</v>
      </c>
      <c r="J57">
        <v>5</v>
      </c>
      <c r="K57">
        <f t="shared" si="47"/>
        <v>2002</v>
      </c>
      <c r="N57">
        <v>4035.74</v>
      </c>
      <c r="O57">
        <v>0</v>
      </c>
      <c r="P57">
        <f t="shared" si="48"/>
        <v>4035.74</v>
      </c>
      <c r="Q57">
        <f t="shared" si="49"/>
        <v>67.262333333333331</v>
      </c>
      <c r="R57">
        <f t="shared" si="50"/>
        <v>0</v>
      </c>
      <c r="S57">
        <f t="shared" si="51"/>
        <v>0</v>
      </c>
      <c r="T57">
        <f t="shared" si="52"/>
        <v>0</v>
      </c>
      <c r="U57">
        <v>1</v>
      </c>
      <c r="V57">
        <f t="shared" si="53"/>
        <v>0</v>
      </c>
      <c r="X57">
        <f t="shared" si="54"/>
        <v>4035.74</v>
      </c>
      <c r="Y57">
        <f t="shared" si="55"/>
        <v>4035.74</v>
      </c>
      <c r="Z57">
        <v>1</v>
      </c>
      <c r="AA57">
        <f t="shared" si="56"/>
        <v>4035.74</v>
      </c>
      <c r="AB57">
        <f t="shared" si="57"/>
        <v>4035.74</v>
      </c>
      <c r="AC57">
        <f t="shared" si="58"/>
        <v>0</v>
      </c>
      <c r="AD57">
        <f t="shared" si="59"/>
        <v>1997.75</v>
      </c>
      <c r="AE57">
        <f t="shared" si="60"/>
        <v>2023</v>
      </c>
      <c r="AF57">
        <f t="shared" si="61"/>
        <v>2002.75</v>
      </c>
      <c r="AG57">
        <f t="shared" si="62"/>
        <v>2190.4166666666665</v>
      </c>
      <c r="AH57">
        <f t="shared" si="63"/>
        <v>-8.3333333333333329E-2</v>
      </c>
      <c r="AJ57">
        <f t="shared" si="64"/>
        <v>0</v>
      </c>
      <c r="AL57">
        <f t="shared" si="65"/>
        <v>0</v>
      </c>
      <c r="AN57">
        <f t="shared" si="66"/>
        <v>0</v>
      </c>
      <c r="AP57">
        <f t="shared" si="67"/>
        <v>0</v>
      </c>
      <c r="AR57">
        <f t="shared" si="68"/>
        <v>0</v>
      </c>
    </row>
    <row r="58" spans="2:44">
      <c r="C58" t="s">
        <v>358</v>
      </c>
      <c r="E58">
        <v>1997</v>
      </c>
      <c r="F58">
        <v>3</v>
      </c>
      <c r="G58">
        <v>0</v>
      </c>
      <c r="I58" t="s">
        <v>78</v>
      </c>
      <c r="J58">
        <v>5</v>
      </c>
      <c r="K58">
        <f t="shared" si="47"/>
        <v>2002</v>
      </c>
      <c r="N58">
        <v>1188</v>
      </c>
      <c r="O58">
        <v>0</v>
      </c>
      <c r="P58">
        <f t="shared" si="48"/>
        <v>1188</v>
      </c>
      <c r="Q58">
        <f t="shared" si="49"/>
        <v>19.8</v>
      </c>
      <c r="R58">
        <f t="shared" si="50"/>
        <v>0</v>
      </c>
      <c r="S58">
        <f t="shared" si="51"/>
        <v>0</v>
      </c>
      <c r="T58">
        <f t="shared" si="52"/>
        <v>0</v>
      </c>
      <c r="U58">
        <v>1</v>
      </c>
      <c r="V58">
        <f t="shared" si="53"/>
        <v>0</v>
      </c>
      <c r="X58">
        <f t="shared" si="54"/>
        <v>1188</v>
      </c>
      <c r="Y58">
        <f t="shared" si="55"/>
        <v>1188</v>
      </c>
      <c r="Z58">
        <v>1</v>
      </c>
      <c r="AA58">
        <f t="shared" si="56"/>
        <v>1188</v>
      </c>
      <c r="AB58">
        <f t="shared" si="57"/>
        <v>1188</v>
      </c>
      <c r="AC58">
        <f t="shared" si="58"/>
        <v>0</v>
      </c>
      <c r="AD58">
        <f t="shared" si="59"/>
        <v>1997.1666666666667</v>
      </c>
      <c r="AE58">
        <f t="shared" si="60"/>
        <v>2023</v>
      </c>
      <c r="AF58">
        <f t="shared" si="61"/>
        <v>2002.1666666666667</v>
      </c>
      <c r="AG58">
        <f t="shared" si="62"/>
        <v>2190.4166666666665</v>
      </c>
      <c r="AH58">
        <f t="shared" si="63"/>
        <v>-8.3333333333333329E-2</v>
      </c>
      <c r="AJ58">
        <f t="shared" si="64"/>
        <v>0</v>
      </c>
      <c r="AL58">
        <f t="shared" si="65"/>
        <v>0</v>
      </c>
      <c r="AN58">
        <f t="shared" si="66"/>
        <v>0</v>
      </c>
      <c r="AP58">
        <f t="shared" si="67"/>
        <v>0</v>
      </c>
      <c r="AR58">
        <f t="shared" si="68"/>
        <v>0</v>
      </c>
    </row>
    <row r="59" spans="2:44">
      <c r="C59" t="s">
        <v>220</v>
      </c>
      <c r="E59">
        <v>1998</v>
      </c>
      <c r="F59">
        <v>3</v>
      </c>
      <c r="G59">
        <v>0</v>
      </c>
      <c r="I59" t="s">
        <v>78</v>
      </c>
      <c r="J59">
        <v>5</v>
      </c>
      <c r="K59">
        <f t="shared" si="47"/>
        <v>2003</v>
      </c>
      <c r="N59">
        <v>6910.5</v>
      </c>
      <c r="O59">
        <v>0</v>
      </c>
      <c r="P59">
        <f t="shared" si="48"/>
        <v>6910.5</v>
      </c>
      <c r="Q59">
        <f t="shared" si="49"/>
        <v>115.175</v>
      </c>
      <c r="R59">
        <f t="shared" si="50"/>
        <v>0</v>
      </c>
      <c r="S59">
        <f t="shared" si="51"/>
        <v>0</v>
      </c>
      <c r="T59">
        <f t="shared" si="52"/>
        <v>0</v>
      </c>
      <c r="U59">
        <v>1</v>
      </c>
      <c r="V59">
        <f t="shared" si="53"/>
        <v>0</v>
      </c>
      <c r="X59">
        <f t="shared" si="54"/>
        <v>6910.5</v>
      </c>
      <c r="Y59">
        <f t="shared" si="55"/>
        <v>6910.5</v>
      </c>
      <c r="Z59">
        <v>1</v>
      </c>
      <c r="AA59">
        <f t="shared" si="56"/>
        <v>6910.5</v>
      </c>
      <c r="AB59">
        <f t="shared" si="57"/>
        <v>6910.5</v>
      </c>
      <c r="AC59">
        <f t="shared" si="58"/>
        <v>0</v>
      </c>
      <c r="AD59">
        <f t="shared" si="59"/>
        <v>1998.1666666666667</v>
      </c>
      <c r="AE59">
        <f t="shared" si="60"/>
        <v>2023</v>
      </c>
      <c r="AF59">
        <f t="shared" si="61"/>
        <v>2003.1666666666667</v>
      </c>
      <c r="AG59">
        <f t="shared" si="62"/>
        <v>2190.4166666666665</v>
      </c>
      <c r="AH59">
        <f t="shared" si="63"/>
        <v>-8.3333333333333329E-2</v>
      </c>
      <c r="AJ59">
        <f t="shared" si="64"/>
        <v>0</v>
      </c>
      <c r="AL59">
        <f t="shared" si="65"/>
        <v>0</v>
      </c>
      <c r="AN59">
        <f t="shared" si="66"/>
        <v>0</v>
      </c>
      <c r="AP59">
        <f t="shared" si="67"/>
        <v>0</v>
      </c>
      <c r="AR59">
        <f t="shared" si="68"/>
        <v>0</v>
      </c>
    </row>
    <row r="60" spans="2:44">
      <c r="C60" t="s">
        <v>357</v>
      </c>
      <c r="E60">
        <v>1998</v>
      </c>
      <c r="F60">
        <v>2</v>
      </c>
      <c r="G60">
        <v>0</v>
      </c>
      <c r="I60" t="s">
        <v>78</v>
      </c>
      <c r="J60">
        <v>5</v>
      </c>
      <c r="K60">
        <f t="shared" si="47"/>
        <v>2003</v>
      </c>
      <c r="N60">
        <v>130000</v>
      </c>
      <c r="O60">
        <v>0</v>
      </c>
      <c r="P60">
        <f t="shared" si="48"/>
        <v>130000</v>
      </c>
      <c r="Q60">
        <f t="shared" si="49"/>
        <v>2166.6666666666665</v>
      </c>
      <c r="R60">
        <f t="shared" si="50"/>
        <v>0</v>
      </c>
      <c r="S60">
        <f t="shared" si="51"/>
        <v>0</v>
      </c>
      <c r="T60">
        <f t="shared" si="52"/>
        <v>0</v>
      </c>
      <c r="U60">
        <v>1</v>
      </c>
      <c r="V60">
        <f t="shared" si="53"/>
        <v>0</v>
      </c>
      <c r="X60">
        <f t="shared" si="54"/>
        <v>130000</v>
      </c>
      <c r="Y60">
        <f t="shared" si="55"/>
        <v>130000</v>
      </c>
      <c r="Z60">
        <v>1</v>
      </c>
      <c r="AA60">
        <f t="shared" si="56"/>
        <v>130000</v>
      </c>
      <c r="AB60">
        <f t="shared" si="57"/>
        <v>130000</v>
      </c>
      <c r="AC60">
        <f t="shared" si="58"/>
        <v>0</v>
      </c>
      <c r="AD60">
        <f t="shared" si="59"/>
        <v>1998.0833333333333</v>
      </c>
      <c r="AE60">
        <f t="shared" si="60"/>
        <v>2023</v>
      </c>
      <c r="AF60">
        <f t="shared" si="61"/>
        <v>2003.0833333333333</v>
      </c>
      <c r="AG60">
        <f t="shared" si="62"/>
        <v>2190.4166666666665</v>
      </c>
      <c r="AH60">
        <f t="shared" si="63"/>
        <v>-8.3333333333333329E-2</v>
      </c>
      <c r="AJ60">
        <f t="shared" si="64"/>
        <v>0</v>
      </c>
      <c r="AL60">
        <f t="shared" si="65"/>
        <v>0</v>
      </c>
      <c r="AN60">
        <f t="shared" si="66"/>
        <v>0</v>
      </c>
      <c r="AP60">
        <f t="shared" si="67"/>
        <v>0</v>
      </c>
      <c r="AR60">
        <f t="shared" si="68"/>
        <v>0</v>
      </c>
    </row>
    <row r="61" spans="2:44">
      <c r="C61" t="s">
        <v>117</v>
      </c>
      <c r="E61">
        <v>1998</v>
      </c>
      <c r="F61">
        <v>2</v>
      </c>
      <c r="G61">
        <v>0</v>
      </c>
      <c r="I61" t="s">
        <v>78</v>
      </c>
      <c r="J61">
        <v>5</v>
      </c>
      <c r="K61">
        <f t="shared" si="47"/>
        <v>2003</v>
      </c>
      <c r="N61">
        <v>85000</v>
      </c>
      <c r="O61">
        <v>0</v>
      </c>
      <c r="P61">
        <f t="shared" si="48"/>
        <v>85000</v>
      </c>
      <c r="Q61">
        <f t="shared" si="49"/>
        <v>1416.6666666666667</v>
      </c>
      <c r="R61">
        <f t="shared" si="50"/>
        <v>0</v>
      </c>
      <c r="S61">
        <f t="shared" si="51"/>
        <v>0</v>
      </c>
      <c r="T61">
        <f t="shared" si="52"/>
        <v>0</v>
      </c>
      <c r="U61">
        <v>1</v>
      </c>
      <c r="V61">
        <f t="shared" si="53"/>
        <v>0</v>
      </c>
      <c r="X61">
        <f t="shared" si="54"/>
        <v>85000</v>
      </c>
      <c r="Y61">
        <f t="shared" si="55"/>
        <v>85000</v>
      </c>
      <c r="Z61">
        <v>1</v>
      </c>
      <c r="AA61">
        <f t="shared" si="56"/>
        <v>85000</v>
      </c>
      <c r="AB61">
        <f t="shared" si="57"/>
        <v>85000</v>
      </c>
      <c r="AC61">
        <f t="shared" si="58"/>
        <v>0</v>
      </c>
      <c r="AD61">
        <f t="shared" si="59"/>
        <v>1998.0833333333333</v>
      </c>
      <c r="AE61">
        <f t="shared" si="60"/>
        <v>2023</v>
      </c>
      <c r="AF61">
        <f t="shared" si="61"/>
        <v>2003.0833333333333</v>
      </c>
      <c r="AG61">
        <f t="shared" si="62"/>
        <v>2190.4166666666665</v>
      </c>
      <c r="AH61">
        <f t="shared" si="63"/>
        <v>-8.3333333333333329E-2</v>
      </c>
      <c r="AJ61">
        <f t="shared" si="64"/>
        <v>0</v>
      </c>
      <c r="AL61">
        <f t="shared" si="65"/>
        <v>0</v>
      </c>
      <c r="AN61">
        <f t="shared" si="66"/>
        <v>0</v>
      </c>
      <c r="AP61">
        <f t="shared" si="67"/>
        <v>0</v>
      </c>
      <c r="AR61">
        <f t="shared" si="68"/>
        <v>0</v>
      </c>
    </row>
    <row r="62" spans="2:44">
      <c r="C62" t="s">
        <v>118</v>
      </c>
      <c r="E62">
        <v>1998</v>
      </c>
      <c r="F62">
        <v>2</v>
      </c>
      <c r="G62">
        <v>0</v>
      </c>
      <c r="I62" t="s">
        <v>78</v>
      </c>
      <c r="J62">
        <v>5</v>
      </c>
      <c r="K62">
        <f t="shared" si="47"/>
        <v>2003</v>
      </c>
      <c r="N62">
        <v>25000</v>
      </c>
      <c r="O62">
        <v>0</v>
      </c>
      <c r="P62">
        <f t="shared" si="48"/>
        <v>25000</v>
      </c>
      <c r="Q62">
        <f t="shared" si="49"/>
        <v>416.66666666666669</v>
      </c>
      <c r="R62">
        <f t="shared" si="50"/>
        <v>0</v>
      </c>
      <c r="S62">
        <f t="shared" si="51"/>
        <v>0</v>
      </c>
      <c r="T62">
        <f t="shared" si="52"/>
        <v>0</v>
      </c>
      <c r="U62">
        <v>1</v>
      </c>
      <c r="V62">
        <f t="shared" si="53"/>
        <v>0</v>
      </c>
      <c r="X62">
        <f t="shared" si="54"/>
        <v>25000</v>
      </c>
      <c r="Y62">
        <f t="shared" si="55"/>
        <v>25000</v>
      </c>
      <c r="Z62">
        <v>1</v>
      </c>
      <c r="AA62">
        <f t="shared" si="56"/>
        <v>25000</v>
      </c>
      <c r="AB62">
        <f t="shared" si="57"/>
        <v>25000</v>
      </c>
      <c r="AC62">
        <f t="shared" si="58"/>
        <v>0</v>
      </c>
      <c r="AD62">
        <f t="shared" si="59"/>
        <v>1998.0833333333333</v>
      </c>
      <c r="AE62">
        <f t="shared" si="60"/>
        <v>2023</v>
      </c>
      <c r="AF62">
        <f t="shared" si="61"/>
        <v>2003.0833333333333</v>
      </c>
      <c r="AG62">
        <f t="shared" si="62"/>
        <v>2190.4166666666665</v>
      </c>
      <c r="AH62">
        <f t="shared" si="63"/>
        <v>-8.3333333333333329E-2</v>
      </c>
      <c r="AJ62">
        <f t="shared" si="64"/>
        <v>0</v>
      </c>
      <c r="AL62">
        <f t="shared" si="65"/>
        <v>0</v>
      </c>
      <c r="AN62">
        <f t="shared" si="66"/>
        <v>0</v>
      </c>
      <c r="AP62">
        <f t="shared" si="67"/>
        <v>0</v>
      </c>
      <c r="AR62">
        <f t="shared" si="68"/>
        <v>0</v>
      </c>
    </row>
    <row r="63" spans="2:44">
      <c r="B63">
        <v>9206</v>
      </c>
      <c r="C63" t="s">
        <v>364</v>
      </c>
      <c r="E63">
        <v>1999</v>
      </c>
      <c r="F63">
        <v>12</v>
      </c>
      <c r="G63">
        <v>0.33</v>
      </c>
      <c r="I63" t="s">
        <v>78</v>
      </c>
      <c r="J63">
        <v>5</v>
      </c>
      <c r="K63">
        <f t="shared" si="47"/>
        <v>2004</v>
      </c>
      <c r="N63">
        <v>9180</v>
      </c>
      <c r="O63">
        <v>0</v>
      </c>
      <c r="P63">
        <f t="shared" si="48"/>
        <v>6150.6</v>
      </c>
      <c r="Q63">
        <f t="shared" si="49"/>
        <v>102.51</v>
      </c>
      <c r="R63">
        <f t="shared" si="50"/>
        <v>0</v>
      </c>
      <c r="S63">
        <f t="shared" si="51"/>
        <v>0</v>
      </c>
      <c r="T63">
        <f t="shared" si="52"/>
        <v>0</v>
      </c>
      <c r="U63">
        <v>1</v>
      </c>
      <c r="V63">
        <f t="shared" si="53"/>
        <v>0</v>
      </c>
      <c r="X63">
        <f t="shared" si="54"/>
        <v>6150.6</v>
      </c>
      <c r="Y63">
        <f t="shared" si="55"/>
        <v>6150.6</v>
      </c>
      <c r="Z63">
        <v>1</v>
      </c>
      <c r="AA63">
        <f t="shared" si="56"/>
        <v>6150.6</v>
      </c>
      <c r="AB63">
        <f t="shared" si="57"/>
        <v>6150.6</v>
      </c>
      <c r="AC63">
        <f t="shared" si="58"/>
        <v>3029.3999999999996</v>
      </c>
      <c r="AD63">
        <f t="shared" si="59"/>
        <v>1999.9166666666667</v>
      </c>
      <c r="AE63">
        <f t="shared" si="60"/>
        <v>2023</v>
      </c>
      <c r="AF63">
        <f t="shared" si="61"/>
        <v>2004.9166666666667</v>
      </c>
      <c r="AG63">
        <f t="shared" si="62"/>
        <v>2190.4166666666665</v>
      </c>
      <c r="AH63">
        <f t="shared" si="63"/>
        <v>-8.3333333333333329E-2</v>
      </c>
      <c r="AJ63">
        <f t="shared" si="64"/>
        <v>1009.7999999999998</v>
      </c>
      <c r="AL63">
        <f t="shared" si="65"/>
        <v>1009.7999999999998</v>
      </c>
      <c r="AN63">
        <f t="shared" si="66"/>
        <v>-3029.3999999999996</v>
      </c>
      <c r="AP63">
        <f t="shared" si="67"/>
        <v>0</v>
      </c>
      <c r="AR63">
        <f t="shared" si="68"/>
        <v>0</v>
      </c>
    </row>
    <row r="64" spans="2:44">
      <c r="C64" t="s">
        <v>121</v>
      </c>
      <c r="E64">
        <v>2000</v>
      </c>
      <c r="F64">
        <v>7</v>
      </c>
      <c r="G64">
        <v>0</v>
      </c>
      <c r="I64" t="s">
        <v>78</v>
      </c>
      <c r="J64" t="s">
        <v>9</v>
      </c>
      <c r="K64">
        <f t="shared" si="47"/>
        <v>2010</v>
      </c>
      <c r="N64">
        <v>412561.55</v>
      </c>
      <c r="O64">
        <v>0</v>
      </c>
      <c r="P64">
        <f t="shared" si="48"/>
        <v>412561.55</v>
      </c>
      <c r="Q64">
        <f t="shared" si="49"/>
        <v>3438.0129166666666</v>
      </c>
      <c r="R64">
        <f t="shared" si="50"/>
        <v>0</v>
      </c>
      <c r="S64">
        <f t="shared" si="51"/>
        <v>0</v>
      </c>
      <c r="T64">
        <f t="shared" si="52"/>
        <v>0</v>
      </c>
      <c r="U64">
        <v>1</v>
      </c>
      <c r="V64">
        <f t="shared" si="53"/>
        <v>0</v>
      </c>
      <c r="X64">
        <f t="shared" si="54"/>
        <v>412561.55</v>
      </c>
      <c r="Y64">
        <f t="shared" si="55"/>
        <v>412561.55</v>
      </c>
      <c r="Z64">
        <v>1</v>
      </c>
      <c r="AA64">
        <f t="shared" si="56"/>
        <v>412561.55</v>
      </c>
      <c r="AB64">
        <f t="shared" si="57"/>
        <v>412561.55</v>
      </c>
      <c r="AC64">
        <f t="shared" si="58"/>
        <v>0</v>
      </c>
      <c r="AD64">
        <f t="shared" si="59"/>
        <v>2000.5</v>
      </c>
      <c r="AE64">
        <f t="shared" si="60"/>
        <v>2023</v>
      </c>
      <c r="AF64">
        <f t="shared" si="61"/>
        <v>2010.5</v>
      </c>
      <c r="AG64">
        <f t="shared" si="62"/>
        <v>2190.4166666666665</v>
      </c>
      <c r="AH64">
        <f t="shared" si="63"/>
        <v>-8.3333333333333329E-2</v>
      </c>
      <c r="AJ64">
        <f t="shared" si="64"/>
        <v>0</v>
      </c>
      <c r="AL64">
        <f t="shared" si="65"/>
        <v>0</v>
      </c>
      <c r="AN64">
        <f t="shared" si="66"/>
        <v>0</v>
      </c>
      <c r="AP64">
        <f t="shared" si="67"/>
        <v>0</v>
      </c>
      <c r="AR64">
        <f t="shared" si="68"/>
        <v>0</v>
      </c>
    </row>
    <row r="65" spans="3:44">
      <c r="C65" t="s">
        <v>122</v>
      </c>
      <c r="E65">
        <v>2000</v>
      </c>
      <c r="F65">
        <v>7</v>
      </c>
      <c r="G65">
        <v>0</v>
      </c>
      <c r="I65" t="s">
        <v>78</v>
      </c>
      <c r="J65" t="s">
        <v>9</v>
      </c>
      <c r="K65">
        <f t="shared" si="47"/>
        <v>2010</v>
      </c>
      <c r="N65">
        <v>36913.86</v>
      </c>
      <c r="O65">
        <v>0</v>
      </c>
      <c r="P65">
        <f t="shared" si="48"/>
        <v>36913.86</v>
      </c>
      <c r="Q65">
        <f t="shared" si="49"/>
        <v>307.6155</v>
      </c>
      <c r="R65">
        <f t="shared" si="50"/>
        <v>0</v>
      </c>
      <c r="S65">
        <f t="shared" si="51"/>
        <v>0</v>
      </c>
      <c r="T65">
        <f t="shared" si="52"/>
        <v>0</v>
      </c>
      <c r="U65">
        <v>1</v>
      </c>
      <c r="V65">
        <f t="shared" si="53"/>
        <v>0</v>
      </c>
      <c r="X65">
        <f t="shared" si="54"/>
        <v>36913.86</v>
      </c>
      <c r="Y65">
        <f t="shared" si="55"/>
        <v>36913.86</v>
      </c>
      <c r="Z65">
        <v>1</v>
      </c>
      <c r="AA65">
        <f t="shared" si="56"/>
        <v>36913.86</v>
      </c>
      <c r="AB65">
        <f t="shared" si="57"/>
        <v>36913.86</v>
      </c>
      <c r="AC65">
        <f t="shared" si="58"/>
        <v>0</v>
      </c>
      <c r="AD65">
        <f t="shared" si="59"/>
        <v>2000.5</v>
      </c>
      <c r="AE65">
        <f t="shared" si="60"/>
        <v>2023</v>
      </c>
      <c r="AF65">
        <f t="shared" si="61"/>
        <v>2010.5</v>
      </c>
      <c r="AG65">
        <f t="shared" si="62"/>
        <v>2190.4166666666665</v>
      </c>
      <c r="AH65">
        <f t="shared" si="63"/>
        <v>-8.3333333333333329E-2</v>
      </c>
      <c r="AJ65">
        <f t="shared" si="64"/>
        <v>0</v>
      </c>
      <c r="AL65">
        <f t="shared" si="65"/>
        <v>0</v>
      </c>
      <c r="AN65">
        <f t="shared" si="66"/>
        <v>0</v>
      </c>
      <c r="AP65">
        <f t="shared" si="67"/>
        <v>0</v>
      </c>
      <c r="AR65">
        <f t="shared" si="68"/>
        <v>0</v>
      </c>
    </row>
    <row r="66" spans="3:44">
      <c r="C66" t="s">
        <v>123</v>
      </c>
      <c r="E66">
        <v>2000</v>
      </c>
      <c r="F66">
        <v>7</v>
      </c>
      <c r="G66">
        <v>0</v>
      </c>
      <c r="I66" t="s">
        <v>78</v>
      </c>
      <c r="J66" t="s">
        <v>9</v>
      </c>
      <c r="K66">
        <f t="shared" si="47"/>
        <v>2010</v>
      </c>
      <c r="N66">
        <v>92093.69</v>
      </c>
      <c r="O66">
        <v>0</v>
      </c>
      <c r="P66">
        <f t="shared" si="48"/>
        <v>92093.69</v>
      </c>
      <c r="Q66">
        <f t="shared" si="49"/>
        <v>767.44741666666675</v>
      </c>
      <c r="R66">
        <f t="shared" si="50"/>
        <v>0</v>
      </c>
      <c r="S66">
        <f t="shared" si="51"/>
        <v>0</v>
      </c>
      <c r="T66">
        <f t="shared" si="52"/>
        <v>0</v>
      </c>
      <c r="U66">
        <v>1</v>
      </c>
      <c r="V66">
        <f t="shared" si="53"/>
        <v>0</v>
      </c>
      <c r="X66">
        <f t="shared" si="54"/>
        <v>92093.69</v>
      </c>
      <c r="Y66">
        <f t="shared" si="55"/>
        <v>92093.69</v>
      </c>
      <c r="Z66">
        <v>1</v>
      </c>
      <c r="AA66">
        <f t="shared" si="56"/>
        <v>92093.69</v>
      </c>
      <c r="AB66">
        <f t="shared" si="57"/>
        <v>92093.69</v>
      </c>
      <c r="AC66">
        <f t="shared" si="58"/>
        <v>0</v>
      </c>
      <c r="AD66">
        <f t="shared" si="59"/>
        <v>2000.5</v>
      </c>
      <c r="AE66">
        <f t="shared" si="60"/>
        <v>2023</v>
      </c>
      <c r="AF66">
        <f t="shared" si="61"/>
        <v>2010.5</v>
      </c>
      <c r="AG66">
        <f t="shared" si="62"/>
        <v>2190.4166666666665</v>
      </c>
      <c r="AH66">
        <f t="shared" si="63"/>
        <v>-8.3333333333333329E-2</v>
      </c>
      <c r="AJ66">
        <f t="shared" si="64"/>
        <v>0</v>
      </c>
      <c r="AL66">
        <f t="shared" si="65"/>
        <v>0</v>
      </c>
      <c r="AN66">
        <f t="shared" si="66"/>
        <v>0</v>
      </c>
      <c r="AP66">
        <f t="shared" si="67"/>
        <v>0</v>
      </c>
      <c r="AR66">
        <f t="shared" si="68"/>
        <v>0</v>
      </c>
    </row>
    <row r="67" spans="3:44">
      <c r="C67" t="s">
        <v>219</v>
      </c>
      <c r="E67">
        <v>2000</v>
      </c>
      <c r="F67">
        <v>11</v>
      </c>
      <c r="G67">
        <v>0</v>
      </c>
      <c r="I67" t="s">
        <v>78</v>
      </c>
      <c r="J67">
        <v>5</v>
      </c>
      <c r="K67">
        <f t="shared" si="47"/>
        <v>2005</v>
      </c>
      <c r="N67">
        <v>2246.06</v>
      </c>
      <c r="O67">
        <v>0</v>
      </c>
      <c r="P67">
        <f t="shared" si="48"/>
        <v>2246.06</v>
      </c>
      <c r="Q67">
        <f t="shared" si="49"/>
        <v>37.434333333333335</v>
      </c>
      <c r="R67">
        <f t="shared" si="50"/>
        <v>0</v>
      </c>
      <c r="S67">
        <f t="shared" si="51"/>
        <v>0</v>
      </c>
      <c r="T67">
        <f t="shared" si="52"/>
        <v>0</v>
      </c>
      <c r="U67">
        <v>1</v>
      </c>
      <c r="V67">
        <f t="shared" si="53"/>
        <v>0</v>
      </c>
      <c r="X67">
        <f t="shared" si="54"/>
        <v>2246.06</v>
      </c>
      <c r="Y67">
        <f t="shared" si="55"/>
        <v>2246.06</v>
      </c>
      <c r="Z67">
        <v>1</v>
      </c>
      <c r="AA67">
        <f t="shared" si="56"/>
        <v>2246.06</v>
      </c>
      <c r="AB67">
        <f t="shared" si="57"/>
        <v>2246.06</v>
      </c>
      <c r="AC67">
        <f t="shared" si="58"/>
        <v>0</v>
      </c>
      <c r="AD67">
        <f t="shared" si="59"/>
        <v>2000.8333333333333</v>
      </c>
      <c r="AE67">
        <f t="shared" si="60"/>
        <v>2023</v>
      </c>
      <c r="AF67">
        <f t="shared" si="61"/>
        <v>2005.8333333333333</v>
      </c>
      <c r="AG67">
        <f t="shared" si="62"/>
        <v>2190.4166666666665</v>
      </c>
      <c r="AH67">
        <f t="shared" si="63"/>
        <v>-8.3333333333333329E-2</v>
      </c>
      <c r="AJ67">
        <f t="shared" si="64"/>
        <v>0</v>
      </c>
      <c r="AL67">
        <f t="shared" si="65"/>
        <v>0</v>
      </c>
      <c r="AN67">
        <f t="shared" si="66"/>
        <v>0</v>
      </c>
      <c r="AP67">
        <f t="shared" si="67"/>
        <v>0</v>
      </c>
      <c r="AR67">
        <f t="shared" si="68"/>
        <v>0</v>
      </c>
    </row>
    <row r="68" spans="3:44">
      <c r="C68" t="s">
        <v>192</v>
      </c>
      <c r="E68">
        <v>2000</v>
      </c>
      <c r="F68">
        <v>10</v>
      </c>
      <c r="G68">
        <v>0</v>
      </c>
      <c r="I68" t="s">
        <v>78</v>
      </c>
      <c r="J68">
        <v>5</v>
      </c>
      <c r="K68">
        <f t="shared" si="47"/>
        <v>2005</v>
      </c>
      <c r="N68">
        <v>2332.64</v>
      </c>
      <c r="O68">
        <v>0</v>
      </c>
      <c r="P68">
        <f t="shared" si="48"/>
        <v>2332.64</v>
      </c>
      <c r="Q68">
        <f t="shared" si="49"/>
        <v>38.877333333333333</v>
      </c>
      <c r="R68">
        <f t="shared" si="50"/>
        <v>0</v>
      </c>
      <c r="S68">
        <f t="shared" si="51"/>
        <v>0</v>
      </c>
      <c r="T68">
        <f t="shared" si="52"/>
        <v>0</v>
      </c>
      <c r="U68">
        <v>1</v>
      </c>
      <c r="V68">
        <f t="shared" si="53"/>
        <v>0</v>
      </c>
      <c r="X68">
        <f t="shared" si="54"/>
        <v>2332.64</v>
      </c>
      <c r="Y68">
        <f t="shared" si="55"/>
        <v>2332.64</v>
      </c>
      <c r="Z68">
        <v>1</v>
      </c>
      <c r="AA68">
        <f t="shared" si="56"/>
        <v>2332.64</v>
      </c>
      <c r="AB68">
        <f t="shared" si="57"/>
        <v>2332.64</v>
      </c>
      <c r="AC68">
        <f t="shared" si="58"/>
        <v>0</v>
      </c>
      <c r="AD68">
        <f t="shared" si="59"/>
        <v>2000.75</v>
      </c>
      <c r="AE68">
        <f t="shared" si="60"/>
        <v>2023</v>
      </c>
      <c r="AF68">
        <f t="shared" si="61"/>
        <v>2005.75</v>
      </c>
      <c r="AG68">
        <f t="shared" si="62"/>
        <v>2190.4166666666665</v>
      </c>
      <c r="AH68">
        <f t="shared" si="63"/>
        <v>-8.3333333333333329E-2</v>
      </c>
      <c r="AJ68">
        <f t="shared" si="64"/>
        <v>0</v>
      </c>
      <c r="AL68">
        <f t="shared" si="65"/>
        <v>0</v>
      </c>
      <c r="AN68">
        <f t="shared" si="66"/>
        <v>0</v>
      </c>
      <c r="AP68">
        <f t="shared" si="67"/>
        <v>0</v>
      </c>
      <c r="AR68">
        <f t="shared" si="68"/>
        <v>0</v>
      </c>
    </row>
    <row r="69" spans="3:44">
      <c r="C69" t="s">
        <v>112</v>
      </c>
      <c r="E69">
        <v>2000</v>
      </c>
      <c r="F69">
        <v>8</v>
      </c>
      <c r="G69">
        <v>0</v>
      </c>
      <c r="I69" t="s">
        <v>78</v>
      </c>
      <c r="J69">
        <v>5</v>
      </c>
      <c r="K69">
        <f t="shared" si="47"/>
        <v>2005</v>
      </c>
      <c r="N69">
        <v>8228.75</v>
      </c>
      <c r="O69">
        <v>0</v>
      </c>
      <c r="P69">
        <f t="shared" si="48"/>
        <v>8228.75</v>
      </c>
      <c r="Q69">
        <f t="shared" si="49"/>
        <v>137.14583333333334</v>
      </c>
      <c r="R69">
        <f t="shared" si="50"/>
        <v>0</v>
      </c>
      <c r="S69">
        <f t="shared" si="51"/>
        <v>0</v>
      </c>
      <c r="T69">
        <f t="shared" si="52"/>
        <v>0</v>
      </c>
      <c r="U69">
        <v>1</v>
      </c>
      <c r="V69">
        <f t="shared" si="53"/>
        <v>0</v>
      </c>
      <c r="X69">
        <f t="shared" si="54"/>
        <v>8228.75</v>
      </c>
      <c r="Y69">
        <f t="shared" si="55"/>
        <v>8228.75</v>
      </c>
      <c r="Z69">
        <v>1</v>
      </c>
      <c r="AA69">
        <f t="shared" si="56"/>
        <v>8228.75</v>
      </c>
      <c r="AB69">
        <f t="shared" si="57"/>
        <v>8228.75</v>
      </c>
      <c r="AC69">
        <f t="shared" si="58"/>
        <v>0</v>
      </c>
      <c r="AD69">
        <f t="shared" si="59"/>
        <v>2000.5833333333333</v>
      </c>
      <c r="AE69">
        <f t="shared" si="60"/>
        <v>2023</v>
      </c>
      <c r="AF69">
        <f t="shared" si="61"/>
        <v>2005.5833333333333</v>
      </c>
      <c r="AG69">
        <f t="shared" si="62"/>
        <v>2190.4166666666665</v>
      </c>
      <c r="AH69">
        <f t="shared" si="63"/>
        <v>-8.3333333333333329E-2</v>
      </c>
      <c r="AJ69">
        <f t="shared" si="64"/>
        <v>0</v>
      </c>
      <c r="AL69">
        <f t="shared" si="65"/>
        <v>0</v>
      </c>
      <c r="AN69">
        <f t="shared" si="66"/>
        <v>0</v>
      </c>
      <c r="AP69">
        <f t="shared" si="67"/>
        <v>0</v>
      </c>
      <c r="AR69">
        <f t="shared" si="68"/>
        <v>0</v>
      </c>
    </row>
    <row r="70" spans="3:44">
      <c r="C70" t="s">
        <v>125</v>
      </c>
      <c r="E70">
        <v>2001</v>
      </c>
      <c r="F70">
        <v>2</v>
      </c>
      <c r="G70">
        <v>0</v>
      </c>
      <c r="I70" t="s">
        <v>78</v>
      </c>
      <c r="J70" t="s">
        <v>11</v>
      </c>
      <c r="K70">
        <f t="shared" si="47"/>
        <v>2008</v>
      </c>
      <c r="N70">
        <v>152358.79999999999</v>
      </c>
      <c r="O70">
        <v>0</v>
      </c>
      <c r="P70">
        <f t="shared" si="48"/>
        <v>152358.79999999999</v>
      </c>
      <c r="Q70">
        <f t="shared" si="49"/>
        <v>1813.7952380952381</v>
      </c>
      <c r="R70">
        <f t="shared" si="50"/>
        <v>0</v>
      </c>
      <c r="S70">
        <f t="shared" si="51"/>
        <v>0</v>
      </c>
      <c r="T70">
        <f t="shared" si="52"/>
        <v>0</v>
      </c>
      <c r="U70">
        <v>1</v>
      </c>
      <c r="V70">
        <f t="shared" si="53"/>
        <v>0</v>
      </c>
      <c r="X70">
        <f t="shared" si="54"/>
        <v>152358.79999999999</v>
      </c>
      <c r="Y70">
        <f t="shared" si="55"/>
        <v>152358.79999999999</v>
      </c>
      <c r="Z70">
        <v>1</v>
      </c>
      <c r="AA70">
        <f t="shared" si="56"/>
        <v>152358.79999999999</v>
      </c>
      <c r="AB70">
        <f t="shared" si="57"/>
        <v>152358.79999999999</v>
      </c>
      <c r="AC70">
        <f t="shared" si="58"/>
        <v>0</v>
      </c>
      <c r="AD70">
        <f t="shared" si="59"/>
        <v>2001.0833333333333</v>
      </c>
      <c r="AE70">
        <f t="shared" si="60"/>
        <v>2023</v>
      </c>
      <c r="AF70">
        <f t="shared" si="61"/>
        <v>2008.0833333333333</v>
      </c>
      <c r="AG70">
        <f t="shared" si="62"/>
        <v>2190.4166666666665</v>
      </c>
      <c r="AH70">
        <f t="shared" si="63"/>
        <v>-8.3333333333333329E-2</v>
      </c>
      <c r="AJ70">
        <f t="shared" si="64"/>
        <v>0</v>
      </c>
      <c r="AL70">
        <f t="shared" si="65"/>
        <v>0</v>
      </c>
      <c r="AN70">
        <f t="shared" si="66"/>
        <v>0</v>
      </c>
      <c r="AP70">
        <f t="shared" si="67"/>
        <v>0</v>
      </c>
      <c r="AR70">
        <f t="shared" si="68"/>
        <v>0</v>
      </c>
    </row>
    <row r="71" spans="3:44">
      <c r="C71" t="s">
        <v>127</v>
      </c>
      <c r="E71">
        <v>2001</v>
      </c>
      <c r="F71">
        <v>12</v>
      </c>
      <c r="G71">
        <v>0</v>
      </c>
      <c r="I71" t="s">
        <v>78</v>
      </c>
      <c r="J71">
        <v>5</v>
      </c>
      <c r="K71">
        <f t="shared" si="47"/>
        <v>2006</v>
      </c>
      <c r="N71">
        <v>2246.4</v>
      </c>
      <c r="O71">
        <v>0</v>
      </c>
      <c r="P71">
        <f t="shared" si="48"/>
        <v>2246.4</v>
      </c>
      <c r="Q71">
        <f t="shared" si="49"/>
        <v>37.440000000000005</v>
      </c>
      <c r="R71">
        <f t="shared" si="50"/>
        <v>0</v>
      </c>
      <c r="S71">
        <f t="shared" si="51"/>
        <v>0</v>
      </c>
      <c r="T71">
        <f t="shared" si="52"/>
        <v>0</v>
      </c>
      <c r="U71">
        <v>1</v>
      </c>
      <c r="V71">
        <f t="shared" si="53"/>
        <v>0</v>
      </c>
      <c r="X71">
        <f t="shared" si="54"/>
        <v>2246.4</v>
      </c>
      <c r="Y71">
        <f t="shared" si="55"/>
        <v>2246.4</v>
      </c>
      <c r="Z71">
        <v>1</v>
      </c>
      <c r="AA71">
        <f t="shared" si="56"/>
        <v>2246.4</v>
      </c>
      <c r="AB71">
        <f t="shared" si="57"/>
        <v>2246.4</v>
      </c>
      <c r="AC71">
        <f t="shared" si="58"/>
        <v>0</v>
      </c>
      <c r="AD71">
        <f t="shared" si="59"/>
        <v>2001.9166666666667</v>
      </c>
      <c r="AE71">
        <f t="shared" si="60"/>
        <v>2023</v>
      </c>
      <c r="AF71">
        <f t="shared" si="61"/>
        <v>2006.9166666666667</v>
      </c>
      <c r="AG71">
        <f t="shared" si="62"/>
        <v>2190.4166666666665</v>
      </c>
      <c r="AH71">
        <f t="shared" si="63"/>
        <v>-8.3333333333333329E-2</v>
      </c>
      <c r="AJ71">
        <f t="shared" si="64"/>
        <v>0</v>
      </c>
      <c r="AL71">
        <f t="shared" si="65"/>
        <v>0</v>
      </c>
      <c r="AN71">
        <f t="shared" si="66"/>
        <v>0</v>
      </c>
      <c r="AP71">
        <f t="shared" si="67"/>
        <v>0</v>
      </c>
      <c r="AR71">
        <f t="shared" si="68"/>
        <v>0</v>
      </c>
    </row>
    <row r="72" spans="3:44">
      <c r="C72" t="s">
        <v>126</v>
      </c>
      <c r="E72">
        <v>2001</v>
      </c>
      <c r="F72">
        <v>12</v>
      </c>
      <c r="G72">
        <v>0</v>
      </c>
      <c r="I72" t="s">
        <v>78</v>
      </c>
      <c r="J72">
        <v>5</v>
      </c>
      <c r="K72">
        <f t="shared" si="47"/>
        <v>2006</v>
      </c>
      <c r="N72">
        <v>1938.6</v>
      </c>
      <c r="O72">
        <v>0</v>
      </c>
      <c r="P72">
        <f t="shared" si="48"/>
        <v>1938.6</v>
      </c>
      <c r="Q72">
        <f t="shared" si="49"/>
        <v>32.309999999999995</v>
      </c>
      <c r="R72">
        <f t="shared" si="50"/>
        <v>0</v>
      </c>
      <c r="S72">
        <f t="shared" si="51"/>
        <v>0</v>
      </c>
      <c r="T72">
        <f t="shared" si="52"/>
        <v>0</v>
      </c>
      <c r="U72">
        <v>1</v>
      </c>
      <c r="V72">
        <f t="shared" si="53"/>
        <v>0</v>
      </c>
      <c r="X72">
        <f t="shared" si="54"/>
        <v>1938.6</v>
      </c>
      <c r="Y72">
        <f t="shared" si="55"/>
        <v>1938.6</v>
      </c>
      <c r="Z72">
        <v>1</v>
      </c>
      <c r="AA72">
        <f t="shared" si="56"/>
        <v>1938.6</v>
      </c>
      <c r="AB72">
        <f t="shared" si="57"/>
        <v>1938.6</v>
      </c>
      <c r="AC72">
        <f t="shared" si="58"/>
        <v>0</v>
      </c>
      <c r="AD72">
        <f t="shared" si="59"/>
        <v>2001.9166666666667</v>
      </c>
      <c r="AE72">
        <f t="shared" si="60"/>
        <v>2023</v>
      </c>
      <c r="AF72">
        <f t="shared" si="61"/>
        <v>2006.9166666666667</v>
      </c>
      <c r="AG72">
        <f t="shared" si="62"/>
        <v>2190.4166666666665</v>
      </c>
      <c r="AH72">
        <f t="shared" si="63"/>
        <v>-8.3333333333333329E-2</v>
      </c>
      <c r="AJ72">
        <f t="shared" si="64"/>
        <v>0</v>
      </c>
      <c r="AL72">
        <f t="shared" si="65"/>
        <v>0</v>
      </c>
      <c r="AN72">
        <f t="shared" si="66"/>
        <v>0</v>
      </c>
      <c r="AP72">
        <f t="shared" si="67"/>
        <v>0</v>
      </c>
      <c r="AR72">
        <f t="shared" si="68"/>
        <v>0</v>
      </c>
    </row>
    <row r="73" spans="3:44">
      <c r="C73" t="s">
        <v>106</v>
      </c>
      <c r="E73">
        <v>2001</v>
      </c>
      <c r="F73">
        <v>11</v>
      </c>
      <c r="G73">
        <v>0</v>
      </c>
      <c r="I73" t="s">
        <v>78</v>
      </c>
      <c r="J73">
        <v>5</v>
      </c>
      <c r="K73">
        <f t="shared" si="47"/>
        <v>2006</v>
      </c>
      <c r="N73">
        <v>2079</v>
      </c>
      <c r="O73">
        <v>0</v>
      </c>
      <c r="P73">
        <f t="shared" si="48"/>
        <v>2079</v>
      </c>
      <c r="Q73">
        <f t="shared" si="49"/>
        <v>34.65</v>
      </c>
      <c r="R73">
        <f t="shared" si="50"/>
        <v>0</v>
      </c>
      <c r="S73">
        <f t="shared" si="51"/>
        <v>0</v>
      </c>
      <c r="T73">
        <f t="shared" si="52"/>
        <v>0</v>
      </c>
      <c r="U73">
        <v>1</v>
      </c>
      <c r="V73">
        <f t="shared" si="53"/>
        <v>0</v>
      </c>
      <c r="X73">
        <f t="shared" si="54"/>
        <v>2079</v>
      </c>
      <c r="Y73">
        <f t="shared" si="55"/>
        <v>2079</v>
      </c>
      <c r="Z73">
        <v>1</v>
      </c>
      <c r="AA73">
        <f t="shared" si="56"/>
        <v>2079</v>
      </c>
      <c r="AB73">
        <f t="shared" si="57"/>
        <v>2079</v>
      </c>
      <c r="AC73">
        <f t="shared" si="58"/>
        <v>0</v>
      </c>
      <c r="AD73">
        <f t="shared" si="59"/>
        <v>2001.8333333333333</v>
      </c>
      <c r="AE73">
        <f t="shared" si="60"/>
        <v>2023</v>
      </c>
      <c r="AF73">
        <f t="shared" si="61"/>
        <v>2006.8333333333333</v>
      </c>
      <c r="AG73">
        <f t="shared" si="62"/>
        <v>2190.4166666666665</v>
      </c>
      <c r="AH73">
        <f t="shared" si="63"/>
        <v>-8.3333333333333329E-2</v>
      </c>
      <c r="AJ73">
        <f t="shared" si="64"/>
        <v>0</v>
      </c>
      <c r="AL73">
        <f t="shared" si="65"/>
        <v>0</v>
      </c>
      <c r="AN73">
        <f t="shared" si="66"/>
        <v>0</v>
      </c>
      <c r="AP73">
        <f t="shared" si="67"/>
        <v>0</v>
      </c>
      <c r="AR73">
        <f t="shared" si="68"/>
        <v>0</v>
      </c>
    </row>
    <row r="74" spans="3:44">
      <c r="C74" t="s">
        <v>124</v>
      </c>
      <c r="E74">
        <v>2001</v>
      </c>
      <c r="F74">
        <v>2</v>
      </c>
      <c r="G74">
        <v>0</v>
      </c>
      <c r="I74" t="s">
        <v>78</v>
      </c>
      <c r="J74">
        <v>5</v>
      </c>
      <c r="K74">
        <f t="shared" si="47"/>
        <v>2006</v>
      </c>
      <c r="N74">
        <v>4266</v>
      </c>
      <c r="O74">
        <v>0</v>
      </c>
      <c r="P74">
        <f t="shared" si="48"/>
        <v>4266</v>
      </c>
      <c r="Q74">
        <f t="shared" si="49"/>
        <v>71.100000000000009</v>
      </c>
      <c r="R74">
        <f t="shared" si="50"/>
        <v>0</v>
      </c>
      <c r="S74">
        <f t="shared" si="51"/>
        <v>0</v>
      </c>
      <c r="T74">
        <f t="shared" si="52"/>
        <v>0</v>
      </c>
      <c r="U74">
        <v>1</v>
      </c>
      <c r="V74">
        <f t="shared" si="53"/>
        <v>0</v>
      </c>
      <c r="X74">
        <f t="shared" si="54"/>
        <v>4266</v>
      </c>
      <c r="Y74">
        <f t="shared" si="55"/>
        <v>4266</v>
      </c>
      <c r="Z74">
        <v>1</v>
      </c>
      <c r="AA74">
        <f t="shared" si="56"/>
        <v>4266</v>
      </c>
      <c r="AB74">
        <f t="shared" si="57"/>
        <v>4266</v>
      </c>
      <c r="AC74">
        <f t="shared" si="58"/>
        <v>0</v>
      </c>
      <c r="AD74">
        <f t="shared" si="59"/>
        <v>2001.0833333333333</v>
      </c>
      <c r="AE74">
        <f t="shared" si="60"/>
        <v>2023</v>
      </c>
      <c r="AF74">
        <f t="shared" si="61"/>
        <v>2006.0833333333333</v>
      </c>
      <c r="AG74">
        <f t="shared" si="62"/>
        <v>2190.4166666666665</v>
      </c>
      <c r="AH74">
        <f t="shared" si="63"/>
        <v>-8.3333333333333329E-2</v>
      </c>
      <c r="AJ74">
        <f t="shared" si="64"/>
        <v>0</v>
      </c>
      <c r="AL74">
        <f t="shared" si="65"/>
        <v>0</v>
      </c>
      <c r="AN74">
        <f t="shared" si="66"/>
        <v>0</v>
      </c>
      <c r="AP74">
        <f t="shared" si="67"/>
        <v>0</v>
      </c>
      <c r="AR74">
        <f t="shared" si="68"/>
        <v>0</v>
      </c>
    </row>
    <row r="75" spans="3:44">
      <c r="C75" t="s">
        <v>128</v>
      </c>
      <c r="E75">
        <v>2003</v>
      </c>
      <c r="F75">
        <v>1</v>
      </c>
      <c r="G75">
        <v>0</v>
      </c>
      <c r="I75" t="s">
        <v>78</v>
      </c>
      <c r="J75" t="s">
        <v>9</v>
      </c>
      <c r="K75">
        <f t="shared" si="47"/>
        <v>2013</v>
      </c>
      <c r="N75">
        <v>96517.97</v>
      </c>
      <c r="O75">
        <v>0</v>
      </c>
      <c r="P75">
        <f t="shared" si="48"/>
        <v>96517.97</v>
      </c>
      <c r="Q75">
        <f t="shared" si="49"/>
        <v>804.31641666666667</v>
      </c>
      <c r="R75">
        <f t="shared" si="50"/>
        <v>0</v>
      </c>
      <c r="S75">
        <f t="shared" si="51"/>
        <v>0</v>
      </c>
      <c r="T75">
        <f t="shared" si="52"/>
        <v>0</v>
      </c>
      <c r="U75">
        <v>1</v>
      </c>
      <c r="V75">
        <f t="shared" si="53"/>
        <v>0</v>
      </c>
      <c r="X75">
        <f t="shared" si="54"/>
        <v>96517.97</v>
      </c>
      <c r="Y75">
        <f t="shared" si="55"/>
        <v>96517.97</v>
      </c>
      <c r="Z75">
        <v>1</v>
      </c>
      <c r="AA75">
        <f t="shared" si="56"/>
        <v>96517.97</v>
      </c>
      <c r="AB75">
        <f t="shared" si="57"/>
        <v>96517.97</v>
      </c>
      <c r="AC75">
        <f t="shared" si="58"/>
        <v>0</v>
      </c>
      <c r="AD75">
        <f t="shared" si="59"/>
        <v>2003</v>
      </c>
      <c r="AE75">
        <f t="shared" si="60"/>
        <v>2023</v>
      </c>
      <c r="AF75">
        <f t="shared" si="61"/>
        <v>2013</v>
      </c>
      <c r="AG75">
        <f t="shared" si="62"/>
        <v>2190.4166666666665</v>
      </c>
      <c r="AH75">
        <f t="shared" si="63"/>
        <v>-8.3333333333333329E-2</v>
      </c>
      <c r="AJ75">
        <f t="shared" si="64"/>
        <v>0</v>
      </c>
      <c r="AL75">
        <f t="shared" si="65"/>
        <v>0</v>
      </c>
      <c r="AN75">
        <f t="shared" si="66"/>
        <v>0</v>
      </c>
      <c r="AP75">
        <f t="shared" si="67"/>
        <v>0</v>
      </c>
      <c r="AR75">
        <f t="shared" si="68"/>
        <v>0</v>
      </c>
    </row>
    <row r="76" spans="3:44">
      <c r="C76" t="s">
        <v>130</v>
      </c>
      <c r="E76">
        <v>2003</v>
      </c>
      <c r="F76">
        <v>4</v>
      </c>
      <c r="G76">
        <v>0</v>
      </c>
      <c r="I76" t="s">
        <v>78</v>
      </c>
      <c r="J76">
        <v>5</v>
      </c>
      <c r="K76">
        <f t="shared" si="47"/>
        <v>2008</v>
      </c>
      <c r="N76">
        <v>1513.26</v>
      </c>
      <c r="O76">
        <v>0</v>
      </c>
      <c r="P76">
        <f t="shared" si="48"/>
        <v>1513.26</v>
      </c>
      <c r="Q76">
        <f t="shared" si="49"/>
        <v>25.221</v>
      </c>
      <c r="R76">
        <f t="shared" si="50"/>
        <v>0</v>
      </c>
      <c r="S76">
        <f t="shared" si="51"/>
        <v>0</v>
      </c>
      <c r="T76">
        <f t="shared" si="52"/>
        <v>0</v>
      </c>
      <c r="U76">
        <v>1</v>
      </c>
      <c r="V76">
        <f t="shared" si="53"/>
        <v>0</v>
      </c>
      <c r="X76">
        <f t="shared" si="54"/>
        <v>1513.26</v>
      </c>
      <c r="Y76">
        <f t="shared" si="55"/>
        <v>1513.26</v>
      </c>
      <c r="Z76">
        <v>1</v>
      </c>
      <c r="AA76">
        <f t="shared" si="56"/>
        <v>1513.26</v>
      </c>
      <c r="AB76">
        <f t="shared" si="57"/>
        <v>1513.26</v>
      </c>
      <c r="AC76">
        <f t="shared" si="58"/>
        <v>0</v>
      </c>
      <c r="AD76">
        <f t="shared" si="59"/>
        <v>2003.25</v>
      </c>
      <c r="AE76">
        <f t="shared" si="60"/>
        <v>2023</v>
      </c>
      <c r="AF76">
        <f t="shared" si="61"/>
        <v>2008.25</v>
      </c>
      <c r="AG76">
        <f t="shared" si="62"/>
        <v>2190.4166666666665</v>
      </c>
      <c r="AH76">
        <f t="shared" si="63"/>
        <v>-8.3333333333333329E-2</v>
      </c>
      <c r="AJ76">
        <f t="shared" si="64"/>
        <v>0</v>
      </c>
      <c r="AL76">
        <f t="shared" si="65"/>
        <v>0</v>
      </c>
      <c r="AN76">
        <f t="shared" si="66"/>
        <v>0</v>
      </c>
      <c r="AP76">
        <f t="shared" si="67"/>
        <v>0</v>
      </c>
      <c r="AR76">
        <f t="shared" si="68"/>
        <v>0</v>
      </c>
    </row>
    <row r="77" spans="3:44">
      <c r="C77" t="s">
        <v>129</v>
      </c>
      <c r="E77">
        <v>2003</v>
      </c>
      <c r="F77">
        <v>2</v>
      </c>
      <c r="G77">
        <v>0</v>
      </c>
      <c r="I77" t="s">
        <v>78</v>
      </c>
      <c r="J77">
        <v>5</v>
      </c>
      <c r="K77">
        <f t="shared" si="47"/>
        <v>2008</v>
      </c>
      <c r="N77">
        <v>3468.8</v>
      </c>
      <c r="O77">
        <v>0</v>
      </c>
      <c r="P77">
        <f t="shared" si="48"/>
        <v>3468.8</v>
      </c>
      <c r="Q77">
        <f t="shared" si="49"/>
        <v>57.813333333333333</v>
      </c>
      <c r="R77">
        <f t="shared" si="50"/>
        <v>0</v>
      </c>
      <c r="S77">
        <f t="shared" si="51"/>
        <v>0</v>
      </c>
      <c r="T77">
        <f t="shared" si="52"/>
        <v>0</v>
      </c>
      <c r="U77">
        <v>1</v>
      </c>
      <c r="V77">
        <f t="shared" si="53"/>
        <v>0</v>
      </c>
      <c r="X77">
        <f t="shared" si="54"/>
        <v>3468.8</v>
      </c>
      <c r="Y77">
        <f t="shared" si="55"/>
        <v>3468.8</v>
      </c>
      <c r="Z77">
        <v>1</v>
      </c>
      <c r="AA77">
        <f t="shared" si="56"/>
        <v>3468.8</v>
      </c>
      <c r="AB77">
        <f t="shared" si="57"/>
        <v>3468.8</v>
      </c>
      <c r="AC77">
        <f t="shared" si="58"/>
        <v>0</v>
      </c>
      <c r="AD77">
        <f t="shared" si="59"/>
        <v>2003.0833333333333</v>
      </c>
      <c r="AE77">
        <f t="shared" si="60"/>
        <v>2023</v>
      </c>
      <c r="AF77">
        <f t="shared" si="61"/>
        <v>2008.0833333333333</v>
      </c>
      <c r="AG77">
        <f t="shared" si="62"/>
        <v>2190.4166666666665</v>
      </c>
      <c r="AH77">
        <f t="shared" si="63"/>
        <v>-8.3333333333333329E-2</v>
      </c>
      <c r="AJ77">
        <f t="shared" si="64"/>
        <v>0</v>
      </c>
      <c r="AL77">
        <f t="shared" si="65"/>
        <v>0</v>
      </c>
      <c r="AN77">
        <f t="shared" si="66"/>
        <v>0</v>
      </c>
      <c r="AP77">
        <f t="shared" si="67"/>
        <v>0</v>
      </c>
      <c r="AR77">
        <f t="shared" si="68"/>
        <v>0</v>
      </c>
    </row>
    <row r="78" spans="3:44">
      <c r="C78" t="s">
        <v>20</v>
      </c>
      <c r="E78">
        <v>2004</v>
      </c>
      <c r="F78">
        <v>5</v>
      </c>
      <c r="G78">
        <v>0</v>
      </c>
      <c r="I78" t="s">
        <v>78</v>
      </c>
      <c r="J78">
        <v>5</v>
      </c>
      <c r="K78">
        <f t="shared" si="47"/>
        <v>2009</v>
      </c>
      <c r="N78">
        <v>2174.9</v>
      </c>
      <c r="O78">
        <v>0</v>
      </c>
      <c r="P78">
        <f t="shared" si="48"/>
        <v>2174.9</v>
      </c>
      <c r="Q78">
        <f t="shared" si="49"/>
        <v>36.248333333333335</v>
      </c>
      <c r="R78">
        <f t="shared" si="50"/>
        <v>0</v>
      </c>
      <c r="S78">
        <f t="shared" si="51"/>
        <v>0</v>
      </c>
      <c r="T78">
        <f t="shared" si="52"/>
        <v>0</v>
      </c>
      <c r="U78">
        <v>1</v>
      </c>
      <c r="V78">
        <f t="shared" si="53"/>
        <v>0</v>
      </c>
      <c r="X78">
        <f t="shared" si="54"/>
        <v>2174.9</v>
      </c>
      <c r="Y78">
        <f t="shared" si="55"/>
        <v>2174.9</v>
      </c>
      <c r="Z78">
        <v>1</v>
      </c>
      <c r="AA78">
        <f t="shared" si="56"/>
        <v>2174.9</v>
      </c>
      <c r="AB78">
        <f t="shared" si="57"/>
        <v>2174.9</v>
      </c>
      <c r="AC78">
        <f t="shared" si="58"/>
        <v>0</v>
      </c>
      <c r="AD78">
        <f t="shared" si="59"/>
        <v>2004.3333333333333</v>
      </c>
      <c r="AE78">
        <f t="shared" si="60"/>
        <v>2023</v>
      </c>
      <c r="AF78">
        <f t="shared" si="61"/>
        <v>2009.3333333333333</v>
      </c>
      <c r="AG78">
        <f t="shared" si="62"/>
        <v>2190.4166666666665</v>
      </c>
      <c r="AH78">
        <f t="shared" si="63"/>
        <v>-8.3333333333333329E-2</v>
      </c>
      <c r="AJ78">
        <f t="shared" si="64"/>
        <v>0</v>
      </c>
      <c r="AL78">
        <f t="shared" si="65"/>
        <v>0</v>
      </c>
      <c r="AN78">
        <f t="shared" si="66"/>
        <v>0</v>
      </c>
      <c r="AP78">
        <f t="shared" si="67"/>
        <v>0</v>
      </c>
      <c r="AR78">
        <f t="shared" si="68"/>
        <v>0</v>
      </c>
    </row>
    <row r="79" spans="3:44">
      <c r="C79" t="s">
        <v>131</v>
      </c>
      <c r="E79">
        <v>2004</v>
      </c>
      <c r="F79">
        <v>3</v>
      </c>
      <c r="G79">
        <v>0</v>
      </c>
      <c r="I79" t="s">
        <v>78</v>
      </c>
      <c r="J79">
        <v>5</v>
      </c>
      <c r="K79">
        <f t="shared" si="47"/>
        <v>2009</v>
      </c>
      <c r="N79">
        <v>7050.34</v>
      </c>
      <c r="O79">
        <v>0</v>
      </c>
      <c r="P79">
        <f t="shared" si="48"/>
        <v>7050.34</v>
      </c>
      <c r="Q79">
        <f t="shared" si="49"/>
        <v>117.50566666666667</v>
      </c>
      <c r="R79">
        <f t="shared" si="50"/>
        <v>0</v>
      </c>
      <c r="S79">
        <f t="shared" si="51"/>
        <v>0</v>
      </c>
      <c r="T79">
        <f t="shared" si="52"/>
        <v>0</v>
      </c>
      <c r="U79">
        <v>1</v>
      </c>
      <c r="V79">
        <f t="shared" si="53"/>
        <v>0</v>
      </c>
      <c r="X79">
        <f t="shared" si="54"/>
        <v>7050.34</v>
      </c>
      <c r="Y79">
        <f t="shared" si="55"/>
        <v>7050.34</v>
      </c>
      <c r="Z79">
        <v>1</v>
      </c>
      <c r="AA79">
        <f t="shared" si="56"/>
        <v>7050.34</v>
      </c>
      <c r="AB79">
        <f t="shared" si="57"/>
        <v>7050.34</v>
      </c>
      <c r="AC79">
        <f t="shared" si="58"/>
        <v>0</v>
      </c>
      <c r="AD79">
        <f t="shared" si="59"/>
        <v>2004.1666666666667</v>
      </c>
      <c r="AE79">
        <f t="shared" si="60"/>
        <v>2023</v>
      </c>
      <c r="AF79">
        <f t="shared" si="61"/>
        <v>2009.1666666666667</v>
      </c>
      <c r="AG79">
        <f t="shared" si="62"/>
        <v>2190.4166666666665</v>
      </c>
      <c r="AH79">
        <f t="shared" si="63"/>
        <v>-8.3333333333333329E-2</v>
      </c>
      <c r="AJ79">
        <f t="shared" si="64"/>
        <v>0</v>
      </c>
      <c r="AL79">
        <f t="shared" si="65"/>
        <v>0</v>
      </c>
      <c r="AN79">
        <f t="shared" si="66"/>
        <v>0</v>
      </c>
      <c r="AP79">
        <f t="shared" si="67"/>
        <v>0</v>
      </c>
      <c r="AR79">
        <f t="shared" si="68"/>
        <v>0</v>
      </c>
    </row>
    <row r="80" spans="3:44">
      <c r="C80" t="s">
        <v>131</v>
      </c>
      <c r="E80">
        <v>2004</v>
      </c>
      <c r="F80">
        <v>2</v>
      </c>
      <c r="G80">
        <v>0</v>
      </c>
      <c r="I80" t="s">
        <v>78</v>
      </c>
      <c r="J80">
        <v>5</v>
      </c>
      <c r="K80">
        <f t="shared" si="47"/>
        <v>2009</v>
      </c>
      <c r="N80">
        <v>2541.98</v>
      </c>
      <c r="O80">
        <v>0</v>
      </c>
      <c r="P80">
        <f t="shared" si="48"/>
        <v>2541.98</v>
      </c>
      <c r="Q80">
        <f t="shared" si="49"/>
        <v>42.366333333333337</v>
      </c>
      <c r="R80">
        <f t="shared" si="50"/>
        <v>0</v>
      </c>
      <c r="S80">
        <f t="shared" si="51"/>
        <v>0</v>
      </c>
      <c r="T80">
        <f t="shared" si="52"/>
        <v>0</v>
      </c>
      <c r="U80">
        <v>1</v>
      </c>
      <c r="V80">
        <f t="shared" si="53"/>
        <v>0</v>
      </c>
      <c r="X80">
        <f t="shared" si="54"/>
        <v>2541.98</v>
      </c>
      <c r="Y80">
        <f t="shared" si="55"/>
        <v>2541.98</v>
      </c>
      <c r="Z80">
        <v>1</v>
      </c>
      <c r="AA80">
        <f t="shared" si="56"/>
        <v>2541.98</v>
      </c>
      <c r="AB80">
        <f t="shared" si="57"/>
        <v>2541.98</v>
      </c>
      <c r="AC80">
        <f t="shared" si="58"/>
        <v>0</v>
      </c>
      <c r="AD80">
        <f t="shared" si="59"/>
        <v>2004.0833333333333</v>
      </c>
      <c r="AE80">
        <f t="shared" si="60"/>
        <v>2023</v>
      </c>
      <c r="AF80">
        <f t="shared" si="61"/>
        <v>2009.0833333333333</v>
      </c>
      <c r="AG80">
        <f t="shared" si="62"/>
        <v>2190.4166666666665</v>
      </c>
      <c r="AH80">
        <f t="shared" si="63"/>
        <v>-8.3333333333333329E-2</v>
      </c>
      <c r="AJ80">
        <f t="shared" si="64"/>
        <v>0</v>
      </c>
      <c r="AL80">
        <f t="shared" si="65"/>
        <v>0</v>
      </c>
      <c r="AN80">
        <f t="shared" si="66"/>
        <v>0</v>
      </c>
      <c r="AP80">
        <f t="shared" si="67"/>
        <v>0</v>
      </c>
      <c r="AR80">
        <f t="shared" si="68"/>
        <v>0</v>
      </c>
    </row>
    <row r="81" spans="1:44">
      <c r="C81" t="s">
        <v>356</v>
      </c>
      <c r="E81">
        <v>2006</v>
      </c>
      <c r="F81">
        <v>11</v>
      </c>
      <c r="G81">
        <v>0</v>
      </c>
      <c r="I81" t="s">
        <v>78</v>
      </c>
      <c r="J81">
        <v>5</v>
      </c>
      <c r="K81">
        <f t="shared" si="47"/>
        <v>2011</v>
      </c>
      <c r="N81">
        <v>1955.81</v>
      </c>
      <c r="O81">
        <v>0</v>
      </c>
      <c r="P81">
        <f t="shared" si="48"/>
        <v>1955.81</v>
      </c>
      <c r="Q81">
        <f t="shared" si="49"/>
        <v>32.596833333333329</v>
      </c>
      <c r="R81">
        <f t="shared" si="50"/>
        <v>0</v>
      </c>
      <c r="S81">
        <f t="shared" si="51"/>
        <v>0</v>
      </c>
      <c r="T81">
        <f t="shared" si="52"/>
        <v>0</v>
      </c>
      <c r="U81">
        <v>1</v>
      </c>
      <c r="V81">
        <f t="shared" si="53"/>
        <v>0</v>
      </c>
      <c r="X81">
        <f t="shared" si="54"/>
        <v>1955.81</v>
      </c>
      <c r="Y81">
        <f t="shared" si="55"/>
        <v>1955.81</v>
      </c>
      <c r="Z81">
        <v>1</v>
      </c>
      <c r="AA81">
        <f t="shared" si="56"/>
        <v>1955.81</v>
      </c>
      <c r="AB81">
        <f t="shared" si="57"/>
        <v>1955.81</v>
      </c>
      <c r="AC81">
        <f t="shared" si="58"/>
        <v>0</v>
      </c>
      <c r="AD81">
        <f t="shared" si="59"/>
        <v>2006.8333333333333</v>
      </c>
      <c r="AE81">
        <f t="shared" si="60"/>
        <v>2023</v>
      </c>
      <c r="AF81">
        <f t="shared" si="61"/>
        <v>2011.8333333333333</v>
      </c>
      <c r="AG81">
        <f t="shared" si="62"/>
        <v>2190.4166666666665</v>
      </c>
      <c r="AH81">
        <f t="shared" si="63"/>
        <v>-8.3333333333333329E-2</v>
      </c>
      <c r="AJ81">
        <f t="shared" si="64"/>
        <v>0</v>
      </c>
      <c r="AL81">
        <f t="shared" si="65"/>
        <v>0</v>
      </c>
      <c r="AN81">
        <f t="shared" si="66"/>
        <v>0</v>
      </c>
      <c r="AP81">
        <f t="shared" si="67"/>
        <v>0</v>
      </c>
      <c r="AR81">
        <f t="shared" si="68"/>
        <v>0</v>
      </c>
    </row>
    <row r="82" spans="1:44">
      <c r="C82" t="s">
        <v>105</v>
      </c>
      <c r="E82">
        <v>2006</v>
      </c>
      <c r="F82">
        <v>6</v>
      </c>
      <c r="G82">
        <v>0</v>
      </c>
      <c r="I82" t="s">
        <v>78</v>
      </c>
      <c r="J82">
        <v>5</v>
      </c>
      <c r="K82">
        <f t="shared" si="47"/>
        <v>2011</v>
      </c>
      <c r="N82">
        <v>3059.68</v>
      </c>
      <c r="O82">
        <v>0</v>
      </c>
      <c r="P82">
        <f t="shared" si="48"/>
        <v>3059.68</v>
      </c>
      <c r="Q82">
        <f t="shared" si="49"/>
        <v>50.99466666666666</v>
      </c>
      <c r="R82">
        <f t="shared" si="50"/>
        <v>0</v>
      </c>
      <c r="S82">
        <f t="shared" si="51"/>
        <v>0</v>
      </c>
      <c r="T82">
        <f t="shared" si="52"/>
        <v>0</v>
      </c>
      <c r="U82">
        <v>1</v>
      </c>
      <c r="V82">
        <f t="shared" si="53"/>
        <v>0</v>
      </c>
      <c r="X82">
        <f t="shared" si="54"/>
        <v>3059.68</v>
      </c>
      <c r="Y82">
        <f t="shared" si="55"/>
        <v>3059.68</v>
      </c>
      <c r="Z82">
        <v>1</v>
      </c>
      <c r="AA82">
        <f t="shared" si="56"/>
        <v>3059.68</v>
      </c>
      <c r="AB82">
        <f t="shared" si="57"/>
        <v>3059.68</v>
      </c>
      <c r="AC82">
        <f t="shared" si="58"/>
        <v>0</v>
      </c>
      <c r="AD82">
        <f t="shared" si="59"/>
        <v>2006.4166666666667</v>
      </c>
      <c r="AE82">
        <f t="shared" si="60"/>
        <v>2023</v>
      </c>
      <c r="AF82">
        <f t="shared" si="61"/>
        <v>2011.4166666666667</v>
      </c>
      <c r="AG82">
        <f t="shared" si="62"/>
        <v>2190.4166666666665</v>
      </c>
      <c r="AH82">
        <f t="shared" si="63"/>
        <v>-8.3333333333333329E-2</v>
      </c>
      <c r="AJ82">
        <f t="shared" si="64"/>
        <v>0</v>
      </c>
      <c r="AL82">
        <f t="shared" si="65"/>
        <v>0</v>
      </c>
      <c r="AN82">
        <f t="shared" si="66"/>
        <v>0</v>
      </c>
      <c r="AP82">
        <f t="shared" si="67"/>
        <v>0</v>
      </c>
      <c r="AR82">
        <f t="shared" si="68"/>
        <v>0</v>
      </c>
    </row>
    <row r="83" spans="1:44">
      <c r="C83" t="s">
        <v>352</v>
      </c>
      <c r="E83">
        <v>2007</v>
      </c>
      <c r="F83">
        <v>10</v>
      </c>
      <c r="G83">
        <v>0</v>
      </c>
      <c r="I83" t="s">
        <v>78</v>
      </c>
      <c r="J83">
        <v>5</v>
      </c>
      <c r="K83">
        <f t="shared" si="47"/>
        <v>2012</v>
      </c>
      <c r="N83">
        <v>1867.45</v>
      </c>
      <c r="O83">
        <v>0</v>
      </c>
      <c r="P83">
        <f t="shared" si="48"/>
        <v>1867.45</v>
      </c>
      <c r="Q83">
        <f t="shared" si="49"/>
        <v>31.124166666666667</v>
      </c>
      <c r="R83">
        <f t="shared" si="50"/>
        <v>0</v>
      </c>
      <c r="S83">
        <f t="shared" si="51"/>
        <v>0</v>
      </c>
      <c r="T83">
        <f t="shared" si="52"/>
        <v>0</v>
      </c>
      <c r="U83">
        <v>1</v>
      </c>
      <c r="V83">
        <f t="shared" si="53"/>
        <v>0</v>
      </c>
      <c r="X83">
        <f t="shared" si="54"/>
        <v>1867.45</v>
      </c>
      <c r="Y83">
        <f t="shared" si="55"/>
        <v>1867.45</v>
      </c>
      <c r="Z83">
        <v>1</v>
      </c>
      <c r="AA83">
        <f t="shared" si="56"/>
        <v>1867.45</v>
      </c>
      <c r="AB83">
        <f t="shared" si="57"/>
        <v>1867.45</v>
      </c>
      <c r="AC83">
        <f t="shared" si="58"/>
        <v>0</v>
      </c>
      <c r="AD83">
        <f t="shared" si="59"/>
        <v>2007.75</v>
      </c>
      <c r="AE83">
        <f t="shared" si="60"/>
        <v>2023</v>
      </c>
      <c r="AF83">
        <f t="shared" si="61"/>
        <v>2012.75</v>
      </c>
      <c r="AG83">
        <f t="shared" si="62"/>
        <v>2190.4166666666665</v>
      </c>
      <c r="AH83">
        <f t="shared" si="63"/>
        <v>-8.3333333333333329E-2</v>
      </c>
      <c r="AJ83">
        <f t="shared" si="64"/>
        <v>0</v>
      </c>
      <c r="AL83">
        <f t="shared" si="65"/>
        <v>0</v>
      </c>
      <c r="AN83">
        <f t="shared" si="66"/>
        <v>0</v>
      </c>
      <c r="AP83">
        <f t="shared" si="67"/>
        <v>0</v>
      </c>
      <c r="AR83">
        <f t="shared" si="68"/>
        <v>0</v>
      </c>
    </row>
    <row r="84" spans="1:44">
      <c r="C84" t="s">
        <v>353</v>
      </c>
      <c r="E84">
        <v>2007</v>
      </c>
      <c r="F84">
        <v>9</v>
      </c>
      <c r="G84">
        <v>0</v>
      </c>
      <c r="I84" t="s">
        <v>78</v>
      </c>
      <c r="J84">
        <v>5</v>
      </c>
      <c r="K84">
        <f t="shared" si="47"/>
        <v>2012</v>
      </c>
      <c r="N84">
        <v>1447.14</v>
      </c>
      <c r="O84">
        <v>0</v>
      </c>
      <c r="P84">
        <f t="shared" si="48"/>
        <v>1447.14</v>
      </c>
      <c r="Q84">
        <f t="shared" si="49"/>
        <v>24.119</v>
      </c>
      <c r="R84">
        <f t="shared" si="50"/>
        <v>0</v>
      </c>
      <c r="S84">
        <f t="shared" si="51"/>
        <v>0</v>
      </c>
      <c r="T84">
        <f t="shared" si="52"/>
        <v>0</v>
      </c>
      <c r="U84">
        <v>1</v>
      </c>
      <c r="V84">
        <f t="shared" si="53"/>
        <v>0</v>
      </c>
      <c r="X84">
        <f t="shared" si="54"/>
        <v>1447.14</v>
      </c>
      <c r="Y84">
        <f t="shared" si="55"/>
        <v>1447.14</v>
      </c>
      <c r="Z84">
        <v>1</v>
      </c>
      <c r="AA84">
        <f t="shared" si="56"/>
        <v>1447.14</v>
      </c>
      <c r="AB84">
        <f t="shared" si="57"/>
        <v>1447.14</v>
      </c>
      <c r="AC84">
        <f t="shared" si="58"/>
        <v>0</v>
      </c>
      <c r="AD84">
        <f t="shared" si="59"/>
        <v>2007.6666666666667</v>
      </c>
      <c r="AE84">
        <f t="shared" si="60"/>
        <v>2023</v>
      </c>
      <c r="AF84">
        <f t="shared" si="61"/>
        <v>2012.6666666666667</v>
      </c>
      <c r="AG84">
        <f t="shared" si="62"/>
        <v>2190.4166666666665</v>
      </c>
      <c r="AH84">
        <f t="shared" si="63"/>
        <v>-8.3333333333333329E-2</v>
      </c>
      <c r="AJ84">
        <f t="shared" si="64"/>
        <v>0</v>
      </c>
      <c r="AL84">
        <f t="shared" si="65"/>
        <v>0</v>
      </c>
      <c r="AN84">
        <f t="shared" si="66"/>
        <v>0</v>
      </c>
      <c r="AP84">
        <f t="shared" si="67"/>
        <v>0</v>
      </c>
      <c r="AR84">
        <f t="shared" si="68"/>
        <v>0</v>
      </c>
    </row>
    <row r="85" spans="1:44">
      <c r="C85" t="s">
        <v>354</v>
      </c>
      <c r="E85">
        <v>2007</v>
      </c>
      <c r="F85">
        <v>8</v>
      </c>
      <c r="G85">
        <v>0</v>
      </c>
      <c r="I85" t="s">
        <v>78</v>
      </c>
      <c r="J85">
        <v>5</v>
      </c>
      <c r="K85">
        <f t="shared" si="47"/>
        <v>2012</v>
      </c>
      <c r="N85">
        <v>1863.93</v>
      </c>
      <c r="O85">
        <v>0</v>
      </c>
      <c r="P85">
        <f t="shared" si="48"/>
        <v>1863.93</v>
      </c>
      <c r="Q85">
        <f t="shared" si="49"/>
        <v>31.0655</v>
      </c>
      <c r="R85">
        <f t="shared" si="50"/>
        <v>0</v>
      </c>
      <c r="S85">
        <f t="shared" si="51"/>
        <v>0</v>
      </c>
      <c r="T85">
        <f t="shared" si="52"/>
        <v>0</v>
      </c>
      <c r="U85">
        <v>1</v>
      </c>
      <c r="V85">
        <f t="shared" si="53"/>
        <v>0</v>
      </c>
      <c r="X85">
        <f t="shared" si="54"/>
        <v>1863.93</v>
      </c>
      <c r="Y85">
        <f t="shared" si="55"/>
        <v>1863.93</v>
      </c>
      <c r="Z85">
        <v>1</v>
      </c>
      <c r="AA85">
        <f t="shared" si="56"/>
        <v>1863.93</v>
      </c>
      <c r="AB85">
        <f t="shared" si="57"/>
        <v>1863.93</v>
      </c>
      <c r="AC85">
        <f t="shared" si="58"/>
        <v>0</v>
      </c>
      <c r="AD85">
        <f t="shared" si="59"/>
        <v>2007.5833333333333</v>
      </c>
      <c r="AE85">
        <f t="shared" si="60"/>
        <v>2023</v>
      </c>
      <c r="AF85">
        <f t="shared" si="61"/>
        <v>2012.5833333333333</v>
      </c>
      <c r="AG85">
        <f t="shared" si="62"/>
        <v>2190.4166666666665</v>
      </c>
      <c r="AH85">
        <f t="shared" si="63"/>
        <v>-8.3333333333333329E-2</v>
      </c>
      <c r="AJ85">
        <f t="shared" si="64"/>
        <v>0</v>
      </c>
      <c r="AL85">
        <f t="shared" si="65"/>
        <v>0</v>
      </c>
      <c r="AN85">
        <f t="shared" si="66"/>
        <v>0</v>
      </c>
      <c r="AP85">
        <f t="shared" si="67"/>
        <v>0</v>
      </c>
      <c r="AR85">
        <f t="shared" si="68"/>
        <v>0</v>
      </c>
    </row>
    <row r="86" spans="1:44">
      <c r="C86" t="s">
        <v>355</v>
      </c>
      <c r="E86">
        <v>2007</v>
      </c>
      <c r="F86">
        <v>5</v>
      </c>
      <c r="G86">
        <v>0</v>
      </c>
      <c r="I86" t="s">
        <v>78</v>
      </c>
      <c r="J86">
        <v>5</v>
      </c>
      <c r="K86">
        <f t="shared" si="47"/>
        <v>2012</v>
      </c>
      <c r="N86">
        <v>1702.15</v>
      </c>
      <c r="O86">
        <v>0</v>
      </c>
      <c r="P86">
        <f t="shared" si="48"/>
        <v>1702.15</v>
      </c>
      <c r="Q86">
        <f t="shared" si="49"/>
        <v>28.369166666666668</v>
      </c>
      <c r="R86">
        <f t="shared" si="50"/>
        <v>0</v>
      </c>
      <c r="S86">
        <f t="shared" si="51"/>
        <v>0</v>
      </c>
      <c r="T86">
        <f t="shared" si="52"/>
        <v>0</v>
      </c>
      <c r="U86">
        <v>1</v>
      </c>
      <c r="V86">
        <f t="shared" si="53"/>
        <v>0</v>
      </c>
      <c r="X86">
        <f t="shared" si="54"/>
        <v>1702.15</v>
      </c>
      <c r="Y86">
        <f t="shared" si="55"/>
        <v>1702.15</v>
      </c>
      <c r="Z86">
        <v>1</v>
      </c>
      <c r="AA86">
        <f t="shared" si="56"/>
        <v>1702.15</v>
      </c>
      <c r="AB86">
        <f t="shared" si="57"/>
        <v>1702.15</v>
      </c>
      <c r="AC86">
        <f t="shared" si="58"/>
        <v>0</v>
      </c>
      <c r="AD86">
        <f t="shared" si="59"/>
        <v>2007.3333333333333</v>
      </c>
      <c r="AE86">
        <f t="shared" si="60"/>
        <v>2023</v>
      </c>
      <c r="AF86">
        <f t="shared" si="61"/>
        <v>2012.3333333333333</v>
      </c>
      <c r="AG86">
        <f t="shared" si="62"/>
        <v>2190.4166666666665</v>
      </c>
      <c r="AH86">
        <f t="shared" si="63"/>
        <v>-8.3333333333333329E-2</v>
      </c>
      <c r="AJ86">
        <f t="shared" si="64"/>
        <v>0</v>
      </c>
      <c r="AL86">
        <f t="shared" si="65"/>
        <v>0</v>
      </c>
      <c r="AN86">
        <f t="shared" si="66"/>
        <v>0</v>
      </c>
      <c r="AP86">
        <f t="shared" si="67"/>
        <v>0</v>
      </c>
      <c r="AR86">
        <f t="shared" si="68"/>
        <v>0</v>
      </c>
    </row>
    <row r="87" spans="1:44">
      <c r="C87" t="s">
        <v>104</v>
      </c>
      <c r="E87">
        <v>2007</v>
      </c>
      <c r="F87">
        <v>5</v>
      </c>
      <c r="G87">
        <v>0</v>
      </c>
      <c r="I87" t="s">
        <v>78</v>
      </c>
      <c r="J87">
        <v>5</v>
      </c>
      <c r="K87">
        <f t="shared" si="47"/>
        <v>2012</v>
      </c>
      <c r="N87">
        <v>9925.1</v>
      </c>
      <c r="O87">
        <v>0</v>
      </c>
      <c r="P87">
        <f t="shared" si="48"/>
        <v>9925.1</v>
      </c>
      <c r="Q87">
        <f t="shared" si="49"/>
        <v>165.41833333333332</v>
      </c>
      <c r="R87">
        <f t="shared" si="50"/>
        <v>0</v>
      </c>
      <c r="S87">
        <f t="shared" si="51"/>
        <v>0</v>
      </c>
      <c r="T87">
        <f t="shared" si="52"/>
        <v>0</v>
      </c>
      <c r="U87">
        <v>1</v>
      </c>
      <c r="V87">
        <f t="shared" si="53"/>
        <v>0</v>
      </c>
      <c r="X87">
        <f t="shared" si="54"/>
        <v>9925.1</v>
      </c>
      <c r="Y87">
        <f t="shared" si="55"/>
        <v>9925.1</v>
      </c>
      <c r="Z87">
        <v>1</v>
      </c>
      <c r="AA87">
        <f t="shared" si="56"/>
        <v>9925.1</v>
      </c>
      <c r="AB87">
        <f t="shared" si="57"/>
        <v>9925.1</v>
      </c>
      <c r="AC87">
        <f t="shared" si="58"/>
        <v>0</v>
      </c>
      <c r="AD87">
        <f t="shared" si="59"/>
        <v>2007.3333333333333</v>
      </c>
      <c r="AE87">
        <f t="shared" si="60"/>
        <v>2023</v>
      </c>
      <c r="AF87">
        <f t="shared" si="61"/>
        <v>2012.3333333333333</v>
      </c>
      <c r="AG87">
        <f t="shared" si="62"/>
        <v>2190.4166666666665</v>
      </c>
      <c r="AH87">
        <f t="shared" si="63"/>
        <v>-8.3333333333333329E-2</v>
      </c>
      <c r="AJ87">
        <f t="shared" si="64"/>
        <v>0</v>
      </c>
      <c r="AL87">
        <f t="shared" si="65"/>
        <v>0</v>
      </c>
      <c r="AN87">
        <f t="shared" si="66"/>
        <v>0</v>
      </c>
      <c r="AP87">
        <f t="shared" si="67"/>
        <v>0</v>
      </c>
      <c r="AR87">
        <f t="shared" si="68"/>
        <v>0</v>
      </c>
    </row>
    <row r="88" spans="1:44">
      <c r="C88" t="s">
        <v>132</v>
      </c>
      <c r="E88">
        <v>2007</v>
      </c>
      <c r="F88">
        <v>4</v>
      </c>
      <c r="G88">
        <v>0</v>
      </c>
      <c r="I88" t="s">
        <v>78</v>
      </c>
      <c r="J88">
        <v>5</v>
      </c>
      <c r="K88">
        <f t="shared" si="47"/>
        <v>2012</v>
      </c>
      <c r="N88">
        <v>2346.86</v>
      </c>
      <c r="O88">
        <v>0</v>
      </c>
      <c r="P88">
        <f t="shared" si="48"/>
        <v>2346.86</v>
      </c>
      <c r="Q88">
        <f t="shared" si="49"/>
        <v>39.114333333333335</v>
      </c>
      <c r="R88">
        <f t="shared" si="50"/>
        <v>0</v>
      </c>
      <c r="S88">
        <f t="shared" si="51"/>
        <v>0</v>
      </c>
      <c r="T88">
        <f t="shared" si="52"/>
        <v>0</v>
      </c>
      <c r="U88">
        <v>1</v>
      </c>
      <c r="V88">
        <f t="shared" si="53"/>
        <v>0</v>
      </c>
      <c r="X88">
        <f t="shared" si="54"/>
        <v>2346.86</v>
      </c>
      <c r="Y88">
        <f t="shared" si="55"/>
        <v>2346.86</v>
      </c>
      <c r="Z88">
        <v>1</v>
      </c>
      <c r="AA88">
        <f t="shared" si="56"/>
        <v>2346.86</v>
      </c>
      <c r="AB88">
        <f t="shared" si="57"/>
        <v>2346.86</v>
      </c>
      <c r="AC88">
        <f t="shared" si="58"/>
        <v>0</v>
      </c>
      <c r="AD88">
        <f t="shared" si="59"/>
        <v>2007.25</v>
      </c>
      <c r="AE88">
        <f t="shared" si="60"/>
        <v>2023</v>
      </c>
      <c r="AF88">
        <f t="shared" si="61"/>
        <v>2012.25</v>
      </c>
      <c r="AG88">
        <f t="shared" si="62"/>
        <v>2190.4166666666665</v>
      </c>
      <c r="AH88">
        <f t="shared" si="63"/>
        <v>-8.3333333333333329E-2</v>
      </c>
      <c r="AJ88">
        <f t="shared" si="64"/>
        <v>0</v>
      </c>
      <c r="AL88">
        <f t="shared" si="65"/>
        <v>0</v>
      </c>
      <c r="AN88">
        <f t="shared" si="66"/>
        <v>0</v>
      </c>
      <c r="AP88">
        <f t="shared" si="67"/>
        <v>0</v>
      </c>
      <c r="AR88">
        <f t="shared" si="68"/>
        <v>0</v>
      </c>
    </row>
    <row r="89" spans="1:44">
      <c r="C89" t="s">
        <v>107</v>
      </c>
      <c r="E89">
        <v>2007</v>
      </c>
      <c r="F89">
        <v>4</v>
      </c>
      <c r="G89">
        <v>0</v>
      </c>
      <c r="I89" t="s">
        <v>78</v>
      </c>
      <c r="J89">
        <v>5</v>
      </c>
      <c r="K89">
        <f t="shared" si="47"/>
        <v>2012</v>
      </c>
      <c r="N89">
        <v>1699.29</v>
      </c>
      <c r="O89">
        <v>0</v>
      </c>
      <c r="P89">
        <f t="shared" si="48"/>
        <v>1699.29</v>
      </c>
      <c r="Q89">
        <f t="shared" si="49"/>
        <v>28.3215</v>
      </c>
      <c r="R89">
        <f t="shared" si="50"/>
        <v>0</v>
      </c>
      <c r="S89">
        <f t="shared" si="51"/>
        <v>0</v>
      </c>
      <c r="T89">
        <f t="shared" si="52"/>
        <v>0</v>
      </c>
      <c r="U89">
        <v>1</v>
      </c>
      <c r="V89">
        <f t="shared" si="53"/>
        <v>0</v>
      </c>
      <c r="X89">
        <f t="shared" si="54"/>
        <v>1699.29</v>
      </c>
      <c r="Y89">
        <f t="shared" si="55"/>
        <v>1699.29</v>
      </c>
      <c r="Z89">
        <v>1</v>
      </c>
      <c r="AA89">
        <f t="shared" si="56"/>
        <v>1699.29</v>
      </c>
      <c r="AB89">
        <f t="shared" si="57"/>
        <v>1699.29</v>
      </c>
      <c r="AC89">
        <f t="shared" si="58"/>
        <v>0</v>
      </c>
      <c r="AD89">
        <f t="shared" si="59"/>
        <v>2007.25</v>
      </c>
      <c r="AE89">
        <f t="shared" si="60"/>
        <v>2023</v>
      </c>
      <c r="AF89">
        <f t="shared" si="61"/>
        <v>2012.25</v>
      </c>
      <c r="AG89">
        <f t="shared" si="62"/>
        <v>2190.4166666666665</v>
      </c>
      <c r="AH89">
        <f t="shared" si="63"/>
        <v>-8.3333333333333329E-2</v>
      </c>
      <c r="AJ89">
        <f t="shared" si="64"/>
        <v>0</v>
      </c>
      <c r="AL89">
        <f t="shared" si="65"/>
        <v>0</v>
      </c>
      <c r="AN89">
        <f t="shared" si="66"/>
        <v>0</v>
      </c>
      <c r="AP89">
        <f t="shared" si="67"/>
        <v>0</v>
      </c>
      <c r="AR89">
        <f t="shared" si="68"/>
        <v>0</v>
      </c>
    </row>
    <row r="90" spans="1:44">
      <c r="C90" t="s">
        <v>108</v>
      </c>
      <c r="E90">
        <v>2007</v>
      </c>
      <c r="F90">
        <v>3</v>
      </c>
      <c r="G90">
        <v>0</v>
      </c>
      <c r="I90" t="s">
        <v>78</v>
      </c>
      <c r="J90">
        <v>5</v>
      </c>
      <c r="K90">
        <f t="shared" si="47"/>
        <v>2012</v>
      </c>
      <c r="N90">
        <v>1078</v>
      </c>
      <c r="O90">
        <v>0</v>
      </c>
      <c r="P90">
        <f t="shared" si="48"/>
        <v>1078</v>
      </c>
      <c r="Q90">
        <f t="shared" si="49"/>
        <v>17.966666666666665</v>
      </c>
      <c r="R90">
        <f t="shared" si="50"/>
        <v>0</v>
      </c>
      <c r="S90">
        <f t="shared" si="51"/>
        <v>0</v>
      </c>
      <c r="T90">
        <f t="shared" si="52"/>
        <v>0</v>
      </c>
      <c r="U90">
        <v>1</v>
      </c>
      <c r="V90">
        <f t="shared" si="53"/>
        <v>0</v>
      </c>
      <c r="X90">
        <f t="shared" si="54"/>
        <v>1078</v>
      </c>
      <c r="Y90">
        <f t="shared" si="55"/>
        <v>1078</v>
      </c>
      <c r="Z90">
        <v>1</v>
      </c>
      <c r="AA90">
        <f t="shared" si="56"/>
        <v>1078</v>
      </c>
      <c r="AB90">
        <f t="shared" si="57"/>
        <v>1078</v>
      </c>
      <c r="AC90">
        <f t="shared" si="58"/>
        <v>0</v>
      </c>
      <c r="AD90">
        <f t="shared" si="59"/>
        <v>2007.1666666666667</v>
      </c>
      <c r="AE90">
        <f t="shared" si="60"/>
        <v>2023</v>
      </c>
      <c r="AF90">
        <f t="shared" si="61"/>
        <v>2012.1666666666667</v>
      </c>
      <c r="AG90">
        <f t="shared" si="62"/>
        <v>2190.4166666666665</v>
      </c>
      <c r="AH90">
        <f t="shared" si="63"/>
        <v>-8.3333333333333329E-2</v>
      </c>
      <c r="AJ90">
        <f t="shared" si="64"/>
        <v>0</v>
      </c>
      <c r="AL90">
        <f t="shared" si="65"/>
        <v>0</v>
      </c>
      <c r="AN90">
        <f t="shared" si="66"/>
        <v>0</v>
      </c>
      <c r="AP90">
        <f t="shared" si="67"/>
        <v>0</v>
      </c>
      <c r="AR90">
        <f t="shared" si="68"/>
        <v>0</v>
      </c>
    </row>
    <row r="91" spans="1:44">
      <c r="A91" t="s">
        <v>288</v>
      </c>
      <c r="B91">
        <v>6042</v>
      </c>
      <c r="C91" t="s">
        <v>449</v>
      </c>
      <c r="D91">
        <v>61091</v>
      </c>
      <c r="E91">
        <v>2008</v>
      </c>
      <c r="F91">
        <v>3</v>
      </c>
      <c r="G91">
        <v>0.33</v>
      </c>
      <c r="I91" t="s">
        <v>78</v>
      </c>
      <c r="J91">
        <v>5</v>
      </c>
      <c r="K91">
        <f>E91+J91</f>
        <v>2013</v>
      </c>
      <c r="N91">
        <v>15294.09</v>
      </c>
      <c r="O91">
        <v>0</v>
      </c>
      <c r="P91">
        <f>N91-N91*G91</f>
        <v>10247.040300000001</v>
      </c>
      <c r="Q91">
        <f>P91/J91/12</f>
        <v>170.78400500000001</v>
      </c>
      <c r="R91">
        <f>IF(O91&gt;0,0,IF(OR(AD91&gt;AE91,AF91&lt;AG91),0,IF(AND(AF91&gt;=AG91,AF91&lt;=AE91),Q91*((AF91-AG91)*12),IF(AND(AG91&lt;=AD91,AE91&gt;=AD91),((AE91-AD91)*12)*Q91,IF(AF91&gt;AE91,12*Q91,0)))))</f>
        <v>0</v>
      </c>
      <c r="S91">
        <f>IF(O91=0,0,IF(AND(AH91&gt;=AG91,AH91&lt;=AF91),((AH91-AG91)*12)*Q91,0))</f>
        <v>0</v>
      </c>
      <c r="T91">
        <f>IF(S91&gt;0,S91,R91)</f>
        <v>0</v>
      </c>
      <c r="U91">
        <v>1</v>
      </c>
      <c r="V91">
        <f>U91*SUM(R91:S91)</f>
        <v>0</v>
      </c>
      <c r="X91">
        <f>IF(AD91&gt;AE91,0,IF(AF91&lt;AG91,P91,IF(AND(AF91&gt;=AG91,AF91&lt;=AE91),(P91-T91),IF(AND(AG91&lt;=AD91,AE91&gt;=AD91),0,IF(AF91&gt;AE91,((AG91-AD91)*12)*Q91,0)))))</f>
        <v>10247.040300000001</v>
      </c>
      <c r="Y91">
        <f>X91*U91</f>
        <v>10247.040300000001</v>
      </c>
      <c r="Z91">
        <v>1</v>
      </c>
      <c r="AA91">
        <f>Y91*Z91</f>
        <v>10247.040300000001</v>
      </c>
      <c r="AB91">
        <f>IF(O91&gt;0,0,AA91+V91*Z91)*Z91</f>
        <v>10247.040300000001</v>
      </c>
      <c r="AC91">
        <f>IF(O91&gt;0,(N91-AA91)/2,IF(AD91&gt;=AG91,(((N91*U91)*Z91)-AB91)/2,((((N91*U91)*Z91)-AA91)+(((N91*U91)*Z91)-AB91))/2))</f>
        <v>5047.0496999999996</v>
      </c>
      <c r="AD91">
        <f>$E91+(($F91-1)/12)</f>
        <v>2008.1666666666667</v>
      </c>
      <c r="AE91">
        <f>('Trucks 2183'!$M$5+1)-('Trucks 2183'!$M$2/12)</f>
        <v>2023</v>
      </c>
      <c r="AF91">
        <f>$K91+(($F91-1)/12)</f>
        <v>2013.1666666666667</v>
      </c>
      <c r="AG91">
        <f>'Trucks 2183'!$M$4+('Trucks 2183'!$M$3/12)</f>
        <v>2190.4166666666665</v>
      </c>
      <c r="AH91">
        <f>$L91+(($M91-1)/12)</f>
        <v>-8.3333333333333329E-2</v>
      </c>
      <c r="AJ91">
        <f t="shared" si="64"/>
        <v>1682.3498999999999</v>
      </c>
      <c r="AL91">
        <f t="shared" si="65"/>
        <v>1682.3498999999999</v>
      </c>
      <c r="AN91">
        <f t="shared" si="66"/>
        <v>-5047.0496999999996</v>
      </c>
      <c r="AP91">
        <f t="shared" si="67"/>
        <v>0</v>
      </c>
      <c r="AR91">
        <f t="shared" si="68"/>
        <v>0</v>
      </c>
    </row>
    <row r="92" spans="1:44">
      <c r="B92">
        <v>6020</v>
      </c>
      <c r="C92" t="s">
        <v>433</v>
      </c>
      <c r="D92">
        <v>81814</v>
      </c>
      <c r="E92">
        <v>2008</v>
      </c>
      <c r="F92">
        <v>11</v>
      </c>
      <c r="G92">
        <v>0.33</v>
      </c>
      <c r="I92" t="s">
        <v>78</v>
      </c>
      <c r="J92">
        <v>5</v>
      </c>
      <c r="K92">
        <f>E92+J92</f>
        <v>2013</v>
      </c>
      <c r="N92">
        <v>2500</v>
      </c>
      <c r="P92">
        <f>N92-N92*G92</f>
        <v>1675</v>
      </c>
      <c r="Q92">
        <f>P92/J92/12</f>
        <v>27.916666666666668</v>
      </c>
      <c r="R92">
        <f>IF(O92&gt;0,0,IF(OR(AD92&gt;AE92,AF92&lt;AG92),0,IF(AND(AF92&gt;=AG92,AF92&lt;=AE92),Q92*((AF92-AG92)*12),IF(AND(AG92&lt;=AD92,AE92&gt;=AD92),((AE92-AD92)*12)*Q92,IF(AF92&gt;AE92,12*Q92,0)))))</f>
        <v>0</v>
      </c>
      <c r="S92">
        <f>IF(O92=0,0,IF(AND(AH92&gt;=AG92,AH92&lt;=AF92),((AH92-AG92)*12)*Q92,0))</f>
        <v>0</v>
      </c>
      <c r="T92">
        <f>IF(S92&gt;0,S92,R92)</f>
        <v>0</v>
      </c>
      <c r="U92">
        <v>1</v>
      </c>
      <c r="V92">
        <f>U92*SUM(R92:S92)</f>
        <v>0</v>
      </c>
      <c r="X92">
        <f>IF(AD92&gt;AE92,0,IF(AF92&lt;AG92,P92,IF(AND(AF92&gt;=AG92,AF92&lt;=AE92),(P92-T92),IF(AND(AG92&lt;=AD92,AE92&gt;=AD92),0,IF(AF92&gt;AE92,((AG92-AD92)*12)*Q92,0)))))</f>
        <v>1675</v>
      </c>
      <c r="Y92">
        <f>X92*U92</f>
        <v>1675</v>
      </c>
      <c r="Z92">
        <v>1</v>
      </c>
      <c r="AA92">
        <f>Y92*Z92</f>
        <v>1675</v>
      </c>
      <c r="AB92">
        <f>IF(O92&gt;0,0,AA92+V92*Z92)*Z92</f>
        <v>1675</v>
      </c>
      <c r="AC92">
        <f>IF(O92&gt;0,(N92-AA92)/2,IF(AD92&gt;=AG92,(((N92*U92)*Z92)-AB92)/2,((((N92*U92)*Z92)-AA92)+(((N92*U92)*Z92)-AB92))/2))</f>
        <v>825</v>
      </c>
      <c r="AD92">
        <f>$E92+(($F92-1)/12)</f>
        <v>2008.8333333333333</v>
      </c>
      <c r="AE92">
        <f t="shared" si="60"/>
        <v>2023</v>
      </c>
      <c r="AF92">
        <f>$K92+(($F92-1)/12)</f>
        <v>2013.8333333333333</v>
      </c>
      <c r="AG92">
        <f t="shared" si="62"/>
        <v>2190.4166666666665</v>
      </c>
      <c r="AH92">
        <f>$L92+(($M92-1)/12)</f>
        <v>-8.3333333333333329E-2</v>
      </c>
      <c r="AJ92">
        <f t="shared" si="64"/>
        <v>275</v>
      </c>
      <c r="AL92">
        <f t="shared" si="65"/>
        <v>275</v>
      </c>
      <c r="AN92">
        <f t="shared" si="66"/>
        <v>-825</v>
      </c>
      <c r="AP92">
        <f t="shared" si="67"/>
        <v>0</v>
      </c>
      <c r="AR92">
        <f t="shared" si="68"/>
        <v>0</v>
      </c>
    </row>
    <row r="93" spans="1:44">
      <c r="C93" t="s">
        <v>361</v>
      </c>
      <c r="E93">
        <v>2009</v>
      </c>
      <c r="F93">
        <v>7</v>
      </c>
      <c r="G93">
        <v>0</v>
      </c>
      <c r="I93" t="s">
        <v>78</v>
      </c>
      <c r="J93">
        <v>5</v>
      </c>
      <c r="K93">
        <f t="shared" si="47"/>
        <v>2014</v>
      </c>
      <c r="N93">
        <v>2347.9299999999998</v>
      </c>
      <c r="O93">
        <v>0</v>
      </c>
      <c r="P93">
        <f t="shared" si="48"/>
        <v>2347.9299999999998</v>
      </c>
      <c r="Q93">
        <f t="shared" si="49"/>
        <v>39.132166666666663</v>
      </c>
      <c r="R93">
        <f t="shared" si="50"/>
        <v>0</v>
      </c>
      <c r="S93">
        <f t="shared" si="51"/>
        <v>0</v>
      </c>
      <c r="T93">
        <f t="shared" si="52"/>
        <v>0</v>
      </c>
      <c r="U93">
        <v>1</v>
      </c>
      <c r="V93">
        <f t="shared" si="53"/>
        <v>0</v>
      </c>
      <c r="X93">
        <f t="shared" si="54"/>
        <v>2347.9299999999998</v>
      </c>
      <c r="Y93">
        <f t="shared" si="55"/>
        <v>2347.9299999999998</v>
      </c>
      <c r="Z93">
        <v>1</v>
      </c>
      <c r="AA93">
        <f t="shared" si="56"/>
        <v>2347.9299999999998</v>
      </c>
      <c r="AB93">
        <f t="shared" si="57"/>
        <v>2347.9299999999998</v>
      </c>
      <c r="AC93">
        <f t="shared" si="58"/>
        <v>0</v>
      </c>
      <c r="AD93">
        <f t="shared" si="59"/>
        <v>2009.5</v>
      </c>
      <c r="AE93">
        <f t="shared" si="60"/>
        <v>2023</v>
      </c>
      <c r="AF93">
        <f t="shared" si="61"/>
        <v>2014.5</v>
      </c>
      <c r="AG93">
        <f t="shared" si="62"/>
        <v>2190.4166666666665</v>
      </c>
      <c r="AH93">
        <f t="shared" si="63"/>
        <v>-8.3333333333333329E-2</v>
      </c>
      <c r="AJ93">
        <f t="shared" si="64"/>
        <v>0</v>
      </c>
      <c r="AL93">
        <f t="shared" si="65"/>
        <v>0</v>
      </c>
      <c r="AN93">
        <f t="shared" si="66"/>
        <v>0</v>
      </c>
      <c r="AP93">
        <f t="shared" si="67"/>
        <v>0</v>
      </c>
      <c r="AR93">
        <f t="shared" si="68"/>
        <v>0</v>
      </c>
    </row>
    <row r="94" spans="1:44">
      <c r="C94" t="s">
        <v>362</v>
      </c>
      <c r="E94">
        <v>2009</v>
      </c>
      <c r="F94">
        <v>6</v>
      </c>
      <c r="G94">
        <v>0</v>
      </c>
      <c r="I94" t="s">
        <v>78</v>
      </c>
      <c r="J94">
        <v>5</v>
      </c>
      <c r="K94">
        <f t="shared" si="47"/>
        <v>2014</v>
      </c>
      <c r="N94">
        <v>4147.3100000000004</v>
      </c>
      <c r="O94">
        <v>0</v>
      </c>
      <c r="P94">
        <f t="shared" si="48"/>
        <v>4147.3100000000004</v>
      </c>
      <c r="Q94">
        <f t="shared" si="49"/>
        <v>69.121833333333342</v>
      </c>
      <c r="R94">
        <f t="shared" si="50"/>
        <v>0</v>
      </c>
      <c r="S94">
        <f t="shared" si="51"/>
        <v>0</v>
      </c>
      <c r="T94">
        <f t="shared" si="52"/>
        <v>0</v>
      </c>
      <c r="U94">
        <v>1</v>
      </c>
      <c r="V94">
        <f t="shared" si="53"/>
        <v>0</v>
      </c>
      <c r="X94">
        <f t="shared" si="54"/>
        <v>4147.3100000000004</v>
      </c>
      <c r="Y94">
        <f t="shared" si="55"/>
        <v>4147.3100000000004</v>
      </c>
      <c r="Z94">
        <v>1</v>
      </c>
      <c r="AA94">
        <f t="shared" si="56"/>
        <v>4147.3100000000004</v>
      </c>
      <c r="AB94">
        <f t="shared" si="57"/>
        <v>4147.3100000000004</v>
      </c>
      <c r="AC94">
        <f t="shared" si="58"/>
        <v>0</v>
      </c>
      <c r="AD94">
        <f t="shared" si="59"/>
        <v>2009.4166666666667</v>
      </c>
      <c r="AE94">
        <f t="shared" si="60"/>
        <v>2023</v>
      </c>
      <c r="AF94">
        <f t="shared" si="61"/>
        <v>2014.4166666666667</v>
      </c>
      <c r="AG94">
        <f t="shared" si="62"/>
        <v>2190.4166666666665</v>
      </c>
      <c r="AH94">
        <f t="shared" si="63"/>
        <v>-8.3333333333333329E-2</v>
      </c>
      <c r="AJ94">
        <f t="shared" si="64"/>
        <v>0</v>
      </c>
      <c r="AL94">
        <f t="shared" si="65"/>
        <v>0</v>
      </c>
      <c r="AN94">
        <f t="shared" si="66"/>
        <v>0</v>
      </c>
      <c r="AP94">
        <f t="shared" si="67"/>
        <v>0</v>
      </c>
      <c r="AR94">
        <f t="shared" si="68"/>
        <v>0</v>
      </c>
    </row>
    <row r="95" spans="1:44">
      <c r="C95" t="s">
        <v>363</v>
      </c>
      <c r="E95">
        <v>2009</v>
      </c>
      <c r="F95">
        <v>1</v>
      </c>
      <c r="G95">
        <v>0</v>
      </c>
      <c r="I95" t="s">
        <v>78</v>
      </c>
      <c r="J95">
        <v>4.916666666666667</v>
      </c>
      <c r="K95">
        <f t="shared" si="47"/>
        <v>2013.9166666666667</v>
      </c>
      <c r="N95">
        <v>2847</v>
      </c>
      <c r="O95">
        <v>0</v>
      </c>
      <c r="P95">
        <f t="shared" si="48"/>
        <v>2847</v>
      </c>
      <c r="Q95">
        <f t="shared" si="49"/>
        <v>48.254237288135592</v>
      </c>
      <c r="R95">
        <f t="shared" si="50"/>
        <v>0</v>
      </c>
      <c r="S95">
        <f t="shared" si="51"/>
        <v>0</v>
      </c>
      <c r="T95">
        <f t="shared" si="52"/>
        <v>0</v>
      </c>
      <c r="U95">
        <v>1</v>
      </c>
      <c r="V95">
        <f t="shared" si="53"/>
        <v>0</v>
      </c>
      <c r="X95">
        <f t="shared" si="54"/>
        <v>2847</v>
      </c>
      <c r="Y95">
        <f t="shared" si="55"/>
        <v>2847</v>
      </c>
      <c r="Z95">
        <v>1</v>
      </c>
      <c r="AA95">
        <f t="shared" si="56"/>
        <v>2847</v>
      </c>
      <c r="AB95">
        <f t="shared" si="57"/>
        <v>2847</v>
      </c>
      <c r="AC95">
        <f t="shared" si="58"/>
        <v>0</v>
      </c>
      <c r="AD95">
        <f t="shared" si="59"/>
        <v>2009</v>
      </c>
      <c r="AE95">
        <f t="shared" si="60"/>
        <v>2023</v>
      </c>
      <c r="AF95">
        <f t="shared" si="61"/>
        <v>2013.9166666666667</v>
      </c>
      <c r="AG95">
        <f t="shared" si="62"/>
        <v>2190.4166666666665</v>
      </c>
      <c r="AH95">
        <f t="shared" si="63"/>
        <v>-8.3333333333333329E-2</v>
      </c>
      <c r="AJ95">
        <f t="shared" si="64"/>
        <v>0</v>
      </c>
      <c r="AL95">
        <f t="shared" si="65"/>
        <v>0</v>
      </c>
      <c r="AN95">
        <f t="shared" si="66"/>
        <v>0</v>
      </c>
      <c r="AP95">
        <f t="shared" si="67"/>
        <v>0</v>
      </c>
      <c r="AR95">
        <f t="shared" si="68"/>
        <v>0</v>
      </c>
    </row>
    <row r="96" spans="1:44">
      <c r="C96" t="s">
        <v>420</v>
      </c>
      <c r="D96">
        <v>78790</v>
      </c>
      <c r="E96">
        <v>2010</v>
      </c>
      <c r="F96">
        <v>12</v>
      </c>
      <c r="G96">
        <v>0</v>
      </c>
      <c r="I96" t="s">
        <v>78</v>
      </c>
      <c r="J96">
        <v>5</v>
      </c>
      <c r="K96">
        <f t="shared" si="47"/>
        <v>2015</v>
      </c>
      <c r="N96">
        <v>5900.24</v>
      </c>
      <c r="O96">
        <v>0</v>
      </c>
      <c r="P96">
        <f t="shared" si="48"/>
        <v>5900.24</v>
      </c>
      <c r="Q96">
        <f t="shared" si="49"/>
        <v>98.337333333333333</v>
      </c>
      <c r="R96">
        <f t="shared" si="50"/>
        <v>0</v>
      </c>
      <c r="S96">
        <f t="shared" si="51"/>
        <v>0</v>
      </c>
      <c r="T96">
        <f t="shared" si="52"/>
        <v>0</v>
      </c>
      <c r="U96">
        <v>1</v>
      </c>
      <c r="V96">
        <f t="shared" si="53"/>
        <v>0</v>
      </c>
      <c r="X96">
        <f t="shared" si="54"/>
        <v>5900.24</v>
      </c>
      <c r="Y96">
        <f t="shared" si="55"/>
        <v>5900.24</v>
      </c>
      <c r="Z96">
        <v>1</v>
      </c>
      <c r="AA96">
        <f t="shared" si="56"/>
        <v>5900.24</v>
      </c>
      <c r="AB96">
        <f t="shared" si="57"/>
        <v>5900.24</v>
      </c>
      <c r="AC96">
        <f t="shared" si="58"/>
        <v>0</v>
      </c>
      <c r="AD96">
        <f t="shared" si="59"/>
        <v>2010.9166666666667</v>
      </c>
      <c r="AE96">
        <f t="shared" si="60"/>
        <v>2023</v>
      </c>
      <c r="AF96">
        <f t="shared" si="61"/>
        <v>2015.9166666666667</v>
      </c>
      <c r="AG96">
        <f t="shared" si="62"/>
        <v>2190.4166666666665</v>
      </c>
      <c r="AH96">
        <f t="shared" si="63"/>
        <v>-8.3333333333333329E-2</v>
      </c>
      <c r="AJ96">
        <f t="shared" si="64"/>
        <v>0</v>
      </c>
      <c r="AL96">
        <f t="shared" si="65"/>
        <v>0</v>
      </c>
      <c r="AN96">
        <f t="shared" si="66"/>
        <v>0</v>
      </c>
      <c r="AP96">
        <f t="shared" si="67"/>
        <v>0</v>
      </c>
      <c r="AR96">
        <f t="shared" si="68"/>
        <v>0</v>
      </c>
    </row>
    <row r="97" spans="2:44">
      <c r="C97" t="s">
        <v>469</v>
      </c>
      <c r="D97" t="s">
        <v>478</v>
      </c>
      <c r="E97">
        <v>2012</v>
      </c>
      <c r="F97">
        <v>10</v>
      </c>
      <c r="G97">
        <v>0</v>
      </c>
      <c r="I97" t="s">
        <v>78</v>
      </c>
      <c r="J97">
        <v>10</v>
      </c>
      <c r="K97">
        <f t="shared" si="47"/>
        <v>2022</v>
      </c>
      <c r="N97">
        <f>9479+48345.38</f>
        <v>57824.38</v>
      </c>
      <c r="P97">
        <f t="shared" si="48"/>
        <v>57824.38</v>
      </c>
      <c r="Q97">
        <f t="shared" si="49"/>
        <v>481.86983333333336</v>
      </c>
      <c r="R97">
        <f t="shared" si="50"/>
        <v>0</v>
      </c>
      <c r="S97">
        <f t="shared" si="51"/>
        <v>0</v>
      </c>
      <c r="T97">
        <f t="shared" si="52"/>
        <v>0</v>
      </c>
      <c r="U97">
        <v>1</v>
      </c>
      <c r="V97">
        <f t="shared" si="53"/>
        <v>0</v>
      </c>
      <c r="X97">
        <f t="shared" si="54"/>
        <v>57824.38</v>
      </c>
      <c r="Y97">
        <f t="shared" si="55"/>
        <v>57824.38</v>
      </c>
      <c r="Z97">
        <v>1</v>
      </c>
      <c r="AA97">
        <f t="shared" si="56"/>
        <v>57824.38</v>
      </c>
      <c r="AB97">
        <f t="shared" si="57"/>
        <v>57824.38</v>
      </c>
      <c r="AC97">
        <f t="shared" si="58"/>
        <v>0</v>
      </c>
      <c r="AD97">
        <f t="shared" si="59"/>
        <v>2012.75</v>
      </c>
      <c r="AE97">
        <f t="shared" si="60"/>
        <v>2023</v>
      </c>
      <c r="AF97">
        <f t="shared" si="61"/>
        <v>2022.75</v>
      </c>
      <c r="AG97">
        <f t="shared" si="62"/>
        <v>2190.4166666666665</v>
      </c>
      <c r="AH97">
        <f t="shared" si="63"/>
        <v>-8.3333333333333329E-2</v>
      </c>
      <c r="AJ97">
        <f t="shared" si="64"/>
        <v>0</v>
      </c>
      <c r="AL97">
        <f t="shared" si="65"/>
        <v>0</v>
      </c>
      <c r="AN97">
        <f t="shared" si="66"/>
        <v>0</v>
      </c>
      <c r="AP97">
        <f t="shared" si="67"/>
        <v>0</v>
      </c>
      <c r="AR97">
        <f t="shared" si="68"/>
        <v>0</v>
      </c>
    </row>
    <row r="98" spans="2:44">
      <c r="C98" t="s">
        <v>481</v>
      </c>
      <c r="D98">
        <v>106016</v>
      </c>
      <c r="E98">
        <v>2013</v>
      </c>
      <c r="F98">
        <v>7</v>
      </c>
      <c r="G98">
        <v>0</v>
      </c>
      <c r="I98" t="s">
        <v>78</v>
      </c>
      <c r="J98">
        <v>5</v>
      </c>
      <c r="K98">
        <f t="shared" si="47"/>
        <v>2018</v>
      </c>
      <c r="N98">
        <v>14451.45</v>
      </c>
      <c r="P98">
        <f t="shared" si="48"/>
        <v>14451.45</v>
      </c>
      <c r="Q98">
        <f t="shared" si="49"/>
        <v>240.85749999999999</v>
      </c>
      <c r="R98">
        <f t="shared" si="50"/>
        <v>0</v>
      </c>
      <c r="S98">
        <f t="shared" si="51"/>
        <v>0</v>
      </c>
      <c r="T98">
        <f t="shared" si="52"/>
        <v>0</v>
      </c>
      <c r="U98">
        <v>1</v>
      </c>
      <c r="V98">
        <f t="shared" si="53"/>
        <v>0</v>
      </c>
      <c r="X98">
        <f t="shared" si="54"/>
        <v>14451.45</v>
      </c>
      <c r="Y98">
        <f t="shared" si="55"/>
        <v>14451.45</v>
      </c>
      <c r="Z98">
        <v>1</v>
      </c>
      <c r="AA98">
        <f t="shared" si="56"/>
        <v>14451.45</v>
      </c>
      <c r="AB98">
        <f t="shared" si="57"/>
        <v>14451.45</v>
      </c>
      <c r="AC98">
        <f t="shared" si="58"/>
        <v>0</v>
      </c>
      <c r="AD98">
        <f t="shared" si="59"/>
        <v>2013.5</v>
      </c>
      <c r="AE98">
        <f t="shared" si="60"/>
        <v>2023</v>
      </c>
      <c r="AF98">
        <f t="shared" si="61"/>
        <v>2018.5</v>
      </c>
      <c r="AG98">
        <f t="shared" si="62"/>
        <v>2190.4166666666665</v>
      </c>
      <c r="AH98">
        <f t="shared" si="63"/>
        <v>-8.3333333333333329E-2</v>
      </c>
      <c r="AJ98">
        <f t="shared" si="64"/>
        <v>0</v>
      </c>
      <c r="AL98">
        <f t="shared" si="65"/>
        <v>0</v>
      </c>
      <c r="AN98">
        <f t="shared" si="66"/>
        <v>0</v>
      </c>
      <c r="AP98">
        <f t="shared" si="67"/>
        <v>0</v>
      </c>
      <c r="AR98">
        <f t="shared" si="68"/>
        <v>0</v>
      </c>
    </row>
    <row r="99" spans="2:44">
      <c r="B99">
        <v>9226</v>
      </c>
      <c r="C99" t="s">
        <v>500</v>
      </c>
      <c r="D99">
        <v>110366</v>
      </c>
      <c r="E99">
        <v>2014</v>
      </c>
      <c r="F99">
        <v>1</v>
      </c>
      <c r="G99">
        <v>0.33</v>
      </c>
      <c r="I99" t="s">
        <v>78</v>
      </c>
      <c r="J99">
        <v>5</v>
      </c>
      <c r="K99">
        <f t="shared" si="47"/>
        <v>2019</v>
      </c>
      <c r="N99">
        <v>50193</v>
      </c>
      <c r="P99">
        <f t="shared" si="48"/>
        <v>33629.31</v>
      </c>
      <c r="Q99">
        <f t="shared" si="49"/>
        <v>560.48849999999993</v>
      </c>
      <c r="R99">
        <f t="shared" si="50"/>
        <v>0</v>
      </c>
      <c r="S99">
        <f t="shared" si="51"/>
        <v>0</v>
      </c>
      <c r="T99">
        <f t="shared" si="52"/>
        <v>0</v>
      </c>
      <c r="U99">
        <v>1</v>
      </c>
      <c r="V99">
        <f t="shared" si="53"/>
        <v>0</v>
      </c>
      <c r="X99">
        <f t="shared" si="54"/>
        <v>33629.31</v>
      </c>
      <c r="Y99">
        <f t="shared" si="55"/>
        <v>33629.31</v>
      </c>
      <c r="Z99">
        <v>1</v>
      </c>
      <c r="AA99">
        <f t="shared" si="56"/>
        <v>33629.31</v>
      </c>
      <c r="AB99">
        <f t="shared" si="57"/>
        <v>33629.31</v>
      </c>
      <c r="AC99">
        <f t="shared" si="58"/>
        <v>16563.690000000002</v>
      </c>
      <c r="AD99">
        <f t="shared" si="59"/>
        <v>2014</v>
      </c>
      <c r="AE99">
        <f t="shared" si="60"/>
        <v>2023</v>
      </c>
      <c r="AF99">
        <f t="shared" si="61"/>
        <v>2019</v>
      </c>
      <c r="AG99">
        <f t="shared" si="62"/>
        <v>2190.4166666666665</v>
      </c>
      <c r="AH99">
        <f t="shared" si="63"/>
        <v>-8.3333333333333329E-2</v>
      </c>
      <c r="AJ99">
        <f t="shared" si="64"/>
        <v>5521.2300000000005</v>
      </c>
      <c r="AL99">
        <f t="shared" si="65"/>
        <v>5521.2300000000005</v>
      </c>
      <c r="AN99">
        <f t="shared" si="66"/>
        <v>-16563.690000000002</v>
      </c>
      <c r="AP99">
        <f t="shared" si="67"/>
        <v>0</v>
      </c>
      <c r="AR99">
        <f t="shared" si="68"/>
        <v>0</v>
      </c>
    </row>
    <row r="100" spans="2:44">
      <c r="B100">
        <v>9228</v>
      </c>
      <c r="C100" t="s">
        <v>501</v>
      </c>
      <c r="D100">
        <v>110576</v>
      </c>
      <c r="E100">
        <v>2014</v>
      </c>
      <c r="F100">
        <v>1</v>
      </c>
      <c r="G100">
        <v>0.2</v>
      </c>
      <c r="I100" t="s">
        <v>78</v>
      </c>
      <c r="J100">
        <v>7</v>
      </c>
      <c r="K100">
        <f t="shared" si="47"/>
        <v>2021</v>
      </c>
      <c r="N100">
        <v>98824.34</v>
      </c>
      <c r="P100">
        <f t="shared" si="48"/>
        <v>79059.471999999994</v>
      </c>
      <c r="Q100">
        <f t="shared" si="49"/>
        <v>941.18419047619045</v>
      </c>
      <c r="R100">
        <f t="shared" si="50"/>
        <v>0</v>
      </c>
      <c r="S100">
        <f t="shared" si="51"/>
        <v>0</v>
      </c>
      <c r="T100">
        <f t="shared" si="52"/>
        <v>0</v>
      </c>
      <c r="U100">
        <v>1</v>
      </c>
      <c r="V100">
        <f t="shared" si="53"/>
        <v>0</v>
      </c>
      <c r="X100">
        <f t="shared" si="54"/>
        <v>79059.471999999994</v>
      </c>
      <c r="Y100">
        <f t="shared" si="55"/>
        <v>79059.471999999994</v>
      </c>
      <c r="Z100">
        <v>1</v>
      </c>
      <c r="AA100">
        <f t="shared" si="56"/>
        <v>79059.471999999994</v>
      </c>
      <c r="AB100">
        <f t="shared" si="57"/>
        <v>79059.471999999994</v>
      </c>
      <c r="AC100">
        <f t="shared" si="58"/>
        <v>19764.868000000002</v>
      </c>
      <c r="AD100">
        <f t="shared" si="59"/>
        <v>2014</v>
      </c>
      <c r="AE100">
        <f t="shared" si="60"/>
        <v>2023</v>
      </c>
      <c r="AF100">
        <f t="shared" si="61"/>
        <v>2021</v>
      </c>
      <c r="AG100">
        <f t="shared" si="62"/>
        <v>2190.4166666666665</v>
      </c>
      <c r="AH100">
        <f t="shared" si="63"/>
        <v>-8.3333333333333329E-2</v>
      </c>
      <c r="AJ100">
        <f t="shared" si="64"/>
        <v>6588.2893333333341</v>
      </c>
      <c r="AL100">
        <f t="shared" si="65"/>
        <v>6588.2893333333341</v>
      </c>
      <c r="AN100">
        <f t="shared" si="66"/>
        <v>-19764.868000000002</v>
      </c>
      <c r="AP100">
        <f t="shared" si="67"/>
        <v>0</v>
      </c>
      <c r="AR100">
        <f t="shared" si="68"/>
        <v>0</v>
      </c>
    </row>
    <row r="101" spans="2:44">
      <c r="C101" t="s">
        <v>518</v>
      </c>
      <c r="D101">
        <v>116108</v>
      </c>
      <c r="E101">
        <v>2014</v>
      </c>
      <c r="F101">
        <v>8</v>
      </c>
      <c r="G101">
        <v>0</v>
      </c>
      <c r="I101" t="s">
        <v>78</v>
      </c>
      <c r="J101">
        <v>3</v>
      </c>
      <c r="K101">
        <f t="shared" si="47"/>
        <v>2017</v>
      </c>
      <c r="N101">
        <v>1817.83</v>
      </c>
      <c r="P101">
        <f t="shared" si="48"/>
        <v>1817.83</v>
      </c>
      <c r="Q101">
        <f t="shared" si="49"/>
        <v>50.495277777777773</v>
      </c>
      <c r="R101">
        <f t="shared" si="50"/>
        <v>0</v>
      </c>
      <c r="S101">
        <f t="shared" si="51"/>
        <v>0</v>
      </c>
      <c r="T101">
        <f t="shared" si="52"/>
        <v>0</v>
      </c>
      <c r="U101">
        <v>1</v>
      </c>
      <c r="V101">
        <f t="shared" si="53"/>
        <v>0</v>
      </c>
      <c r="X101">
        <f t="shared" si="54"/>
        <v>1817.83</v>
      </c>
      <c r="Y101">
        <f t="shared" si="55"/>
        <v>1817.83</v>
      </c>
      <c r="Z101">
        <v>1</v>
      </c>
      <c r="AA101">
        <f t="shared" si="56"/>
        <v>1817.83</v>
      </c>
      <c r="AB101">
        <f t="shared" si="57"/>
        <v>1817.83</v>
      </c>
      <c r="AC101">
        <f t="shared" si="58"/>
        <v>0</v>
      </c>
      <c r="AD101">
        <f t="shared" si="59"/>
        <v>2014.5833333333333</v>
      </c>
      <c r="AE101">
        <f t="shared" si="60"/>
        <v>2023</v>
      </c>
      <c r="AF101">
        <f t="shared" si="61"/>
        <v>2017.5833333333333</v>
      </c>
      <c r="AG101">
        <f t="shared" si="62"/>
        <v>2190.4166666666665</v>
      </c>
      <c r="AH101">
        <f t="shared" si="63"/>
        <v>-8.3333333333333329E-2</v>
      </c>
      <c r="AJ101">
        <f t="shared" si="64"/>
        <v>0</v>
      </c>
      <c r="AL101">
        <f t="shared" si="65"/>
        <v>0</v>
      </c>
      <c r="AN101">
        <f t="shared" si="66"/>
        <v>0</v>
      </c>
      <c r="AP101">
        <f t="shared" si="67"/>
        <v>0</v>
      </c>
      <c r="AR101">
        <f t="shared" si="68"/>
        <v>0</v>
      </c>
    </row>
    <row r="102" spans="2:44">
      <c r="C102" t="s">
        <v>519</v>
      </c>
      <c r="D102">
        <v>115427</v>
      </c>
      <c r="E102">
        <v>2014</v>
      </c>
      <c r="F102">
        <v>8</v>
      </c>
      <c r="G102">
        <v>0</v>
      </c>
      <c r="I102" t="s">
        <v>78</v>
      </c>
      <c r="J102">
        <v>3</v>
      </c>
      <c r="K102">
        <f t="shared" si="47"/>
        <v>2017</v>
      </c>
      <c r="N102">
        <v>3198.54</v>
      </c>
      <c r="P102">
        <f t="shared" si="48"/>
        <v>3198.54</v>
      </c>
      <c r="Q102">
        <f t="shared" si="49"/>
        <v>88.848333333333343</v>
      </c>
      <c r="R102">
        <f t="shared" si="50"/>
        <v>0</v>
      </c>
      <c r="S102">
        <f t="shared" si="51"/>
        <v>0</v>
      </c>
      <c r="T102">
        <f t="shared" si="52"/>
        <v>0</v>
      </c>
      <c r="U102">
        <v>1</v>
      </c>
      <c r="V102">
        <f t="shared" si="53"/>
        <v>0</v>
      </c>
      <c r="X102">
        <f t="shared" si="54"/>
        <v>3198.54</v>
      </c>
      <c r="Y102">
        <f t="shared" si="55"/>
        <v>3198.54</v>
      </c>
      <c r="Z102">
        <v>1</v>
      </c>
      <c r="AA102">
        <f t="shared" si="56"/>
        <v>3198.54</v>
      </c>
      <c r="AB102">
        <f t="shared" si="57"/>
        <v>3198.54</v>
      </c>
      <c r="AC102">
        <f t="shared" si="58"/>
        <v>0</v>
      </c>
      <c r="AD102">
        <f t="shared" si="59"/>
        <v>2014.5833333333333</v>
      </c>
      <c r="AE102">
        <f t="shared" si="60"/>
        <v>2023</v>
      </c>
      <c r="AF102">
        <f t="shared" si="61"/>
        <v>2017.5833333333333</v>
      </c>
      <c r="AG102">
        <f t="shared" si="62"/>
        <v>2190.4166666666665</v>
      </c>
      <c r="AH102">
        <f t="shared" si="63"/>
        <v>-8.3333333333333329E-2</v>
      </c>
      <c r="AJ102">
        <f t="shared" si="64"/>
        <v>0</v>
      </c>
      <c r="AL102">
        <f t="shared" si="65"/>
        <v>0</v>
      </c>
      <c r="AN102">
        <f t="shared" si="66"/>
        <v>0</v>
      </c>
      <c r="AP102">
        <f t="shared" si="67"/>
        <v>0</v>
      </c>
      <c r="AR102">
        <f t="shared" si="68"/>
        <v>0</v>
      </c>
    </row>
    <row r="103" spans="2:44">
      <c r="C103" t="s">
        <v>523</v>
      </c>
      <c r="D103">
        <v>118278</v>
      </c>
      <c r="E103">
        <v>2014</v>
      </c>
      <c r="F103">
        <v>12</v>
      </c>
      <c r="G103">
        <v>0</v>
      </c>
      <c r="I103" t="s">
        <v>78</v>
      </c>
      <c r="J103">
        <v>5</v>
      </c>
      <c r="K103">
        <f t="shared" si="47"/>
        <v>2019</v>
      </c>
      <c r="N103">
        <f>7879.66+2760.98</f>
        <v>10640.64</v>
      </c>
      <c r="P103">
        <f>N103-N103*G103</f>
        <v>10640.64</v>
      </c>
      <c r="Q103">
        <f>P103/J103/12</f>
        <v>177.34399999999997</v>
      </c>
      <c r="R103">
        <f>IF(O103&gt;0,0,IF(OR(AD103&gt;AE103,AF103&lt;AG103),0,IF(AND(AF103&gt;=AG103,AF103&lt;=AE103),Q103*((AF103-AG103)*12),IF(AND(AG103&lt;=AD103,AE103&gt;=AD103),((AE103-AD103)*12)*Q103,IF(AF103&gt;AE103,12*Q103,0)))))</f>
        <v>0</v>
      </c>
      <c r="S103">
        <f>IF(O103=0,0,IF(AND(AH103&gt;=AG103,AH103&lt;=AF103),((AH103-AG103)*12)*Q103,0))</f>
        <v>0</v>
      </c>
      <c r="T103">
        <f>IF(S103&gt;0,S103,R103)</f>
        <v>0</v>
      </c>
      <c r="U103">
        <v>1</v>
      </c>
      <c r="V103">
        <f>U103*SUM(R103:S103)</f>
        <v>0</v>
      </c>
      <c r="X103">
        <f>IF(AD103&gt;AE103,0,IF(AF103&lt;AG103,P103,IF(AND(AF103&gt;=AG103,AF103&lt;=AE103),(P103-T103),IF(AND(AG103&lt;=AD103,AE103&gt;=AD103),0,IF(AF103&gt;AE103,((AG103-AD103)*12)*Q103,0)))))</f>
        <v>10640.64</v>
      </c>
      <c r="Y103">
        <f>X103*U103</f>
        <v>10640.64</v>
      </c>
      <c r="Z103">
        <v>1</v>
      </c>
      <c r="AA103">
        <f>Y103*Z103</f>
        <v>10640.64</v>
      </c>
      <c r="AB103">
        <f>IF(O103&gt;0,0,AA103+V103*Z103)*Z103</f>
        <v>10640.64</v>
      </c>
      <c r="AC103">
        <f>IF(O103&gt;0,(N103-AA103)/2,IF(AD103&gt;=AG103,(((N103*U103)*Z103)-AB103)/2,((((N103*U103)*Z103)-AA103)+(((N103*U103)*Z103)-AB103))/2))</f>
        <v>0</v>
      </c>
      <c r="AD103">
        <f t="shared" si="59"/>
        <v>2014.9166666666667</v>
      </c>
      <c r="AE103">
        <f t="shared" si="60"/>
        <v>2023</v>
      </c>
      <c r="AF103">
        <f t="shared" si="61"/>
        <v>2019.9166666666667</v>
      </c>
      <c r="AG103">
        <f t="shared" si="62"/>
        <v>2190.4166666666665</v>
      </c>
      <c r="AH103">
        <f t="shared" si="63"/>
        <v>-8.3333333333333329E-2</v>
      </c>
      <c r="AJ103">
        <f t="shared" si="64"/>
        <v>0</v>
      </c>
      <c r="AL103">
        <f t="shared" si="65"/>
        <v>0</v>
      </c>
      <c r="AN103">
        <f t="shared" si="66"/>
        <v>0</v>
      </c>
      <c r="AP103">
        <f t="shared" si="67"/>
        <v>0</v>
      </c>
      <c r="AR103">
        <f t="shared" si="68"/>
        <v>0</v>
      </c>
    </row>
    <row r="104" spans="2:44">
      <c r="C104" t="s">
        <v>578</v>
      </c>
      <c r="D104" t="s">
        <v>577</v>
      </c>
      <c r="E104">
        <v>2015</v>
      </c>
      <c r="F104">
        <v>9</v>
      </c>
      <c r="G104">
        <v>0</v>
      </c>
      <c r="I104" t="s">
        <v>78</v>
      </c>
      <c r="J104">
        <v>5</v>
      </c>
      <c r="K104">
        <f t="shared" si="47"/>
        <v>2020</v>
      </c>
      <c r="N104">
        <f>11499.37+1195.7</f>
        <v>12695.070000000002</v>
      </c>
      <c r="P104">
        <f>N104-N104*G104</f>
        <v>12695.070000000002</v>
      </c>
      <c r="Q104">
        <f>P104/J104/12</f>
        <v>211.58450000000002</v>
      </c>
      <c r="R104">
        <f>IF(O104&gt;0,0,IF(OR(AD104&gt;AE104,AF104&lt;AG104),0,IF(AND(AF104&gt;=AG104,AF104&lt;=AE104),Q104*((AF104-AG104)*12),IF(AND(AG104&lt;=AD104,AE104&gt;=AD104),((AE104-AD104)*12)*Q104,IF(AF104&gt;AE104,12*Q104,0)))))</f>
        <v>0</v>
      </c>
      <c r="S104">
        <f>IF(O104=0,0,IF(AND(AH104&gt;=AG104,AH104&lt;=AF104),((AH104-AG104)*12)*Q104,0))</f>
        <v>0</v>
      </c>
      <c r="T104">
        <f>IF(S104&gt;0,S104,R104)</f>
        <v>0</v>
      </c>
      <c r="U104">
        <v>1</v>
      </c>
      <c r="V104">
        <f>U104*SUM(R104:S104)</f>
        <v>0</v>
      </c>
      <c r="X104">
        <f>IF(AD104&gt;AE104,0,IF(AF104&lt;AG104,P104,IF(AND(AF104&gt;=AG104,AF104&lt;=AE104),(P104-T104),IF(AND(AG104&lt;=AD104,AE104&gt;=AD104),0,IF(AF104&gt;AE104,((AG104-AD104)*12)*Q104,0)))))</f>
        <v>12695.070000000002</v>
      </c>
      <c r="Y104">
        <f>X104*U104</f>
        <v>12695.070000000002</v>
      </c>
      <c r="Z104">
        <v>1</v>
      </c>
      <c r="AA104">
        <f>Y104*Z104</f>
        <v>12695.070000000002</v>
      </c>
      <c r="AB104">
        <f>IF(O104&gt;0,0,AA104+V104*Z104)*Z104</f>
        <v>12695.070000000002</v>
      </c>
      <c r="AC104">
        <f>IF(O104&gt;0,(N104-AA104)/2,IF(AD104&gt;=AG104,(((N104*U104)*Z104)-AB104)/2,((((N104*U104)*Z104)-AA104)+(((N104*U104)*Z104)-AB104))/2))</f>
        <v>0</v>
      </c>
      <c r="AD104">
        <f t="shared" si="59"/>
        <v>2015.6666666666667</v>
      </c>
      <c r="AE104">
        <f t="shared" si="60"/>
        <v>2023</v>
      </c>
      <c r="AF104">
        <f t="shared" si="61"/>
        <v>2020.6666666666667</v>
      </c>
      <c r="AG104">
        <f t="shared" si="62"/>
        <v>2190.4166666666665</v>
      </c>
      <c r="AH104">
        <f t="shared" si="63"/>
        <v>-8.3333333333333329E-2</v>
      </c>
      <c r="AJ104">
        <f t="shared" si="64"/>
        <v>0</v>
      </c>
      <c r="AL104">
        <f t="shared" si="65"/>
        <v>0</v>
      </c>
      <c r="AN104">
        <f t="shared" si="66"/>
        <v>0</v>
      </c>
      <c r="AP104">
        <f t="shared" si="67"/>
        <v>0</v>
      </c>
      <c r="AR104">
        <f t="shared" si="68"/>
        <v>0</v>
      </c>
    </row>
    <row r="105" spans="2:44">
      <c r="C105" t="s">
        <v>605</v>
      </c>
      <c r="D105">
        <v>170171</v>
      </c>
      <c r="E105">
        <v>2016</v>
      </c>
      <c r="F105">
        <v>11</v>
      </c>
      <c r="G105">
        <v>0</v>
      </c>
      <c r="I105" t="s">
        <v>78</v>
      </c>
      <c r="J105">
        <v>5</v>
      </c>
      <c r="K105">
        <f>E105+J105</f>
        <v>2021</v>
      </c>
      <c r="N105">
        <v>44611.57</v>
      </c>
      <c r="P105">
        <f>N105-N105*G105</f>
        <v>44611.57</v>
      </c>
      <c r="Q105">
        <f>P105/J105/12</f>
        <v>743.52616666666665</v>
      </c>
      <c r="R105">
        <f>IF(O105&gt;0,0,IF(OR(AD105&gt;AE105,AF105&lt;AG105),0,IF(AND(AF105&gt;=AG105,AF105&lt;=AE105),Q105*((AF105-AG105)*12),IF(AND(AG105&lt;=AD105,AE105&gt;=AD105),((AE105-AD105)*12)*Q105,IF(AF105&gt;AE105,12*Q105,0)))))</f>
        <v>0</v>
      </c>
      <c r="S105">
        <f>IF(O105=0,0,IF(AND(AH105&gt;=AG105,AH105&lt;=AF105),((AH105-AG105)*12)*Q105,0))</f>
        <v>0</v>
      </c>
      <c r="T105">
        <f>IF(S105&gt;0,S105,R105)</f>
        <v>0</v>
      </c>
      <c r="U105">
        <v>1</v>
      </c>
      <c r="V105">
        <f>U105*SUM(R105:S105)</f>
        <v>0</v>
      </c>
      <c r="X105">
        <f>IF(AD105&gt;AE105,0,IF(AF105&lt;AG105,P105,IF(AND(AF105&gt;=AG105,AF105&lt;=AE105),(P105-T105),IF(AND(AG105&lt;=AD105,AE105&gt;=AD105),0,IF(AF105&gt;AE105,((AG105-AD105)*12)*Q105,0)))))</f>
        <v>44611.57</v>
      </c>
      <c r="Y105">
        <f>X105*U105</f>
        <v>44611.57</v>
      </c>
      <c r="Z105">
        <v>1</v>
      </c>
      <c r="AA105">
        <f>Y105*Z105</f>
        <v>44611.57</v>
      </c>
      <c r="AB105">
        <f>IF(O105&gt;0,0,AA105+V105*Z105)*Z105</f>
        <v>44611.57</v>
      </c>
      <c r="AC105">
        <f>IF(O105&gt;0,(N105-AA105)/2,IF(AD105&gt;=AG105,(((N105*U105)*Z105)-AB105)/2,((((N105*U105)*Z105)-AA105)+(((N105*U105)*Z105)-AB105))/2))</f>
        <v>0</v>
      </c>
      <c r="AD105">
        <f t="shared" si="59"/>
        <v>2016.8333333333333</v>
      </c>
      <c r="AE105">
        <f t="shared" si="60"/>
        <v>2023</v>
      </c>
      <c r="AF105">
        <f t="shared" si="61"/>
        <v>2021.8333333333333</v>
      </c>
      <c r="AG105">
        <f t="shared" si="62"/>
        <v>2190.4166666666665</v>
      </c>
      <c r="AH105">
        <f t="shared" si="63"/>
        <v>-8.3333333333333329E-2</v>
      </c>
      <c r="AJ105">
        <f t="shared" si="64"/>
        <v>0</v>
      </c>
      <c r="AL105">
        <f t="shared" si="65"/>
        <v>0</v>
      </c>
      <c r="AN105">
        <f t="shared" si="66"/>
        <v>0</v>
      </c>
      <c r="AP105">
        <f t="shared" si="67"/>
        <v>0</v>
      </c>
      <c r="AR105">
        <f t="shared" si="68"/>
        <v>0</v>
      </c>
    </row>
    <row r="107" spans="2:44">
      <c r="C107" t="s">
        <v>266</v>
      </c>
      <c r="N107">
        <f>SUM(N53:N106)</f>
        <v>1661982.6400000001</v>
      </c>
      <c r="P107">
        <f>SUM(P53:P106)</f>
        <v>1614540.6322999999</v>
      </c>
      <c r="Q107">
        <f>SUM(Q53:Q106)</f>
        <v>19935.406698637336</v>
      </c>
      <c r="R107">
        <f>SUM(R53:R106)</f>
        <v>0</v>
      </c>
      <c r="T107">
        <f>SUM(T53:T106)</f>
        <v>0</v>
      </c>
      <c r="V107">
        <f>SUM(V53:V106)</f>
        <v>0</v>
      </c>
      <c r="X107">
        <f>SUM(X53:X106)</f>
        <v>1614540.6322999999</v>
      </c>
      <c r="Y107">
        <f>SUM(Y53:Y106)</f>
        <v>1614540.6322999999</v>
      </c>
      <c r="AA107">
        <f>SUM(AA53:AA106)</f>
        <v>1614540.6322999999</v>
      </c>
      <c r="AB107">
        <f>SUM(AB53:AB106)</f>
        <v>1614540.6322999999</v>
      </c>
      <c r="AC107">
        <f>SUM(AC53:AC106)</f>
        <v>47442.007700000002</v>
      </c>
      <c r="AJ107">
        <f t="shared" ref="AJ107:AR107" si="69">SUM(AJ53:AJ106)</f>
        <v>15814.002566666668</v>
      </c>
      <c r="AK107">
        <f t="shared" si="69"/>
        <v>0</v>
      </c>
      <c r="AL107">
        <f t="shared" si="69"/>
        <v>15814.002566666668</v>
      </c>
      <c r="AM107">
        <f t="shared" si="69"/>
        <v>0</v>
      </c>
      <c r="AN107">
        <f t="shared" si="69"/>
        <v>-47442.007700000002</v>
      </c>
      <c r="AO107">
        <f t="shared" si="69"/>
        <v>0</v>
      </c>
      <c r="AP107">
        <f t="shared" si="69"/>
        <v>0</v>
      </c>
      <c r="AQ107">
        <f t="shared" si="69"/>
        <v>0</v>
      </c>
      <c r="AR107">
        <f t="shared" si="69"/>
        <v>0</v>
      </c>
    </row>
    <row r="108" spans="2:44">
      <c r="C108" t="s">
        <v>316</v>
      </c>
    </row>
    <row r="109" spans="2:44">
      <c r="C109" t="s">
        <v>316</v>
      </c>
    </row>
    <row r="110" spans="2:44">
      <c r="C110" t="s">
        <v>278</v>
      </c>
    </row>
    <row r="111" spans="2:44">
      <c r="C111" t="s">
        <v>316</v>
      </c>
    </row>
    <row r="112" spans="2:44">
      <c r="B112">
        <v>6029</v>
      </c>
      <c r="C112" t="s">
        <v>493</v>
      </c>
      <c r="D112">
        <v>105497</v>
      </c>
      <c r="E112">
        <v>2003</v>
      </c>
      <c r="F112">
        <v>3</v>
      </c>
      <c r="G112">
        <v>0.2</v>
      </c>
      <c r="I112" t="s">
        <v>78</v>
      </c>
      <c r="J112">
        <v>5</v>
      </c>
      <c r="K112">
        <f t="shared" ref="K112:K117" si="70">E112+J112</f>
        <v>2008</v>
      </c>
      <c r="N112">
        <v>16108.62</v>
      </c>
      <c r="P112">
        <f t="shared" ref="P112:P117" si="71">N112-N112*G112</f>
        <v>12886.896000000001</v>
      </c>
      <c r="Q112">
        <f t="shared" ref="Q112:Q117" si="72">P112/J112/12</f>
        <v>214.78160000000003</v>
      </c>
      <c r="R112">
        <f t="shared" ref="R112:R117" si="73">IF(O112&gt;0,0,IF(OR(AD112&gt;AE112,AF112&lt;AG112),0,IF(AND(AF112&gt;=AG112,AF112&lt;=AE112),Q112*((AF112-AG112)*12),IF(AND(AG112&lt;=AD112,AE112&gt;=AD112),((AE112-AD112)*12)*Q112,IF(AF112&gt;AE112,12*Q112,0)))))</f>
        <v>0</v>
      </c>
      <c r="S112">
        <f t="shared" ref="S112:S117" si="74">IF(O112=0,0,IF(AND(AH112&gt;=AG112,AH112&lt;=AF112),((AH112-AG112)*12)*Q112,0))</f>
        <v>0</v>
      </c>
      <c r="T112">
        <f t="shared" ref="T112:T117" si="75">IF(S112&gt;0,S112,R112)</f>
        <v>0</v>
      </c>
      <c r="U112">
        <v>1</v>
      </c>
      <c r="V112">
        <f t="shared" ref="V112:V117" si="76">U112*SUM(R112:S112)</f>
        <v>0</v>
      </c>
      <c r="X112">
        <f t="shared" ref="X112:X117" si="77">IF(AD112&gt;AE112,0,IF(AF112&lt;AG112,P112,IF(AND(AF112&gt;=AG112,AF112&lt;=AE112),(P112-T112),IF(AND(AG112&lt;=AD112,AE112&gt;=AD112),0,IF(AF112&gt;AE112,((AG112-AD112)*12)*Q112,0)))))</f>
        <v>12886.896000000001</v>
      </c>
      <c r="Y112">
        <f t="shared" ref="Y112:Y117" si="78">X112*U112</f>
        <v>12886.896000000001</v>
      </c>
      <c r="Z112">
        <v>1</v>
      </c>
      <c r="AA112">
        <f t="shared" ref="AA112:AA117" si="79">Y112*Z112</f>
        <v>12886.896000000001</v>
      </c>
      <c r="AB112">
        <f t="shared" ref="AB112:AB117" si="80">IF(O112&gt;0,0,AA112+V112*Z112)*Z112</f>
        <v>12886.896000000001</v>
      </c>
      <c r="AC112">
        <f t="shared" ref="AC112:AC117" si="81">IF(O112&gt;0,(N112-AA112)/2,IF(AD112&gt;=AG112,(((N112*U112)*Z112)-AB112)/2,((((N112*U112)*Z112)-AA112)+(((N112*U112)*Z112)-AB112))/2))</f>
        <v>3221.7240000000002</v>
      </c>
      <c r="AD112">
        <f t="shared" ref="AD112:AD117" si="82">$E112+(($F112-1)/12)</f>
        <v>2003.1666666666667</v>
      </c>
      <c r="AE112">
        <f t="shared" ref="AE112:AE117" si="83">($P$5+1)-($P$2/12)</f>
        <v>2023</v>
      </c>
      <c r="AF112">
        <f t="shared" ref="AF112:AF117" si="84">$K112+(($F112-1)/12)</f>
        <v>2008.1666666666667</v>
      </c>
      <c r="AG112">
        <f>$P$4+($P$3/12)</f>
        <v>2190.4166666666665</v>
      </c>
      <c r="AH112">
        <f t="shared" ref="AH112:AH117" si="85">$L112+(($M112-1)/12)</f>
        <v>-8.3333333333333329E-2</v>
      </c>
      <c r="AJ112">
        <f t="shared" ref="AJ112:AJ117" si="86">+IF((AF112-AG112)&gt;3,((N112-P112)/(AF112-AG112)),(N112-P112)/3)</f>
        <v>1073.9080000000001</v>
      </c>
      <c r="AL112">
        <f t="shared" ref="AL112:AL117" si="87">+AJ112+V112</f>
        <v>1073.9080000000001</v>
      </c>
      <c r="AN112">
        <f t="shared" ref="AN112:AN117" si="88">+IF(AF112&lt;AG112,-AC112,0)</f>
        <v>-3221.7240000000002</v>
      </c>
      <c r="AP112">
        <f t="shared" ref="AP112:AP117" si="89">IF(AF112&gt;AG112,IF(AJ112&gt;0,IF(O112&gt;0,(N112-AA112)/2,IF(AD112&gt;=AG112,(((N112*U112)*Z112)-(AB112+AJ112))/2,((((N112*U112)*Z112)-AA112)+(((N112*U112)*Z112)-(AB112+AJ112)))/2)),0),0)</f>
        <v>0</v>
      </c>
      <c r="AR112">
        <f t="shared" ref="AR112:AR117" si="90">+AC112+AN112+(IF(AP112&gt;0,(AP112-AC112),0))</f>
        <v>0</v>
      </c>
    </row>
    <row r="113" spans="1:44">
      <c r="B113">
        <v>6050</v>
      </c>
      <c r="C113" t="s">
        <v>454</v>
      </c>
      <c r="D113">
        <v>75671</v>
      </c>
      <c r="E113">
        <v>2010</v>
      </c>
      <c r="F113">
        <v>7</v>
      </c>
      <c r="G113">
        <v>0.33</v>
      </c>
      <c r="I113" t="s">
        <v>78</v>
      </c>
      <c r="J113">
        <v>5</v>
      </c>
      <c r="K113">
        <f t="shared" si="70"/>
        <v>2015</v>
      </c>
      <c r="N113">
        <v>15000</v>
      </c>
      <c r="O113">
        <v>0</v>
      </c>
      <c r="P113">
        <f t="shared" si="71"/>
        <v>10050</v>
      </c>
      <c r="Q113">
        <f t="shared" si="72"/>
        <v>167.5</v>
      </c>
      <c r="R113">
        <f t="shared" si="73"/>
        <v>0</v>
      </c>
      <c r="S113">
        <f t="shared" si="74"/>
        <v>0</v>
      </c>
      <c r="T113">
        <f t="shared" si="75"/>
        <v>0</v>
      </c>
      <c r="U113">
        <v>1</v>
      </c>
      <c r="V113">
        <f t="shared" si="76"/>
        <v>0</v>
      </c>
      <c r="X113">
        <f t="shared" si="77"/>
        <v>10050</v>
      </c>
      <c r="Y113">
        <f t="shared" si="78"/>
        <v>10050</v>
      </c>
      <c r="Z113">
        <v>1</v>
      </c>
      <c r="AA113">
        <f t="shared" si="79"/>
        <v>10050</v>
      </c>
      <c r="AB113">
        <f t="shared" si="80"/>
        <v>10050</v>
      </c>
      <c r="AC113">
        <f t="shared" si="81"/>
        <v>4950</v>
      </c>
      <c r="AD113">
        <f t="shared" si="82"/>
        <v>2010.5</v>
      </c>
      <c r="AE113">
        <f t="shared" si="83"/>
        <v>2023</v>
      </c>
      <c r="AF113">
        <f t="shared" si="84"/>
        <v>2015.5</v>
      </c>
      <c r="AG113">
        <f>$P$4+($P$3/12)</f>
        <v>2190.4166666666665</v>
      </c>
      <c r="AH113">
        <f t="shared" si="85"/>
        <v>-8.3333333333333329E-2</v>
      </c>
      <c r="AJ113">
        <f t="shared" si="86"/>
        <v>1650</v>
      </c>
      <c r="AL113">
        <f t="shared" si="87"/>
        <v>1650</v>
      </c>
      <c r="AN113">
        <f t="shared" si="88"/>
        <v>-4950</v>
      </c>
      <c r="AP113">
        <f t="shared" si="89"/>
        <v>0</v>
      </c>
      <c r="AR113">
        <f t="shared" si="90"/>
        <v>0</v>
      </c>
    </row>
    <row r="114" spans="1:44">
      <c r="C114" t="s">
        <v>421</v>
      </c>
      <c r="D114">
        <v>79336</v>
      </c>
      <c r="E114">
        <v>2010</v>
      </c>
      <c r="F114">
        <v>12</v>
      </c>
      <c r="G114">
        <v>0.33</v>
      </c>
      <c r="I114" t="s">
        <v>78</v>
      </c>
      <c r="J114">
        <v>5</v>
      </c>
      <c r="K114">
        <f t="shared" si="70"/>
        <v>2015</v>
      </c>
      <c r="N114">
        <v>39289.4</v>
      </c>
      <c r="O114">
        <v>0</v>
      </c>
      <c r="P114">
        <f t="shared" si="71"/>
        <v>26323.898000000001</v>
      </c>
      <c r="Q114">
        <f t="shared" si="72"/>
        <v>438.73163333333332</v>
      </c>
      <c r="R114">
        <f t="shared" si="73"/>
        <v>0</v>
      </c>
      <c r="S114">
        <f t="shared" si="74"/>
        <v>0</v>
      </c>
      <c r="T114">
        <f t="shared" si="75"/>
        <v>0</v>
      </c>
      <c r="U114">
        <v>1</v>
      </c>
      <c r="V114">
        <f t="shared" si="76"/>
        <v>0</v>
      </c>
      <c r="X114">
        <f t="shared" si="77"/>
        <v>26323.898000000001</v>
      </c>
      <c r="Y114">
        <f t="shared" si="78"/>
        <v>26323.898000000001</v>
      </c>
      <c r="Z114">
        <v>1</v>
      </c>
      <c r="AA114">
        <f t="shared" si="79"/>
        <v>26323.898000000001</v>
      </c>
      <c r="AB114">
        <f t="shared" si="80"/>
        <v>26323.898000000001</v>
      </c>
      <c r="AC114">
        <f t="shared" si="81"/>
        <v>12965.502</v>
      </c>
      <c r="AD114">
        <f t="shared" si="82"/>
        <v>2010.9166666666667</v>
      </c>
      <c r="AE114">
        <f t="shared" si="83"/>
        <v>2023</v>
      </c>
      <c r="AF114">
        <f t="shared" si="84"/>
        <v>2015.9166666666667</v>
      </c>
      <c r="AG114">
        <f>$P$4+($P$3/12)</f>
        <v>2190.4166666666665</v>
      </c>
      <c r="AH114">
        <f t="shared" si="85"/>
        <v>-8.3333333333333329E-2</v>
      </c>
      <c r="AJ114">
        <f t="shared" si="86"/>
        <v>4321.8339999999998</v>
      </c>
      <c r="AL114">
        <f t="shared" si="87"/>
        <v>4321.8339999999998</v>
      </c>
      <c r="AN114">
        <f t="shared" si="88"/>
        <v>-12965.502</v>
      </c>
      <c r="AP114">
        <f t="shared" si="89"/>
        <v>0</v>
      </c>
      <c r="AR114">
        <f t="shared" si="90"/>
        <v>0</v>
      </c>
    </row>
    <row r="115" spans="1:44">
      <c r="A115" t="s">
        <v>556</v>
      </c>
      <c r="B115">
        <v>6047</v>
      </c>
      <c r="C115" t="s">
        <v>555</v>
      </c>
      <c r="D115">
        <v>114290</v>
      </c>
      <c r="E115">
        <v>2011</v>
      </c>
      <c r="F115">
        <v>5</v>
      </c>
      <c r="G115">
        <v>0.33</v>
      </c>
      <c r="I115" t="s">
        <v>78</v>
      </c>
      <c r="J115">
        <v>5</v>
      </c>
      <c r="K115">
        <f t="shared" si="70"/>
        <v>2016</v>
      </c>
      <c r="N115">
        <v>22311.09</v>
      </c>
      <c r="P115">
        <f t="shared" si="71"/>
        <v>14948.4303</v>
      </c>
      <c r="Q115">
        <f t="shared" si="72"/>
        <v>249.14050499999999</v>
      </c>
      <c r="R115">
        <f t="shared" si="73"/>
        <v>6975.9341399997729</v>
      </c>
      <c r="S115">
        <f t="shared" si="74"/>
        <v>0</v>
      </c>
      <c r="T115">
        <f t="shared" si="75"/>
        <v>6975.9341399997729</v>
      </c>
      <c r="U115">
        <v>1</v>
      </c>
      <c r="V115">
        <f t="shared" si="76"/>
        <v>6975.9341399997729</v>
      </c>
      <c r="X115">
        <f t="shared" si="77"/>
        <v>7972.4961600002271</v>
      </c>
      <c r="Y115">
        <f t="shared" si="78"/>
        <v>7972.4961600002271</v>
      </c>
      <c r="Z115">
        <v>1</v>
      </c>
      <c r="AA115">
        <f t="shared" si="79"/>
        <v>7972.4961600002271</v>
      </c>
      <c r="AB115">
        <f t="shared" si="80"/>
        <v>14948.4303</v>
      </c>
      <c r="AC115">
        <f t="shared" si="81"/>
        <v>10850.626769999886</v>
      </c>
      <c r="AD115">
        <f t="shared" si="82"/>
        <v>2011.3333333333333</v>
      </c>
      <c r="AE115">
        <f t="shared" si="83"/>
        <v>2023</v>
      </c>
      <c r="AF115">
        <f t="shared" si="84"/>
        <v>2016.3333333333333</v>
      </c>
      <c r="AG115">
        <f>'[24]2184 Other Equipment'!$P$4+('[24]2184 Other Equipment'!$P$3/12)</f>
        <v>2014</v>
      </c>
      <c r="AH115">
        <f t="shared" si="85"/>
        <v>-8.3333333333333329E-2</v>
      </c>
      <c r="AJ115">
        <f t="shared" si="86"/>
        <v>2454.2199000000001</v>
      </c>
      <c r="AL115">
        <f t="shared" si="87"/>
        <v>9430.1540399997721</v>
      </c>
      <c r="AN115">
        <f t="shared" si="88"/>
        <v>0</v>
      </c>
      <c r="AP115">
        <f t="shared" si="89"/>
        <v>9623.5168199998861</v>
      </c>
      <c r="AR115">
        <f t="shared" si="90"/>
        <v>9623.5168199998861</v>
      </c>
    </row>
    <row r="116" spans="1:44">
      <c r="B116">
        <v>7699</v>
      </c>
      <c r="C116" t="s">
        <v>582</v>
      </c>
      <c r="D116">
        <v>128432</v>
      </c>
      <c r="E116">
        <v>2015</v>
      </c>
      <c r="F116">
        <v>12</v>
      </c>
      <c r="G116">
        <v>0.2</v>
      </c>
      <c r="I116" t="s">
        <v>78</v>
      </c>
      <c r="J116">
        <v>7</v>
      </c>
      <c r="K116">
        <f t="shared" si="70"/>
        <v>2022</v>
      </c>
      <c r="N116">
        <v>11848.3</v>
      </c>
      <c r="P116">
        <f t="shared" si="71"/>
        <v>9478.64</v>
      </c>
      <c r="Q116">
        <f t="shared" si="72"/>
        <v>112.84095238095237</v>
      </c>
      <c r="R116">
        <f t="shared" si="73"/>
        <v>12073.981904762006</v>
      </c>
      <c r="S116">
        <f t="shared" si="74"/>
        <v>0</v>
      </c>
      <c r="T116">
        <f t="shared" si="75"/>
        <v>12073.981904762006</v>
      </c>
      <c r="U116">
        <v>1</v>
      </c>
      <c r="V116">
        <f t="shared" si="76"/>
        <v>12073.981904762006</v>
      </c>
      <c r="X116">
        <f t="shared" si="77"/>
        <v>-2595.3419047620064</v>
      </c>
      <c r="Y116">
        <f t="shared" si="78"/>
        <v>-2595.3419047620064</v>
      </c>
      <c r="Z116">
        <v>1</v>
      </c>
      <c r="AA116">
        <f t="shared" si="79"/>
        <v>-2595.3419047620064</v>
      </c>
      <c r="AB116">
        <f t="shared" si="80"/>
        <v>9478.64</v>
      </c>
      <c r="AC116">
        <f t="shared" si="81"/>
        <v>1184.83</v>
      </c>
      <c r="AD116">
        <f t="shared" si="82"/>
        <v>2015.9166666666667</v>
      </c>
      <c r="AE116">
        <f t="shared" si="83"/>
        <v>2023</v>
      </c>
      <c r="AF116">
        <f t="shared" si="84"/>
        <v>2022.9166666666667</v>
      </c>
      <c r="AG116">
        <f>'[24]2184 Other Equipment'!$P$4+('[24]2184 Other Equipment'!$P$3/12)</f>
        <v>2014</v>
      </c>
      <c r="AH116">
        <f t="shared" si="85"/>
        <v>-8.3333333333333329E-2</v>
      </c>
      <c r="AJ116">
        <f t="shared" si="86"/>
        <v>265.75626168224073</v>
      </c>
      <c r="AL116">
        <f t="shared" si="87"/>
        <v>12339.738166444247</v>
      </c>
      <c r="AN116">
        <f t="shared" si="88"/>
        <v>0</v>
      </c>
      <c r="AP116">
        <f t="shared" si="89"/>
        <v>1051.9518691588792</v>
      </c>
      <c r="AR116">
        <f t="shared" si="90"/>
        <v>1051.9518691588792</v>
      </c>
    </row>
    <row r="117" spans="1:44">
      <c r="B117">
        <v>6056</v>
      </c>
      <c r="C117" t="s">
        <v>603</v>
      </c>
      <c r="D117" t="s">
        <v>604</v>
      </c>
      <c r="E117">
        <v>2016</v>
      </c>
      <c r="F117">
        <v>9</v>
      </c>
      <c r="G117">
        <v>0</v>
      </c>
      <c r="I117" t="s">
        <v>78</v>
      </c>
      <c r="J117">
        <v>4</v>
      </c>
      <c r="K117">
        <f t="shared" si="70"/>
        <v>2020</v>
      </c>
      <c r="N117">
        <f>29202.25+2673.24</f>
        <v>31875.489999999998</v>
      </c>
      <c r="P117">
        <f t="shared" si="71"/>
        <v>31875.489999999998</v>
      </c>
      <c r="Q117">
        <f t="shared" si="72"/>
        <v>664.07270833333325</v>
      </c>
      <c r="R117">
        <f t="shared" si="73"/>
        <v>53125.816666667262</v>
      </c>
      <c r="S117">
        <f t="shared" si="74"/>
        <v>0</v>
      </c>
      <c r="T117">
        <f t="shared" si="75"/>
        <v>53125.816666667262</v>
      </c>
      <c r="U117">
        <v>1</v>
      </c>
      <c r="V117">
        <f t="shared" si="76"/>
        <v>53125.816666667262</v>
      </c>
      <c r="X117">
        <f t="shared" si="77"/>
        <v>-21250.326666667264</v>
      </c>
      <c r="Y117">
        <f t="shared" si="78"/>
        <v>-21250.326666667264</v>
      </c>
      <c r="Z117">
        <v>1</v>
      </c>
      <c r="AA117">
        <f t="shared" si="79"/>
        <v>-21250.326666667264</v>
      </c>
      <c r="AB117">
        <f t="shared" si="80"/>
        <v>31875.489999999998</v>
      </c>
      <c r="AC117">
        <f t="shared" si="81"/>
        <v>0</v>
      </c>
      <c r="AD117">
        <f t="shared" si="82"/>
        <v>2016.6666666666667</v>
      </c>
      <c r="AE117">
        <f t="shared" si="83"/>
        <v>2023</v>
      </c>
      <c r="AF117">
        <f t="shared" si="84"/>
        <v>2020.6666666666667</v>
      </c>
      <c r="AG117">
        <f>'[24]2184 Other Equipment'!$P$4+('[24]2184 Other Equipment'!$P$3/12)</f>
        <v>2014</v>
      </c>
      <c r="AH117">
        <f t="shared" si="85"/>
        <v>-8.3333333333333329E-2</v>
      </c>
      <c r="AJ117">
        <f t="shared" si="86"/>
        <v>0</v>
      </c>
      <c r="AL117">
        <f t="shared" si="87"/>
        <v>53125.816666667262</v>
      </c>
      <c r="AN117">
        <f t="shared" si="88"/>
        <v>0</v>
      </c>
      <c r="AP117">
        <f t="shared" si="89"/>
        <v>0</v>
      </c>
      <c r="AR117">
        <f t="shared" si="90"/>
        <v>0</v>
      </c>
    </row>
    <row r="118" spans="1:44">
      <c r="C118" t="s">
        <v>316</v>
      </c>
    </row>
    <row r="119" spans="1:44">
      <c r="C119" t="s">
        <v>2</v>
      </c>
      <c r="N119">
        <f>SUM(N112:N118)</f>
        <v>136432.9</v>
      </c>
      <c r="P119">
        <f>SUM(P112:P118)</f>
        <v>105563.35430000001</v>
      </c>
      <c r="Q119">
        <f>SUM(Q112:Q118)</f>
        <v>1847.0673990476189</v>
      </c>
      <c r="R119">
        <f>SUM(R112:R118)</f>
        <v>72175.732711429038</v>
      </c>
      <c r="S119">
        <f>SUM(S55:S118)</f>
        <v>0</v>
      </c>
      <c r="T119">
        <f>SUM(T112:T118)</f>
        <v>72175.732711429038</v>
      </c>
      <c r="V119">
        <f>SUM(V112:V118)</f>
        <v>72175.732711429038</v>
      </c>
      <c r="X119">
        <f>SUM(X112:X118)</f>
        <v>33387.621588570961</v>
      </c>
      <c r="Y119">
        <f>SUM(Y112:Y118)</f>
        <v>33387.621588570961</v>
      </c>
      <c r="AA119">
        <f>SUM(AA112:AA118)</f>
        <v>33387.621588570961</v>
      </c>
      <c r="AB119">
        <f>SUM(AB112:AB118)</f>
        <v>105563.35430000001</v>
      </c>
      <c r="AC119">
        <f>SUM(AC112:AC118)</f>
        <v>33172.68276999989</v>
      </c>
      <c r="AJ119">
        <f t="shared" ref="AJ119:AR119" si="91">SUM(AJ112:AJ118)</f>
        <v>9765.7181616822418</v>
      </c>
      <c r="AK119">
        <f t="shared" si="91"/>
        <v>0</v>
      </c>
      <c r="AL119">
        <f t="shared" si="91"/>
        <v>81941.450873111287</v>
      </c>
      <c r="AM119">
        <f t="shared" si="91"/>
        <v>0</v>
      </c>
      <c r="AN119">
        <f t="shared" si="91"/>
        <v>-21137.226000000002</v>
      </c>
      <c r="AO119">
        <f t="shared" si="91"/>
        <v>0</v>
      </c>
      <c r="AP119">
        <f t="shared" si="91"/>
        <v>10675.468689158766</v>
      </c>
      <c r="AQ119">
        <f t="shared" si="91"/>
        <v>0</v>
      </c>
      <c r="AR119">
        <f t="shared" si="91"/>
        <v>10675.468689158766</v>
      </c>
    </row>
    <row r="120" spans="1:44">
      <c r="C120" t="s">
        <v>316</v>
      </c>
    </row>
    <row r="121" spans="1:44">
      <c r="C121" t="s">
        <v>316</v>
      </c>
    </row>
    <row r="122" spans="1:44">
      <c r="C122" t="s">
        <v>409</v>
      </c>
    </row>
    <row r="123" spans="1:44">
      <c r="C123" t="s">
        <v>316</v>
      </c>
    </row>
    <row r="124" spans="1:44">
      <c r="C124" t="s">
        <v>211</v>
      </c>
      <c r="E124">
        <v>2000</v>
      </c>
      <c r="F124">
        <v>6</v>
      </c>
      <c r="G124">
        <v>0</v>
      </c>
      <c r="I124" t="s">
        <v>78</v>
      </c>
      <c r="J124">
        <v>5</v>
      </c>
      <c r="K124">
        <f>E124+J124</f>
        <v>2005</v>
      </c>
      <c r="N124">
        <v>1538.86</v>
      </c>
      <c r="O124">
        <v>0</v>
      </c>
      <c r="P124">
        <f>N124-N124*G124</f>
        <v>1538.86</v>
      </c>
      <c r="Q124">
        <f>P124/J124/12</f>
        <v>25.647666666666666</v>
      </c>
      <c r="R124">
        <f>IF(O124&gt;0,0,IF(OR(AD124&gt;AE124,AF124&lt;AG124),0,IF(AND(AF124&gt;=AG124,AF124&lt;=AE124),Q124*((AF124-AG124)*12),IF(AND(AG124&lt;=AD124,AE124&gt;=AD124),((AE124-AD124)*12)*Q124,IF(AF124&gt;AE124,12*Q124,0)))))</f>
        <v>0</v>
      </c>
      <c r="S124">
        <f>IF(O124=0,0,IF(AND(AH124&gt;=AG124,AH124&lt;=AF124),((AH124-AG124)*12)*Q124,0))</f>
        <v>0</v>
      </c>
      <c r="T124">
        <f>IF(S124&gt;0,S124,R124)</f>
        <v>0</v>
      </c>
      <c r="U124">
        <v>1</v>
      </c>
      <c r="V124">
        <f>U124*SUM(R124:S124)</f>
        <v>0</v>
      </c>
      <c r="X124">
        <f>IF(AD124&gt;AE124,0,IF(AF124&lt;AG124,P124,IF(AND(AF124&gt;=AG124,AF124&lt;=AE124),(P124-T124),IF(AND(AG124&lt;=AD124,AE124&gt;=AD124),0,IF(AF124&gt;AE124,((AG124-AD124)*12)*Q124,0)))))</f>
        <v>1538.86</v>
      </c>
      <c r="Y124">
        <f>X124*U124</f>
        <v>1538.86</v>
      </c>
      <c r="Z124">
        <v>1</v>
      </c>
      <c r="AA124">
        <f>Y124*Z124</f>
        <v>1538.86</v>
      </c>
      <c r="AB124">
        <f>IF(O124&gt;0,0,AA124+V124*Z124)*Z124</f>
        <v>1538.86</v>
      </c>
      <c r="AC124">
        <f>IF(O124&gt;0,(N124-AA124)/2,IF(AD124&gt;=AG124,(((N124*U124)*Z124)-AB124)/2,((((N124*U124)*Z124)-AA124)+(((N124*U124)*Z124)-AB124))/2))</f>
        <v>0</v>
      </c>
      <c r="AD124">
        <f t="shared" ref="AD124:AD153" si="92">$E124+(($F124-1)/12)</f>
        <v>2000.4166666666667</v>
      </c>
      <c r="AE124">
        <f t="shared" ref="AE124:AE210" si="93">($P$5+1)-($P$2/12)</f>
        <v>2023</v>
      </c>
      <c r="AF124">
        <f t="shared" ref="AF124:AF153" si="94">$K124+(($F124-1)/12)</f>
        <v>2005.4166666666667</v>
      </c>
      <c r="AG124">
        <f t="shared" ref="AG124:AG210" si="95">$P$4+($P$3/12)</f>
        <v>2190.4166666666665</v>
      </c>
      <c r="AH124">
        <f t="shared" ref="AH124:AH153" si="96">$L124+(($M124-1)/12)</f>
        <v>-8.3333333333333329E-2</v>
      </c>
      <c r="AJ124">
        <f>+IF((AF124-AG124)&gt;3,((N124-P124)/(AF124-AG124)),(N124-P124)/3)</f>
        <v>0</v>
      </c>
      <c r="AL124">
        <f>+AJ124+V124</f>
        <v>0</v>
      </c>
      <c r="AN124">
        <f>+IF(AF124&lt;AG124,-AC124,0)</f>
        <v>0</v>
      </c>
      <c r="AP124">
        <f>IF(AF124&gt;AG124,IF(AJ124&gt;0,IF(O124&gt;0,(N124-AA124)/2,IF(AD124&gt;=AG124,(((N124*U124)*Z124)-(AB124+AJ124))/2,((((N124*U124)*Z124)-AA124)+(((N124*U124)*Z124)-(AB124+AJ124)))/2)),0),0)</f>
        <v>0</v>
      </c>
      <c r="AR124">
        <f>+AC124+AN124+(IF(AP124&gt;0,(AP124-AC124),0))</f>
        <v>0</v>
      </c>
    </row>
    <row r="125" spans="1:44">
      <c r="C125" t="s">
        <v>210</v>
      </c>
      <c r="E125">
        <v>2000</v>
      </c>
      <c r="F125">
        <v>6</v>
      </c>
      <c r="G125">
        <v>0</v>
      </c>
      <c r="I125" t="s">
        <v>78</v>
      </c>
      <c r="J125">
        <v>5</v>
      </c>
      <c r="K125">
        <f>E125+J125</f>
        <v>2005</v>
      </c>
      <c r="N125">
        <v>12191.81</v>
      </c>
      <c r="O125">
        <v>0</v>
      </c>
      <c r="P125">
        <f>N125-N125*G125</f>
        <v>12191.81</v>
      </c>
      <c r="Q125">
        <f>P125/J125/12</f>
        <v>203.19683333333333</v>
      </c>
      <c r="R125">
        <f>IF(O125&gt;0,0,IF(OR(AD125&gt;AE125,AF125&lt;AG125),0,IF(AND(AF125&gt;=AG125,AF125&lt;=AE125),Q125*((AF125-AG125)*12),IF(AND(AG125&lt;=AD125,AE125&gt;=AD125),((AE125-AD125)*12)*Q125,IF(AF125&gt;AE125,12*Q125,0)))))</f>
        <v>0</v>
      </c>
      <c r="S125">
        <f>IF(O125=0,0,IF(AND(AH125&gt;=AG125,AH125&lt;=AF125),((AH125-AG125)*12)*Q125,0))</f>
        <v>0</v>
      </c>
      <c r="T125">
        <f>IF(S125&gt;0,S125,R125)</f>
        <v>0</v>
      </c>
      <c r="U125">
        <v>1</v>
      </c>
      <c r="V125">
        <f>U125*SUM(R125:S125)</f>
        <v>0</v>
      </c>
      <c r="X125">
        <f>IF(AD125&gt;AE125,0,IF(AF125&lt;AG125,P125,IF(AND(AF125&gt;=AG125,AF125&lt;=AE125),(P125-T125),IF(AND(AG125&lt;=AD125,AE125&gt;=AD125),0,IF(AF125&gt;AE125,((AG125-AD125)*12)*Q125,0)))))</f>
        <v>12191.81</v>
      </c>
      <c r="Y125">
        <f>X125*U125</f>
        <v>12191.81</v>
      </c>
      <c r="Z125">
        <v>1</v>
      </c>
      <c r="AA125">
        <f>Y125*Z125</f>
        <v>12191.81</v>
      </c>
      <c r="AB125">
        <f>IF(O125&gt;0,0,AA125+V125*Z125)*Z125</f>
        <v>12191.81</v>
      </c>
      <c r="AC125">
        <f>IF(O125&gt;0,(N125-AA125)/2,IF(AD125&gt;=AG125,(((N125*U125)*Z125)-AB125)/2,((((N125*U125)*Z125)-AA125)+(((N125*U125)*Z125)-AB125))/2))</f>
        <v>0</v>
      </c>
      <c r="AD125">
        <f t="shared" si="92"/>
        <v>2000.4166666666667</v>
      </c>
      <c r="AE125">
        <f t="shared" si="93"/>
        <v>2023</v>
      </c>
      <c r="AF125">
        <f t="shared" si="94"/>
        <v>2005.4166666666667</v>
      </c>
      <c r="AG125">
        <f t="shared" si="95"/>
        <v>2190.4166666666665</v>
      </c>
      <c r="AH125">
        <f t="shared" si="96"/>
        <v>-8.3333333333333329E-2</v>
      </c>
      <c r="AJ125">
        <f t="shared" ref="AJ125:AJ152" si="97">+IF((AF125-AG125)&gt;3,((N125-P125)/(AF125-AG125)),(N125-P125)/3)</f>
        <v>0</v>
      </c>
      <c r="AL125">
        <f t="shared" ref="AL125:AL152" si="98">+AJ125+V125</f>
        <v>0</v>
      </c>
      <c r="AN125">
        <f t="shared" ref="AN125:AN152" si="99">+IF(AF125&lt;AG125,-AC125,0)</f>
        <v>0</v>
      </c>
      <c r="AP125">
        <f t="shared" ref="AP125:AP152" si="100">IF(AF125&gt;AG125,IF(AJ125&gt;0,IF(O125&gt;0,(N125-AA125)/2,IF(AD125&gt;=AG125,(((N125*U125)*Z125)-(AB125+AJ125))/2,((((N125*U125)*Z125)-AA125)+(((N125*U125)*Z125)-(AB125+AJ125)))/2)),0),0)</f>
        <v>0</v>
      </c>
      <c r="AR125">
        <f t="shared" ref="AR125:AR152" si="101">+AC125+AN125+(IF(AP125&gt;0,(AP125-AC125),0))</f>
        <v>0</v>
      </c>
    </row>
    <row r="126" spans="1:44">
      <c r="C126" t="s">
        <v>309</v>
      </c>
      <c r="E126">
        <v>2004</v>
      </c>
      <c r="F126">
        <v>6</v>
      </c>
      <c r="G126">
        <v>0</v>
      </c>
      <c r="I126" t="s">
        <v>78</v>
      </c>
      <c r="J126">
        <v>5</v>
      </c>
      <c r="K126">
        <f>E126+J126</f>
        <v>2009</v>
      </c>
      <c r="N126">
        <v>7911.04</v>
      </c>
      <c r="O126">
        <v>0</v>
      </c>
      <c r="P126">
        <f>N126-N126*G126</f>
        <v>7911.04</v>
      </c>
      <c r="Q126">
        <f>P126/J126/12</f>
        <v>131.85066666666668</v>
      </c>
      <c r="R126">
        <f>IF(O126&gt;0,0,IF(OR(AD126&gt;AE126,AF126&lt;AG126),0,IF(AND(AF126&gt;=AG126,AF126&lt;=AE126),Q126*((AF126-AG126)*12),IF(AND(AG126&lt;=AD126,AE126&gt;=AD126),((AE126-AD126)*12)*Q126,IF(AF126&gt;AE126,12*Q126,0)))))</f>
        <v>0</v>
      </c>
      <c r="S126">
        <f>IF(O126=0,0,IF(AND(AH126&gt;=AG126,AH126&lt;=AF126),((AH126-AG126)*12)*Q126,0))</f>
        <v>0</v>
      </c>
      <c r="T126">
        <f>IF(S126&gt;0,S126,R126)</f>
        <v>0</v>
      </c>
      <c r="U126">
        <v>1</v>
      </c>
      <c r="V126">
        <f>U126*SUM(R126:S126)</f>
        <v>0</v>
      </c>
      <c r="X126">
        <f>IF(AD126&gt;AE126,0,IF(AF126&lt;AG126,P126,IF(AND(AF126&gt;=AG126,AF126&lt;=AE126),(P126-T126),IF(AND(AG126&lt;=AD126,AE126&gt;=AD126),0,IF(AF126&gt;AE126,((AG126-AD126)*12)*Q126,0)))))</f>
        <v>7911.04</v>
      </c>
      <c r="Y126">
        <f>X126*U126</f>
        <v>7911.04</v>
      </c>
      <c r="Z126">
        <v>1</v>
      </c>
      <c r="AA126">
        <f>Y126*Z126</f>
        <v>7911.04</v>
      </c>
      <c r="AB126">
        <f>IF(O126&gt;0,0,AA126+V126*Z126)*Z126</f>
        <v>7911.04</v>
      </c>
      <c r="AC126">
        <f>IF(O126&gt;0,(N126-AA126)/2,IF(AD126&gt;=AG126,(((N126*U126)*Z126)-AB126)/2,((((N126*U126)*Z126)-AA126)+(((N126*U126)*Z126)-AB126))/2))</f>
        <v>0</v>
      </c>
      <c r="AD126">
        <f t="shared" si="92"/>
        <v>2004.4166666666667</v>
      </c>
      <c r="AE126">
        <f t="shared" si="93"/>
        <v>2023</v>
      </c>
      <c r="AF126">
        <f t="shared" si="94"/>
        <v>2009.4166666666667</v>
      </c>
      <c r="AG126">
        <f t="shared" si="95"/>
        <v>2190.4166666666665</v>
      </c>
      <c r="AH126">
        <f t="shared" si="96"/>
        <v>-8.3333333333333329E-2</v>
      </c>
      <c r="AJ126">
        <f t="shared" si="97"/>
        <v>0</v>
      </c>
      <c r="AL126">
        <f t="shared" si="98"/>
        <v>0</v>
      </c>
      <c r="AN126">
        <f t="shared" si="99"/>
        <v>0</v>
      </c>
      <c r="AP126">
        <f t="shared" si="100"/>
        <v>0</v>
      </c>
      <c r="AR126">
        <f t="shared" si="101"/>
        <v>0</v>
      </c>
    </row>
    <row r="127" spans="1:44">
      <c r="C127" t="s">
        <v>310</v>
      </c>
      <c r="E127">
        <v>2006</v>
      </c>
      <c r="F127">
        <v>3</v>
      </c>
      <c r="G127">
        <v>0</v>
      </c>
      <c r="I127" t="s">
        <v>78</v>
      </c>
      <c r="J127">
        <v>5</v>
      </c>
      <c r="K127">
        <f>E127+J127</f>
        <v>2011</v>
      </c>
      <c r="N127">
        <v>3359.32</v>
      </c>
      <c r="O127">
        <v>0</v>
      </c>
      <c r="P127">
        <f>N127-N127*G127</f>
        <v>3359.32</v>
      </c>
      <c r="Q127">
        <f>P127/J127/12</f>
        <v>55.988666666666667</v>
      </c>
      <c r="R127">
        <f>IF(O127&gt;0,0,IF(OR(AD127&gt;AE127,AF127&lt;AG127),0,IF(AND(AF127&gt;=AG127,AF127&lt;=AE127),Q127*((AF127-AG127)*12),IF(AND(AG127&lt;=AD127,AE127&gt;=AD127),((AE127-AD127)*12)*Q127,IF(AF127&gt;AE127,12*Q127,0)))))</f>
        <v>0</v>
      </c>
      <c r="S127">
        <f>IF(O127=0,0,IF(AND(AH127&gt;=AG127,AH127&lt;=AF127),((AH127-AG127)*12)*Q127,0))</f>
        <v>0</v>
      </c>
      <c r="T127">
        <f>IF(S127&gt;0,S127,R127)</f>
        <v>0</v>
      </c>
      <c r="U127">
        <v>1</v>
      </c>
      <c r="V127">
        <f>U127*SUM(R127:S127)</f>
        <v>0</v>
      </c>
      <c r="X127">
        <f>IF(AD127&gt;AE127,0,IF(AF127&lt;AG127,P127,IF(AND(AF127&gt;=AG127,AF127&lt;=AE127),(P127-T127),IF(AND(AG127&lt;=AD127,AE127&gt;=AD127),0,IF(AF127&gt;AE127,((AG127-AD127)*12)*Q127,0)))))</f>
        <v>3359.32</v>
      </c>
      <c r="Y127">
        <f>X127*U127</f>
        <v>3359.32</v>
      </c>
      <c r="Z127">
        <v>1</v>
      </c>
      <c r="AA127">
        <f>Y127*Z127</f>
        <v>3359.32</v>
      </c>
      <c r="AB127">
        <f>IF(O127&gt;0,0,AA127+V127*Z127)*Z127</f>
        <v>3359.32</v>
      </c>
      <c r="AC127">
        <f>IF(O127&gt;0,(N127-AA127)/2,IF(AD127&gt;=AG127,(((N127*U127)*Z127)-AB127)/2,((((N127*U127)*Z127)-AA127)+(((N127*U127)*Z127)-AB127))/2))</f>
        <v>0</v>
      </c>
      <c r="AD127">
        <f t="shared" si="92"/>
        <v>2006.1666666666667</v>
      </c>
      <c r="AE127">
        <f t="shared" si="93"/>
        <v>2023</v>
      </c>
      <c r="AF127">
        <f t="shared" si="94"/>
        <v>2011.1666666666667</v>
      </c>
      <c r="AG127">
        <f t="shared" si="95"/>
        <v>2190.4166666666665</v>
      </c>
      <c r="AH127">
        <f t="shared" si="96"/>
        <v>-8.3333333333333329E-2</v>
      </c>
      <c r="AJ127">
        <f t="shared" si="97"/>
        <v>0</v>
      </c>
      <c r="AL127">
        <f t="shared" si="98"/>
        <v>0</v>
      </c>
      <c r="AN127">
        <f t="shared" si="99"/>
        <v>0</v>
      </c>
      <c r="AP127">
        <f t="shared" si="100"/>
        <v>0</v>
      </c>
      <c r="AR127">
        <f t="shared" si="101"/>
        <v>0</v>
      </c>
    </row>
    <row r="128" spans="1:44">
      <c r="C128" t="s">
        <v>88</v>
      </c>
      <c r="E128">
        <v>2007</v>
      </c>
      <c r="F128">
        <v>4</v>
      </c>
      <c r="G128">
        <v>0</v>
      </c>
      <c r="I128" t="s">
        <v>78</v>
      </c>
      <c r="J128">
        <v>5</v>
      </c>
      <c r="K128">
        <f t="shared" ref="K128:K153" si="102">E128+J128</f>
        <v>2012</v>
      </c>
      <c r="N128">
        <v>8029.33</v>
      </c>
      <c r="O128">
        <v>0</v>
      </c>
      <c r="P128">
        <f>N128-N128*G128</f>
        <v>8029.33</v>
      </c>
      <c r="Q128">
        <f>P128/J128/12</f>
        <v>133.82216666666667</v>
      </c>
      <c r="R128">
        <f>IF(O128&gt;0,0,IF(OR(AD128&gt;AE128,AF128&lt;AG128),0,IF(AND(AF128&gt;=AG128,AF128&lt;=AE128),Q128*((AF128-AG128)*12),IF(AND(AG128&lt;=AD128,AE128&gt;=AD128),((AE128-AD128)*12)*Q128,IF(AF128&gt;AE128,12*Q128,0)))))</f>
        <v>0</v>
      </c>
      <c r="S128">
        <f>IF(O128=0,0,IF(AND(AH128&gt;=AG128,AH128&lt;=AF128),((AH128-AG128)*12)*Q128,0))</f>
        <v>0</v>
      </c>
      <c r="T128">
        <f>IF(S128&gt;0,S128,R128)</f>
        <v>0</v>
      </c>
      <c r="U128">
        <v>1</v>
      </c>
      <c r="V128">
        <f>U128*SUM(R128:S128)</f>
        <v>0</v>
      </c>
      <c r="X128">
        <f>IF(AD128&gt;AE128,0,IF(AF128&lt;AG128,P128,IF(AND(AF128&gt;=AG128,AF128&lt;=AE128),(P128-T128),IF(AND(AG128&lt;=AD128,AE128&gt;=AD128),0,IF(AF128&gt;AE128,((AG128-AD128)*12)*Q128,0)))))</f>
        <v>8029.33</v>
      </c>
      <c r="Y128">
        <f>X128*U128</f>
        <v>8029.33</v>
      </c>
      <c r="Z128">
        <v>1</v>
      </c>
      <c r="AA128">
        <f>Y128*Z128</f>
        <v>8029.33</v>
      </c>
      <c r="AB128">
        <f>IF(O128&gt;0,0,AA128+V128*Z128)*Z128</f>
        <v>8029.33</v>
      </c>
      <c r="AC128">
        <f>IF(O128&gt;0,(N128-AA128)/2,IF(AD128&gt;=AG128,(((N128*U128)*Z128)-AB128)/2,((((N128*U128)*Z128)-AA128)+(((N128*U128)*Z128)-AB128))/2))</f>
        <v>0</v>
      </c>
      <c r="AD128">
        <f t="shared" si="92"/>
        <v>2007.25</v>
      </c>
      <c r="AE128">
        <f t="shared" si="93"/>
        <v>2023</v>
      </c>
      <c r="AF128">
        <f t="shared" si="94"/>
        <v>2012.25</v>
      </c>
      <c r="AG128">
        <f t="shared" si="95"/>
        <v>2190.4166666666665</v>
      </c>
      <c r="AH128">
        <f t="shared" si="96"/>
        <v>-8.3333333333333329E-2</v>
      </c>
      <c r="AJ128">
        <f t="shared" si="97"/>
        <v>0</v>
      </c>
      <c r="AL128">
        <f t="shared" si="98"/>
        <v>0</v>
      </c>
      <c r="AN128">
        <f t="shared" si="99"/>
        <v>0</v>
      </c>
      <c r="AP128">
        <f t="shared" si="100"/>
        <v>0</v>
      </c>
      <c r="AR128">
        <f t="shared" si="101"/>
        <v>0</v>
      </c>
    </row>
    <row r="129" spans="2:44">
      <c r="B129">
        <v>7</v>
      </c>
      <c r="C129" t="s">
        <v>417</v>
      </c>
      <c r="D129">
        <v>76066</v>
      </c>
      <c r="E129">
        <v>2010</v>
      </c>
      <c r="F129">
        <v>7</v>
      </c>
      <c r="G129">
        <v>0</v>
      </c>
      <c r="I129" t="s">
        <v>78</v>
      </c>
      <c r="J129">
        <v>3</v>
      </c>
      <c r="K129">
        <f t="shared" si="102"/>
        <v>2013</v>
      </c>
      <c r="N129">
        <v>1808.47</v>
      </c>
      <c r="O129">
        <v>0</v>
      </c>
      <c r="P129">
        <f t="shared" ref="P129:P153" si="103">N129-N129*G129</f>
        <v>1808.47</v>
      </c>
      <c r="Q129">
        <f t="shared" ref="Q129:Q153" si="104">P129/J129/12</f>
        <v>50.235277777777782</v>
      </c>
      <c r="R129">
        <f t="shared" ref="R129:R150" si="105">IF(O129&gt;0,0,IF(OR(AD129&gt;AE129,AF129&lt;AG129),0,IF(AND(AF129&gt;=AG129,AF129&lt;=AE129),Q129*((AF129-AG129)*12),IF(AND(AG129&lt;=AD129,AE129&gt;=AD129),((AE129-AD129)*12)*Q129,IF(AF129&gt;AE129,12*Q129,0)))))</f>
        <v>0</v>
      </c>
      <c r="S129">
        <f t="shared" ref="S129:S150" si="106">IF(O129=0,0,IF(AND(AH129&gt;=AG129,AH129&lt;=AF129),((AH129-AG129)*12)*Q129,0))</f>
        <v>0</v>
      </c>
      <c r="T129">
        <f t="shared" ref="T129:T150" si="107">IF(S129&gt;0,S129,R129)</f>
        <v>0</v>
      </c>
      <c r="U129">
        <v>1</v>
      </c>
      <c r="V129">
        <f t="shared" ref="V129:V150" si="108">U129*SUM(R129:S129)</f>
        <v>0</v>
      </c>
      <c r="X129">
        <f t="shared" ref="X129:X150" si="109">IF(AD129&gt;AE129,0,IF(AF129&lt;AG129,P129,IF(AND(AF129&gt;=AG129,AF129&lt;=AE129),(P129-T129),IF(AND(AG129&lt;=AD129,AE129&gt;=AD129),0,IF(AF129&gt;AE129,((AG129-AD129)*12)*Q129,0)))))</f>
        <v>1808.47</v>
      </c>
      <c r="Y129">
        <f t="shared" ref="Y129:Y150" si="110">X129*U129</f>
        <v>1808.47</v>
      </c>
      <c r="Z129">
        <v>1</v>
      </c>
      <c r="AA129">
        <f t="shared" ref="AA129:AA150" si="111">Y129*Z129</f>
        <v>1808.47</v>
      </c>
      <c r="AB129">
        <f t="shared" ref="AB129:AB150" si="112">IF(O129&gt;0,0,AA129+V129*Z129)*Z129</f>
        <v>1808.47</v>
      </c>
      <c r="AC129">
        <f t="shared" ref="AC129:AC150" si="113">IF(O129&gt;0,(N129-AA129)/2,IF(AD129&gt;=AG129,(((N129*U129)*Z129)-AB129)/2,((((N129*U129)*Z129)-AA129)+(((N129*U129)*Z129)-AB129))/2))</f>
        <v>0</v>
      </c>
      <c r="AD129">
        <f t="shared" si="92"/>
        <v>2010.5</v>
      </c>
      <c r="AE129">
        <f t="shared" si="93"/>
        <v>2023</v>
      </c>
      <c r="AF129">
        <f t="shared" si="94"/>
        <v>2013.5</v>
      </c>
      <c r="AG129">
        <f t="shared" si="95"/>
        <v>2190.4166666666665</v>
      </c>
      <c r="AH129">
        <f t="shared" si="96"/>
        <v>-8.3333333333333329E-2</v>
      </c>
      <c r="AJ129">
        <f t="shared" si="97"/>
        <v>0</v>
      </c>
      <c r="AL129">
        <f t="shared" si="98"/>
        <v>0</v>
      </c>
      <c r="AN129">
        <f t="shared" si="99"/>
        <v>0</v>
      </c>
      <c r="AP129">
        <f t="shared" si="100"/>
        <v>0</v>
      </c>
      <c r="AR129">
        <f t="shared" si="101"/>
        <v>0</v>
      </c>
    </row>
    <row r="130" spans="2:44">
      <c r="C130" t="s">
        <v>418</v>
      </c>
      <c r="D130">
        <v>78978</v>
      </c>
      <c r="E130">
        <v>2010</v>
      </c>
      <c r="F130">
        <v>12</v>
      </c>
      <c r="G130">
        <v>0</v>
      </c>
      <c r="I130" t="s">
        <v>78</v>
      </c>
      <c r="J130">
        <v>5</v>
      </c>
      <c r="K130">
        <f t="shared" si="102"/>
        <v>2015</v>
      </c>
      <c r="N130">
        <v>92323.91</v>
      </c>
      <c r="O130">
        <v>0</v>
      </c>
      <c r="P130">
        <f t="shared" si="103"/>
        <v>92323.91</v>
      </c>
      <c r="Q130">
        <f t="shared" si="104"/>
        <v>1538.7318333333333</v>
      </c>
      <c r="R130">
        <f t="shared" si="105"/>
        <v>0</v>
      </c>
      <c r="S130">
        <f t="shared" si="106"/>
        <v>0</v>
      </c>
      <c r="T130">
        <f t="shared" si="107"/>
        <v>0</v>
      </c>
      <c r="U130">
        <v>1</v>
      </c>
      <c r="V130">
        <f t="shared" si="108"/>
        <v>0</v>
      </c>
      <c r="X130">
        <f t="shared" si="109"/>
        <v>92323.91</v>
      </c>
      <c r="Y130">
        <f t="shared" si="110"/>
        <v>92323.91</v>
      </c>
      <c r="Z130">
        <v>1</v>
      </c>
      <c r="AA130">
        <f t="shared" si="111"/>
        <v>92323.91</v>
      </c>
      <c r="AB130">
        <f t="shared" si="112"/>
        <v>92323.91</v>
      </c>
      <c r="AC130">
        <f t="shared" si="113"/>
        <v>0</v>
      </c>
      <c r="AD130">
        <f t="shared" si="92"/>
        <v>2010.9166666666667</v>
      </c>
      <c r="AE130">
        <f t="shared" si="93"/>
        <v>2023</v>
      </c>
      <c r="AF130">
        <f t="shared" si="94"/>
        <v>2015.9166666666667</v>
      </c>
      <c r="AG130">
        <f t="shared" si="95"/>
        <v>2190.4166666666665</v>
      </c>
      <c r="AH130">
        <f t="shared" si="96"/>
        <v>-8.3333333333333329E-2</v>
      </c>
      <c r="AJ130">
        <f t="shared" si="97"/>
        <v>0</v>
      </c>
      <c r="AL130">
        <f t="shared" si="98"/>
        <v>0</v>
      </c>
      <c r="AN130">
        <f t="shared" si="99"/>
        <v>0</v>
      </c>
      <c r="AP130">
        <f t="shared" si="100"/>
        <v>0</v>
      </c>
      <c r="AR130">
        <f t="shared" si="101"/>
        <v>0</v>
      </c>
    </row>
    <row r="131" spans="2:44">
      <c r="B131">
        <v>26</v>
      </c>
      <c r="C131" t="s">
        <v>419</v>
      </c>
      <c r="D131">
        <v>79676</v>
      </c>
      <c r="E131">
        <v>2010</v>
      </c>
      <c r="F131">
        <v>12</v>
      </c>
      <c r="G131">
        <v>0</v>
      </c>
      <c r="I131" t="s">
        <v>78</v>
      </c>
      <c r="J131">
        <v>5</v>
      </c>
      <c r="K131">
        <f t="shared" si="102"/>
        <v>2015</v>
      </c>
      <c r="N131">
        <v>6347.25</v>
      </c>
      <c r="O131">
        <v>0</v>
      </c>
      <c r="P131">
        <f t="shared" si="103"/>
        <v>6347.25</v>
      </c>
      <c r="Q131">
        <f t="shared" si="104"/>
        <v>105.78750000000001</v>
      </c>
      <c r="R131">
        <f t="shared" si="105"/>
        <v>0</v>
      </c>
      <c r="S131">
        <f t="shared" si="106"/>
        <v>0</v>
      </c>
      <c r="T131">
        <f t="shared" si="107"/>
        <v>0</v>
      </c>
      <c r="U131">
        <v>1</v>
      </c>
      <c r="V131">
        <f t="shared" si="108"/>
        <v>0</v>
      </c>
      <c r="X131">
        <f t="shared" si="109"/>
        <v>6347.25</v>
      </c>
      <c r="Y131">
        <f t="shared" si="110"/>
        <v>6347.25</v>
      </c>
      <c r="Z131">
        <v>1</v>
      </c>
      <c r="AA131">
        <f t="shared" si="111"/>
        <v>6347.25</v>
      </c>
      <c r="AB131">
        <f t="shared" si="112"/>
        <v>6347.25</v>
      </c>
      <c r="AC131">
        <f t="shared" si="113"/>
        <v>0</v>
      </c>
      <c r="AD131">
        <f t="shared" si="92"/>
        <v>2010.9166666666667</v>
      </c>
      <c r="AE131">
        <f t="shared" si="93"/>
        <v>2023</v>
      </c>
      <c r="AF131">
        <f t="shared" si="94"/>
        <v>2015.9166666666667</v>
      </c>
      <c r="AG131">
        <f t="shared" si="95"/>
        <v>2190.4166666666665</v>
      </c>
      <c r="AH131">
        <f t="shared" si="96"/>
        <v>-8.3333333333333329E-2</v>
      </c>
      <c r="AJ131">
        <f t="shared" si="97"/>
        <v>0</v>
      </c>
      <c r="AL131">
        <f t="shared" si="98"/>
        <v>0</v>
      </c>
      <c r="AN131">
        <f t="shared" si="99"/>
        <v>0</v>
      </c>
      <c r="AP131">
        <f t="shared" si="100"/>
        <v>0</v>
      </c>
      <c r="AR131">
        <f t="shared" si="101"/>
        <v>0</v>
      </c>
    </row>
    <row r="132" spans="2:44">
      <c r="C132" t="s">
        <v>422</v>
      </c>
      <c r="D132">
        <v>77561</v>
      </c>
      <c r="E132">
        <v>2010</v>
      </c>
      <c r="F132">
        <v>10</v>
      </c>
      <c r="G132">
        <v>0</v>
      </c>
      <c r="I132" t="s">
        <v>78</v>
      </c>
      <c r="J132">
        <v>5</v>
      </c>
      <c r="K132">
        <f t="shared" si="102"/>
        <v>2015</v>
      </c>
      <c r="N132">
        <v>20775</v>
      </c>
      <c r="O132">
        <v>0</v>
      </c>
      <c r="P132">
        <f t="shared" si="103"/>
        <v>20775</v>
      </c>
      <c r="Q132">
        <f t="shared" si="104"/>
        <v>346.25</v>
      </c>
      <c r="R132">
        <f t="shared" si="105"/>
        <v>0</v>
      </c>
      <c r="S132">
        <f t="shared" si="106"/>
        <v>0</v>
      </c>
      <c r="T132">
        <f t="shared" si="107"/>
        <v>0</v>
      </c>
      <c r="U132">
        <v>1</v>
      </c>
      <c r="V132">
        <f t="shared" si="108"/>
        <v>0</v>
      </c>
      <c r="X132">
        <f t="shared" si="109"/>
        <v>20775</v>
      </c>
      <c r="Y132">
        <f t="shared" si="110"/>
        <v>20775</v>
      </c>
      <c r="Z132">
        <v>1</v>
      </c>
      <c r="AA132">
        <f t="shared" si="111"/>
        <v>20775</v>
      </c>
      <c r="AB132">
        <f t="shared" si="112"/>
        <v>20775</v>
      </c>
      <c r="AC132">
        <f t="shared" si="113"/>
        <v>0</v>
      </c>
      <c r="AD132">
        <f t="shared" si="92"/>
        <v>2010.75</v>
      </c>
      <c r="AE132">
        <f t="shared" si="93"/>
        <v>2023</v>
      </c>
      <c r="AF132">
        <f t="shared" si="94"/>
        <v>2015.75</v>
      </c>
      <c r="AG132">
        <f t="shared" si="95"/>
        <v>2190.4166666666665</v>
      </c>
      <c r="AH132">
        <f t="shared" si="96"/>
        <v>-8.3333333333333329E-2</v>
      </c>
      <c r="AJ132">
        <f t="shared" si="97"/>
        <v>0</v>
      </c>
      <c r="AL132">
        <f t="shared" si="98"/>
        <v>0</v>
      </c>
      <c r="AN132">
        <f t="shared" si="99"/>
        <v>0</v>
      </c>
      <c r="AP132">
        <f t="shared" si="100"/>
        <v>0</v>
      </c>
      <c r="AR132">
        <f t="shared" si="101"/>
        <v>0</v>
      </c>
    </row>
    <row r="133" spans="2:44">
      <c r="B133">
        <v>3</v>
      </c>
      <c r="C133" t="s">
        <v>427</v>
      </c>
      <c r="D133">
        <v>80385</v>
      </c>
      <c r="E133">
        <v>2011</v>
      </c>
      <c r="F133">
        <v>3</v>
      </c>
      <c r="G133">
        <v>0</v>
      </c>
      <c r="I133" t="s">
        <v>78</v>
      </c>
      <c r="J133">
        <v>5</v>
      </c>
      <c r="K133">
        <f t="shared" si="102"/>
        <v>2016</v>
      </c>
      <c r="N133">
        <v>2625</v>
      </c>
      <c r="O133">
        <v>0</v>
      </c>
      <c r="P133">
        <f t="shared" si="103"/>
        <v>2625</v>
      </c>
      <c r="Q133">
        <f t="shared" si="104"/>
        <v>43.75</v>
      </c>
      <c r="R133">
        <f t="shared" si="105"/>
        <v>0</v>
      </c>
      <c r="S133">
        <f t="shared" si="106"/>
        <v>0</v>
      </c>
      <c r="T133">
        <f t="shared" si="107"/>
        <v>0</v>
      </c>
      <c r="U133">
        <v>1</v>
      </c>
      <c r="V133">
        <f t="shared" si="108"/>
        <v>0</v>
      </c>
      <c r="X133">
        <f t="shared" si="109"/>
        <v>2625</v>
      </c>
      <c r="Y133">
        <f t="shared" si="110"/>
        <v>2625</v>
      </c>
      <c r="Z133">
        <v>1</v>
      </c>
      <c r="AA133">
        <f t="shared" si="111"/>
        <v>2625</v>
      </c>
      <c r="AB133">
        <f t="shared" si="112"/>
        <v>2625</v>
      </c>
      <c r="AC133">
        <f t="shared" si="113"/>
        <v>0</v>
      </c>
      <c r="AD133">
        <f t="shared" si="92"/>
        <v>2011.1666666666667</v>
      </c>
      <c r="AE133">
        <f t="shared" si="93"/>
        <v>2023</v>
      </c>
      <c r="AF133">
        <f t="shared" si="94"/>
        <v>2016.1666666666667</v>
      </c>
      <c r="AG133">
        <f t="shared" si="95"/>
        <v>2190.4166666666665</v>
      </c>
      <c r="AH133">
        <f t="shared" si="96"/>
        <v>-8.3333333333333329E-2</v>
      </c>
      <c r="AJ133">
        <f t="shared" si="97"/>
        <v>0</v>
      </c>
      <c r="AL133">
        <f t="shared" si="98"/>
        <v>0</v>
      </c>
      <c r="AN133">
        <f t="shared" si="99"/>
        <v>0</v>
      </c>
      <c r="AP133">
        <f t="shared" si="100"/>
        <v>0</v>
      </c>
      <c r="AR133">
        <f t="shared" si="101"/>
        <v>0</v>
      </c>
    </row>
    <row r="134" spans="2:44">
      <c r="B134">
        <v>2</v>
      </c>
      <c r="C134" t="s">
        <v>427</v>
      </c>
      <c r="D134">
        <v>85655</v>
      </c>
      <c r="E134">
        <v>2011</v>
      </c>
      <c r="F134">
        <v>8</v>
      </c>
      <c r="G134">
        <v>0</v>
      </c>
      <c r="I134" t="s">
        <v>78</v>
      </c>
      <c r="J134">
        <v>5</v>
      </c>
      <c r="K134">
        <f t="shared" si="102"/>
        <v>2016</v>
      </c>
      <c r="N134">
        <v>1750</v>
      </c>
      <c r="O134">
        <v>0</v>
      </c>
      <c r="P134">
        <f t="shared" si="103"/>
        <v>1750</v>
      </c>
      <c r="Q134">
        <f t="shared" si="104"/>
        <v>29.166666666666668</v>
      </c>
      <c r="R134">
        <f t="shared" si="105"/>
        <v>0</v>
      </c>
      <c r="S134">
        <f t="shared" si="106"/>
        <v>0</v>
      </c>
      <c r="T134">
        <f t="shared" si="107"/>
        <v>0</v>
      </c>
      <c r="U134">
        <v>1</v>
      </c>
      <c r="V134">
        <f t="shared" si="108"/>
        <v>0</v>
      </c>
      <c r="X134">
        <f t="shared" si="109"/>
        <v>1750</v>
      </c>
      <c r="Y134">
        <f t="shared" si="110"/>
        <v>1750</v>
      </c>
      <c r="Z134">
        <v>1</v>
      </c>
      <c r="AA134">
        <f t="shared" si="111"/>
        <v>1750</v>
      </c>
      <c r="AB134">
        <f t="shared" si="112"/>
        <v>1750</v>
      </c>
      <c r="AC134">
        <f t="shared" si="113"/>
        <v>0</v>
      </c>
      <c r="AD134">
        <f t="shared" si="92"/>
        <v>2011.5833333333333</v>
      </c>
      <c r="AE134">
        <f t="shared" si="93"/>
        <v>2023</v>
      </c>
      <c r="AF134">
        <f t="shared" si="94"/>
        <v>2016.5833333333333</v>
      </c>
      <c r="AG134">
        <f t="shared" si="95"/>
        <v>2190.4166666666665</v>
      </c>
      <c r="AH134">
        <f t="shared" si="96"/>
        <v>-8.3333333333333329E-2</v>
      </c>
      <c r="AJ134">
        <f t="shared" si="97"/>
        <v>0</v>
      </c>
      <c r="AL134">
        <f t="shared" si="98"/>
        <v>0</v>
      </c>
      <c r="AN134">
        <f t="shared" si="99"/>
        <v>0</v>
      </c>
      <c r="AP134">
        <f t="shared" si="100"/>
        <v>0</v>
      </c>
      <c r="AR134">
        <f t="shared" si="101"/>
        <v>0</v>
      </c>
    </row>
    <row r="135" spans="2:44">
      <c r="B135">
        <v>3</v>
      </c>
      <c r="C135" t="s">
        <v>427</v>
      </c>
      <c r="D135">
        <v>88651</v>
      </c>
      <c r="E135">
        <v>2011</v>
      </c>
      <c r="F135">
        <v>12</v>
      </c>
      <c r="G135">
        <v>0</v>
      </c>
      <c r="I135" t="s">
        <v>78</v>
      </c>
      <c r="J135">
        <v>5</v>
      </c>
      <c r="K135">
        <f>E135+J135</f>
        <v>2016</v>
      </c>
      <c r="N135">
        <v>2625</v>
      </c>
      <c r="O135">
        <v>0</v>
      </c>
      <c r="P135">
        <f t="shared" si="103"/>
        <v>2625</v>
      </c>
      <c r="Q135">
        <f t="shared" si="104"/>
        <v>43.75</v>
      </c>
      <c r="R135">
        <f t="shared" si="105"/>
        <v>0</v>
      </c>
      <c r="S135">
        <f t="shared" si="106"/>
        <v>0</v>
      </c>
      <c r="T135">
        <f t="shared" si="107"/>
        <v>0</v>
      </c>
      <c r="U135">
        <v>1</v>
      </c>
      <c r="V135">
        <f t="shared" si="108"/>
        <v>0</v>
      </c>
      <c r="X135">
        <f t="shared" si="109"/>
        <v>2625</v>
      </c>
      <c r="Y135">
        <f t="shared" si="110"/>
        <v>2625</v>
      </c>
      <c r="Z135">
        <v>1</v>
      </c>
      <c r="AA135">
        <f t="shared" si="111"/>
        <v>2625</v>
      </c>
      <c r="AB135">
        <f t="shared" si="112"/>
        <v>2625</v>
      </c>
      <c r="AC135">
        <f t="shared" si="113"/>
        <v>0</v>
      </c>
      <c r="AD135">
        <f t="shared" si="92"/>
        <v>2011.9166666666667</v>
      </c>
      <c r="AE135">
        <f t="shared" si="93"/>
        <v>2023</v>
      </c>
      <c r="AF135">
        <f t="shared" si="94"/>
        <v>2016.9166666666667</v>
      </c>
      <c r="AG135">
        <f t="shared" si="95"/>
        <v>2190.4166666666665</v>
      </c>
      <c r="AH135">
        <f t="shared" si="96"/>
        <v>-8.3333333333333329E-2</v>
      </c>
      <c r="AJ135">
        <f t="shared" si="97"/>
        <v>0</v>
      </c>
      <c r="AL135">
        <f t="shared" si="98"/>
        <v>0</v>
      </c>
      <c r="AN135">
        <f t="shared" si="99"/>
        <v>0</v>
      </c>
      <c r="AP135">
        <f t="shared" si="100"/>
        <v>0</v>
      </c>
      <c r="AR135">
        <f t="shared" si="101"/>
        <v>0</v>
      </c>
    </row>
    <row r="136" spans="2:44">
      <c r="B136">
        <v>12</v>
      </c>
      <c r="C136" t="s">
        <v>434</v>
      </c>
      <c r="D136" t="s">
        <v>435</v>
      </c>
      <c r="E136">
        <v>2011</v>
      </c>
      <c r="F136">
        <v>12</v>
      </c>
      <c r="G136">
        <v>0</v>
      </c>
      <c r="I136" t="s">
        <v>78</v>
      </c>
      <c r="J136">
        <v>5</v>
      </c>
      <c r="K136">
        <f t="shared" si="102"/>
        <v>2016</v>
      </c>
      <c r="N136">
        <f>(487.65*12)+61493.04</f>
        <v>67344.84</v>
      </c>
      <c r="O136">
        <v>0</v>
      </c>
      <c r="P136">
        <f t="shared" si="103"/>
        <v>67344.84</v>
      </c>
      <c r="Q136">
        <f t="shared" si="104"/>
        <v>1122.414</v>
      </c>
      <c r="R136">
        <f t="shared" si="105"/>
        <v>0</v>
      </c>
      <c r="S136">
        <f t="shared" si="106"/>
        <v>0</v>
      </c>
      <c r="T136">
        <f t="shared" si="107"/>
        <v>0</v>
      </c>
      <c r="U136">
        <v>1</v>
      </c>
      <c r="V136">
        <f t="shared" si="108"/>
        <v>0</v>
      </c>
      <c r="X136">
        <f t="shared" si="109"/>
        <v>67344.84</v>
      </c>
      <c r="Y136">
        <f t="shared" si="110"/>
        <v>67344.84</v>
      </c>
      <c r="Z136">
        <v>1</v>
      </c>
      <c r="AA136">
        <f t="shared" si="111"/>
        <v>67344.84</v>
      </c>
      <c r="AB136">
        <f t="shared" si="112"/>
        <v>67344.84</v>
      </c>
      <c r="AC136">
        <f t="shared" si="113"/>
        <v>0</v>
      </c>
      <c r="AD136">
        <f t="shared" si="92"/>
        <v>2011.9166666666667</v>
      </c>
      <c r="AE136">
        <f t="shared" si="93"/>
        <v>2023</v>
      </c>
      <c r="AF136">
        <f t="shared" si="94"/>
        <v>2016.9166666666667</v>
      </c>
      <c r="AG136">
        <f t="shared" si="95"/>
        <v>2190.4166666666665</v>
      </c>
      <c r="AH136">
        <f t="shared" si="96"/>
        <v>-8.3333333333333329E-2</v>
      </c>
      <c r="AJ136">
        <f t="shared" si="97"/>
        <v>0</v>
      </c>
      <c r="AL136">
        <f t="shared" si="98"/>
        <v>0</v>
      </c>
      <c r="AN136">
        <f t="shared" si="99"/>
        <v>0</v>
      </c>
      <c r="AP136">
        <f t="shared" si="100"/>
        <v>0</v>
      </c>
      <c r="AR136">
        <f t="shared" si="101"/>
        <v>0</v>
      </c>
    </row>
    <row r="137" spans="2:44">
      <c r="C137" t="s">
        <v>442</v>
      </c>
      <c r="D137">
        <v>90470</v>
      </c>
      <c r="E137">
        <v>2012</v>
      </c>
      <c r="F137">
        <v>1</v>
      </c>
      <c r="G137">
        <v>0</v>
      </c>
      <c r="I137" t="s">
        <v>78</v>
      </c>
      <c r="J137">
        <v>5</v>
      </c>
      <c r="K137">
        <f t="shared" si="102"/>
        <v>2017</v>
      </c>
      <c r="N137">
        <v>561.34</v>
      </c>
      <c r="P137">
        <f t="shared" si="103"/>
        <v>561.34</v>
      </c>
      <c r="Q137">
        <f t="shared" si="104"/>
        <v>9.3556666666666661</v>
      </c>
      <c r="R137">
        <f t="shared" si="105"/>
        <v>0</v>
      </c>
      <c r="S137">
        <f t="shared" si="106"/>
        <v>0</v>
      </c>
      <c r="T137">
        <f t="shared" si="107"/>
        <v>0</v>
      </c>
      <c r="U137">
        <v>1</v>
      </c>
      <c r="V137">
        <f t="shared" si="108"/>
        <v>0</v>
      </c>
      <c r="X137">
        <f t="shared" si="109"/>
        <v>561.34</v>
      </c>
      <c r="Y137">
        <f t="shared" si="110"/>
        <v>561.34</v>
      </c>
      <c r="Z137">
        <v>1</v>
      </c>
      <c r="AA137">
        <f t="shared" si="111"/>
        <v>561.34</v>
      </c>
      <c r="AB137">
        <f t="shared" si="112"/>
        <v>561.34</v>
      </c>
      <c r="AC137">
        <f t="shared" si="113"/>
        <v>0</v>
      </c>
      <c r="AD137">
        <f t="shared" si="92"/>
        <v>2012</v>
      </c>
      <c r="AE137">
        <f t="shared" si="93"/>
        <v>2023</v>
      </c>
      <c r="AF137">
        <f t="shared" si="94"/>
        <v>2017</v>
      </c>
      <c r="AG137">
        <f t="shared" si="95"/>
        <v>2190.4166666666665</v>
      </c>
      <c r="AH137">
        <f t="shared" si="96"/>
        <v>-8.3333333333333329E-2</v>
      </c>
      <c r="AJ137">
        <f t="shared" si="97"/>
        <v>0</v>
      </c>
      <c r="AL137">
        <f t="shared" si="98"/>
        <v>0</v>
      </c>
      <c r="AN137">
        <f t="shared" si="99"/>
        <v>0</v>
      </c>
      <c r="AP137">
        <f t="shared" si="100"/>
        <v>0</v>
      </c>
      <c r="AR137">
        <f t="shared" si="101"/>
        <v>0</v>
      </c>
    </row>
    <row r="138" spans="2:44">
      <c r="C138" t="s">
        <v>445</v>
      </c>
      <c r="D138">
        <v>92581</v>
      </c>
      <c r="E138">
        <v>2012</v>
      </c>
      <c r="F138">
        <v>3</v>
      </c>
      <c r="G138">
        <v>0</v>
      </c>
      <c r="I138" t="s">
        <v>78</v>
      </c>
      <c r="J138">
        <v>3</v>
      </c>
      <c r="K138">
        <f t="shared" si="102"/>
        <v>2015</v>
      </c>
      <c r="N138">
        <v>947.94</v>
      </c>
      <c r="P138">
        <f t="shared" si="103"/>
        <v>947.94</v>
      </c>
      <c r="Q138">
        <f t="shared" si="104"/>
        <v>26.331666666666667</v>
      </c>
      <c r="R138">
        <f t="shared" si="105"/>
        <v>0</v>
      </c>
      <c r="S138">
        <f t="shared" si="106"/>
        <v>0</v>
      </c>
      <c r="T138">
        <f t="shared" si="107"/>
        <v>0</v>
      </c>
      <c r="U138">
        <v>1</v>
      </c>
      <c r="V138">
        <f t="shared" si="108"/>
        <v>0</v>
      </c>
      <c r="X138">
        <f t="shared" si="109"/>
        <v>947.94</v>
      </c>
      <c r="Y138">
        <f t="shared" si="110"/>
        <v>947.94</v>
      </c>
      <c r="Z138">
        <v>1</v>
      </c>
      <c r="AA138">
        <f t="shared" si="111"/>
        <v>947.94</v>
      </c>
      <c r="AB138">
        <f t="shared" si="112"/>
        <v>947.94</v>
      </c>
      <c r="AC138">
        <f t="shared" si="113"/>
        <v>0</v>
      </c>
      <c r="AD138">
        <f t="shared" si="92"/>
        <v>2012.1666666666667</v>
      </c>
      <c r="AE138">
        <f t="shared" si="93"/>
        <v>2023</v>
      </c>
      <c r="AF138">
        <f t="shared" si="94"/>
        <v>2015.1666666666667</v>
      </c>
      <c r="AG138">
        <f t="shared" si="95"/>
        <v>2190.4166666666665</v>
      </c>
      <c r="AH138">
        <f t="shared" si="96"/>
        <v>-8.3333333333333329E-2</v>
      </c>
      <c r="AJ138">
        <f t="shared" si="97"/>
        <v>0</v>
      </c>
      <c r="AL138">
        <f t="shared" si="98"/>
        <v>0</v>
      </c>
      <c r="AN138">
        <f t="shared" si="99"/>
        <v>0</v>
      </c>
      <c r="AP138">
        <f t="shared" si="100"/>
        <v>0</v>
      </c>
      <c r="AR138">
        <f t="shared" si="101"/>
        <v>0</v>
      </c>
    </row>
    <row r="139" spans="2:44">
      <c r="C139" t="s">
        <v>445</v>
      </c>
      <c r="D139">
        <v>93959</v>
      </c>
      <c r="E139">
        <v>2012</v>
      </c>
      <c r="F139">
        <v>5</v>
      </c>
      <c r="G139">
        <v>0</v>
      </c>
      <c r="I139" t="s">
        <v>78</v>
      </c>
      <c r="J139">
        <v>3</v>
      </c>
      <c r="K139">
        <f t="shared" si="102"/>
        <v>2015</v>
      </c>
      <c r="N139">
        <v>950</v>
      </c>
      <c r="P139">
        <f t="shared" si="103"/>
        <v>950</v>
      </c>
      <c r="Q139">
        <f t="shared" si="104"/>
        <v>26.388888888888889</v>
      </c>
      <c r="R139">
        <f t="shared" si="105"/>
        <v>0</v>
      </c>
      <c r="S139">
        <f t="shared" si="106"/>
        <v>0</v>
      </c>
      <c r="T139">
        <f t="shared" si="107"/>
        <v>0</v>
      </c>
      <c r="U139">
        <v>1</v>
      </c>
      <c r="V139">
        <f t="shared" si="108"/>
        <v>0</v>
      </c>
      <c r="X139">
        <f t="shared" si="109"/>
        <v>950</v>
      </c>
      <c r="Y139">
        <f t="shared" si="110"/>
        <v>950</v>
      </c>
      <c r="Z139">
        <v>1</v>
      </c>
      <c r="AA139">
        <f t="shared" si="111"/>
        <v>950</v>
      </c>
      <c r="AB139">
        <f t="shared" si="112"/>
        <v>950</v>
      </c>
      <c r="AC139">
        <f t="shared" si="113"/>
        <v>0</v>
      </c>
      <c r="AD139">
        <f t="shared" si="92"/>
        <v>2012.3333333333333</v>
      </c>
      <c r="AE139">
        <f t="shared" si="93"/>
        <v>2023</v>
      </c>
      <c r="AF139">
        <f t="shared" si="94"/>
        <v>2015.3333333333333</v>
      </c>
      <c r="AG139">
        <f t="shared" si="95"/>
        <v>2190.4166666666665</v>
      </c>
      <c r="AH139">
        <f t="shared" si="96"/>
        <v>-8.3333333333333329E-2</v>
      </c>
      <c r="AJ139">
        <f t="shared" si="97"/>
        <v>0</v>
      </c>
      <c r="AL139">
        <f t="shared" si="98"/>
        <v>0</v>
      </c>
      <c r="AN139">
        <f t="shared" si="99"/>
        <v>0</v>
      </c>
      <c r="AP139">
        <f t="shared" si="100"/>
        <v>0</v>
      </c>
      <c r="AR139">
        <f t="shared" si="101"/>
        <v>0</v>
      </c>
    </row>
    <row r="140" spans="2:44">
      <c r="C140" t="s">
        <v>445</v>
      </c>
      <c r="D140" t="s">
        <v>470</v>
      </c>
      <c r="E140">
        <v>2012</v>
      </c>
      <c r="F140">
        <v>10</v>
      </c>
      <c r="G140">
        <v>0</v>
      </c>
      <c r="I140" t="s">
        <v>78</v>
      </c>
      <c r="J140">
        <v>3</v>
      </c>
      <c r="K140">
        <f t="shared" si="102"/>
        <v>2015</v>
      </c>
      <c r="N140">
        <v>947</v>
      </c>
      <c r="P140">
        <f t="shared" si="103"/>
        <v>947</v>
      </c>
      <c r="Q140">
        <f t="shared" si="104"/>
        <v>26.305555555555557</v>
      </c>
      <c r="R140">
        <f t="shared" si="105"/>
        <v>0</v>
      </c>
      <c r="S140">
        <f t="shared" si="106"/>
        <v>0</v>
      </c>
      <c r="T140">
        <f t="shared" si="107"/>
        <v>0</v>
      </c>
      <c r="U140">
        <v>1</v>
      </c>
      <c r="V140">
        <f t="shared" si="108"/>
        <v>0</v>
      </c>
      <c r="X140">
        <f t="shared" si="109"/>
        <v>947</v>
      </c>
      <c r="Y140">
        <f t="shared" si="110"/>
        <v>947</v>
      </c>
      <c r="Z140">
        <v>1</v>
      </c>
      <c r="AA140">
        <f t="shared" si="111"/>
        <v>947</v>
      </c>
      <c r="AB140">
        <f t="shared" si="112"/>
        <v>947</v>
      </c>
      <c r="AC140">
        <f t="shared" si="113"/>
        <v>0</v>
      </c>
      <c r="AD140">
        <f t="shared" si="92"/>
        <v>2012.75</v>
      </c>
      <c r="AE140">
        <f t="shared" si="93"/>
        <v>2023</v>
      </c>
      <c r="AF140">
        <f t="shared" si="94"/>
        <v>2015.75</v>
      </c>
      <c r="AG140">
        <f t="shared" si="95"/>
        <v>2190.4166666666665</v>
      </c>
      <c r="AH140">
        <f t="shared" si="96"/>
        <v>-8.3333333333333329E-2</v>
      </c>
      <c r="AJ140">
        <f t="shared" si="97"/>
        <v>0</v>
      </c>
      <c r="AL140">
        <f t="shared" si="98"/>
        <v>0</v>
      </c>
      <c r="AN140">
        <f t="shared" si="99"/>
        <v>0</v>
      </c>
      <c r="AP140">
        <f t="shared" si="100"/>
        <v>0</v>
      </c>
      <c r="AR140">
        <f t="shared" si="101"/>
        <v>0</v>
      </c>
    </row>
    <row r="141" spans="2:44">
      <c r="B141">
        <v>3</v>
      </c>
      <c r="C141" t="s">
        <v>471</v>
      </c>
      <c r="D141">
        <v>98282</v>
      </c>
      <c r="E141">
        <v>2012</v>
      </c>
      <c r="F141">
        <v>10</v>
      </c>
      <c r="G141">
        <v>0</v>
      </c>
      <c r="I141" t="s">
        <v>78</v>
      </c>
      <c r="J141">
        <v>5</v>
      </c>
      <c r="K141">
        <f t="shared" si="102"/>
        <v>2017</v>
      </c>
      <c r="N141">
        <v>2625</v>
      </c>
      <c r="P141">
        <f t="shared" si="103"/>
        <v>2625</v>
      </c>
      <c r="Q141">
        <f t="shared" si="104"/>
        <v>43.75</v>
      </c>
      <c r="R141">
        <f t="shared" si="105"/>
        <v>0</v>
      </c>
      <c r="S141">
        <f t="shared" si="106"/>
        <v>0</v>
      </c>
      <c r="T141">
        <f t="shared" si="107"/>
        <v>0</v>
      </c>
      <c r="U141">
        <v>1</v>
      </c>
      <c r="V141">
        <f t="shared" si="108"/>
        <v>0</v>
      </c>
      <c r="X141">
        <f t="shared" si="109"/>
        <v>2625</v>
      </c>
      <c r="Y141">
        <f t="shared" si="110"/>
        <v>2625</v>
      </c>
      <c r="Z141">
        <v>1</v>
      </c>
      <c r="AA141">
        <f t="shared" si="111"/>
        <v>2625</v>
      </c>
      <c r="AB141">
        <f t="shared" si="112"/>
        <v>2625</v>
      </c>
      <c r="AC141">
        <f t="shared" si="113"/>
        <v>0</v>
      </c>
      <c r="AD141">
        <f t="shared" si="92"/>
        <v>2012.75</v>
      </c>
      <c r="AE141">
        <f t="shared" si="93"/>
        <v>2023</v>
      </c>
      <c r="AF141">
        <f t="shared" si="94"/>
        <v>2017.75</v>
      </c>
      <c r="AG141">
        <f t="shared" si="95"/>
        <v>2190.4166666666665</v>
      </c>
      <c r="AH141">
        <f t="shared" si="96"/>
        <v>-8.3333333333333329E-2</v>
      </c>
      <c r="AJ141">
        <f t="shared" si="97"/>
        <v>0</v>
      </c>
      <c r="AL141">
        <f t="shared" si="98"/>
        <v>0</v>
      </c>
      <c r="AN141">
        <f t="shared" si="99"/>
        <v>0</v>
      </c>
      <c r="AP141">
        <f t="shared" si="100"/>
        <v>0</v>
      </c>
      <c r="AR141">
        <f t="shared" si="101"/>
        <v>0</v>
      </c>
    </row>
    <row r="142" spans="2:44">
      <c r="C142" t="s">
        <v>472</v>
      </c>
      <c r="D142">
        <v>99673</v>
      </c>
      <c r="E142">
        <v>2012</v>
      </c>
      <c r="F142">
        <v>12</v>
      </c>
      <c r="G142">
        <v>0</v>
      </c>
      <c r="I142" t="s">
        <v>78</v>
      </c>
      <c r="J142">
        <v>5</v>
      </c>
      <c r="K142">
        <f t="shared" si="102"/>
        <v>2017</v>
      </c>
      <c r="N142">
        <v>9416</v>
      </c>
      <c r="P142">
        <f t="shared" si="103"/>
        <v>9416</v>
      </c>
      <c r="Q142">
        <f t="shared" si="104"/>
        <v>156.93333333333334</v>
      </c>
      <c r="R142">
        <f t="shared" si="105"/>
        <v>0</v>
      </c>
      <c r="S142">
        <f t="shared" si="106"/>
        <v>0</v>
      </c>
      <c r="T142">
        <f t="shared" si="107"/>
        <v>0</v>
      </c>
      <c r="U142">
        <v>1</v>
      </c>
      <c r="V142">
        <f t="shared" si="108"/>
        <v>0</v>
      </c>
      <c r="X142">
        <f t="shared" si="109"/>
        <v>9416</v>
      </c>
      <c r="Y142">
        <f t="shared" si="110"/>
        <v>9416</v>
      </c>
      <c r="Z142">
        <v>1</v>
      </c>
      <c r="AA142">
        <f t="shared" si="111"/>
        <v>9416</v>
      </c>
      <c r="AB142">
        <f t="shared" si="112"/>
        <v>9416</v>
      </c>
      <c r="AC142">
        <f t="shared" si="113"/>
        <v>0</v>
      </c>
      <c r="AD142">
        <f t="shared" si="92"/>
        <v>2012.9166666666667</v>
      </c>
      <c r="AE142">
        <f t="shared" si="93"/>
        <v>2023</v>
      </c>
      <c r="AF142">
        <f t="shared" si="94"/>
        <v>2017.9166666666667</v>
      </c>
      <c r="AG142">
        <f t="shared" si="95"/>
        <v>2190.4166666666665</v>
      </c>
      <c r="AH142">
        <f t="shared" si="96"/>
        <v>-8.3333333333333329E-2</v>
      </c>
      <c r="AJ142">
        <f t="shared" si="97"/>
        <v>0</v>
      </c>
      <c r="AL142">
        <f t="shared" si="98"/>
        <v>0</v>
      </c>
      <c r="AN142">
        <f t="shared" si="99"/>
        <v>0</v>
      </c>
      <c r="AP142">
        <f t="shared" si="100"/>
        <v>0</v>
      </c>
      <c r="AR142">
        <f t="shared" si="101"/>
        <v>0</v>
      </c>
    </row>
    <row r="143" spans="2:44">
      <c r="C143" t="s">
        <v>486</v>
      </c>
      <c r="D143">
        <v>108250</v>
      </c>
      <c r="E143">
        <v>2013</v>
      </c>
      <c r="F143">
        <v>10</v>
      </c>
      <c r="G143">
        <v>0</v>
      </c>
      <c r="I143" t="s">
        <v>78</v>
      </c>
      <c r="J143">
        <v>3</v>
      </c>
      <c r="K143">
        <f t="shared" si="102"/>
        <v>2016</v>
      </c>
      <c r="N143">
        <v>743.47</v>
      </c>
      <c r="P143">
        <f t="shared" si="103"/>
        <v>743.47</v>
      </c>
      <c r="Q143">
        <f t="shared" si="104"/>
        <v>20.651944444444446</v>
      </c>
      <c r="R143">
        <f t="shared" si="105"/>
        <v>0</v>
      </c>
      <c r="S143">
        <f t="shared" si="106"/>
        <v>0</v>
      </c>
      <c r="T143">
        <f t="shared" si="107"/>
        <v>0</v>
      </c>
      <c r="U143">
        <v>1</v>
      </c>
      <c r="V143">
        <f t="shared" si="108"/>
        <v>0</v>
      </c>
      <c r="X143">
        <f t="shared" si="109"/>
        <v>743.47</v>
      </c>
      <c r="Y143">
        <f t="shared" si="110"/>
        <v>743.47</v>
      </c>
      <c r="Z143">
        <v>1</v>
      </c>
      <c r="AA143">
        <f t="shared" si="111"/>
        <v>743.47</v>
      </c>
      <c r="AB143">
        <f t="shared" si="112"/>
        <v>743.47</v>
      </c>
      <c r="AC143">
        <f t="shared" si="113"/>
        <v>0</v>
      </c>
      <c r="AD143">
        <f t="shared" si="92"/>
        <v>2013.75</v>
      </c>
      <c r="AE143">
        <f t="shared" si="93"/>
        <v>2023</v>
      </c>
      <c r="AF143">
        <f t="shared" si="94"/>
        <v>2016.75</v>
      </c>
      <c r="AG143">
        <f t="shared" si="95"/>
        <v>2190.4166666666665</v>
      </c>
      <c r="AH143">
        <f t="shared" si="96"/>
        <v>-8.3333333333333329E-2</v>
      </c>
      <c r="AJ143">
        <f t="shared" si="97"/>
        <v>0</v>
      </c>
      <c r="AL143">
        <f t="shared" si="98"/>
        <v>0</v>
      </c>
      <c r="AN143">
        <f t="shared" si="99"/>
        <v>0</v>
      </c>
      <c r="AP143">
        <f t="shared" si="100"/>
        <v>0</v>
      </c>
      <c r="AR143">
        <f t="shared" si="101"/>
        <v>0</v>
      </c>
    </row>
    <row r="144" spans="2:44">
      <c r="B144">
        <v>3</v>
      </c>
      <c r="C144" t="s">
        <v>489</v>
      </c>
      <c r="D144">
        <v>109582</v>
      </c>
      <c r="E144">
        <v>2013</v>
      </c>
      <c r="F144">
        <v>12</v>
      </c>
      <c r="G144">
        <v>0</v>
      </c>
      <c r="I144" t="s">
        <v>78</v>
      </c>
      <c r="J144">
        <v>10</v>
      </c>
      <c r="K144">
        <f t="shared" si="102"/>
        <v>2023</v>
      </c>
      <c r="N144">
        <v>134875</v>
      </c>
      <c r="P144">
        <f t="shared" si="103"/>
        <v>134875</v>
      </c>
      <c r="Q144">
        <f t="shared" si="104"/>
        <v>1123.9583333333333</v>
      </c>
      <c r="R144">
        <f t="shared" si="105"/>
        <v>0</v>
      </c>
      <c r="S144">
        <f t="shared" si="106"/>
        <v>0</v>
      </c>
      <c r="T144">
        <f t="shared" si="107"/>
        <v>0</v>
      </c>
      <c r="U144">
        <v>1</v>
      </c>
      <c r="V144">
        <f t="shared" si="108"/>
        <v>0</v>
      </c>
      <c r="X144">
        <f t="shared" si="109"/>
        <v>134875</v>
      </c>
      <c r="Y144">
        <f t="shared" si="110"/>
        <v>134875</v>
      </c>
      <c r="Z144">
        <v>1</v>
      </c>
      <c r="AA144">
        <f t="shared" si="111"/>
        <v>134875</v>
      </c>
      <c r="AB144">
        <f t="shared" si="112"/>
        <v>134875</v>
      </c>
      <c r="AC144">
        <f t="shared" si="113"/>
        <v>0</v>
      </c>
      <c r="AD144">
        <f t="shared" si="92"/>
        <v>2013.9166666666667</v>
      </c>
      <c r="AE144">
        <f t="shared" si="93"/>
        <v>2023</v>
      </c>
      <c r="AF144">
        <f t="shared" si="94"/>
        <v>2023.9166666666667</v>
      </c>
      <c r="AG144">
        <f t="shared" si="95"/>
        <v>2190.4166666666665</v>
      </c>
      <c r="AH144">
        <f t="shared" si="96"/>
        <v>-8.3333333333333329E-2</v>
      </c>
      <c r="AJ144">
        <f t="shared" si="97"/>
        <v>0</v>
      </c>
      <c r="AL144">
        <f t="shared" si="98"/>
        <v>0</v>
      </c>
      <c r="AN144">
        <f t="shared" si="99"/>
        <v>0</v>
      </c>
      <c r="AP144">
        <f t="shared" si="100"/>
        <v>0</v>
      </c>
      <c r="AR144">
        <f t="shared" si="101"/>
        <v>0</v>
      </c>
    </row>
    <row r="145" spans="2:44">
      <c r="C145" t="s">
        <v>502</v>
      </c>
      <c r="D145">
        <v>113272</v>
      </c>
      <c r="E145">
        <v>2014</v>
      </c>
      <c r="F145">
        <v>4</v>
      </c>
      <c r="G145">
        <v>0</v>
      </c>
      <c r="I145" t="s">
        <v>78</v>
      </c>
      <c r="J145">
        <v>5</v>
      </c>
      <c r="K145">
        <f t="shared" si="102"/>
        <v>2019</v>
      </c>
      <c r="N145">
        <v>656.58</v>
      </c>
      <c r="P145">
        <f t="shared" si="103"/>
        <v>656.58</v>
      </c>
      <c r="Q145">
        <f t="shared" si="104"/>
        <v>10.943</v>
      </c>
      <c r="R145">
        <f t="shared" si="105"/>
        <v>0</v>
      </c>
      <c r="S145">
        <f t="shared" si="106"/>
        <v>0</v>
      </c>
      <c r="T145">
        <f t="shared" si="107"/>
        <v>0</v>
      </c>
      <c r="U145">
        <v>1</v>
      </c>
      <c r="V145">
        <f t="shared" si="108"/>
        <v>0</v>
      </c>
      <c r="X145">
        <f t="shared" si="109"/>
        <v>656.58</v>
      </c>
      <c r="Y145">
        <f t="shared" si="110"/>
        <v>656.58</v>
      </c>
      <c r="Z145">
        <v>1</v>
      </c>
      <c r="AA145">
        <f t="shared" si="111"/>
        <v>656.58</v>
      </c>
      <c r="AB145">
        <f t="shared" si="112"/>
        <v>656.58</v>
      </c>
      <c r="AC145">
        <f t="shared" si="113"/>
        <v>0</v>
      </c>
      <c r="AD145">
        <f t="shared" si="92"/>
        <v>2014.25</v>
      </c>
      <c r="AE145">
        <f t="shared" si="93"/>
        <v>2023</v>
      </c>
      <c r="AF145">
        <f t="shared" si="94"/>
        <v>2019.25</v>
      </c>
      <c r="AG145">
        <f t="shared" si="95"/>
        <v>2190.4166666666665</v>
      </c>
      <c r="AH145">
        <f t="shared" si="96"/>
        <v>-8.3333333333333329E-2</v>
      </c>
      <c r="AJ145">
        <f t="shared" si="97"/>
        <v>0</v>
      </c>
      <c r="AL145">
        <f t="shared" si="98"/>
        <v>0</v>
      </c>
      <c r="AN145">
        <f t="shared" si="99"/>
        <v>0</v>
      </c>
      <c r="AP145">
        <f t="shared" si="100"/>
        <v>0</v>
      </c>
      <c r="AR145">
        <f t="shared" si="101"/>
        <v>0</v>
      </c>
    </row>
    <row r="146" spans="2:44">
      <c r="C146" t="s">
        <v>572</v>
      </c>
      <c r="D146">
        <v>121103</v>
      </c>
      <c r="E146">
        <v>2015</v>
      </c>
      <c r="F146">
        <v>3</v>
      </c>
      <c r="G146">
        <v>0</v>
      </c>
      <c r="I146" t="s">
        <v>78</v>
      </c>
      <c r="J146">
        <v>3</v>
      </c>
      <c r="K146">
        <f t="shared" si="102"/>
        <v>2018</v>
      </c>
      <c r="N146">
        <v>1077.07</v>
      </c>
      <c r="P146">
        <f t="shared" si="103"/>
        <v>1077.07</v>
      </c>
      <c r="Q146">
        <f t="shared" si="104"/>
        <v>29.918611111111108</v>
      </c>
      <c r="R146">
        <f t="shared" si="105"/>
        <v>0</v>
      </c>
      <c r="S146">
        <f t="shared" si="106"/>
        <v>0</v>
      </c>
      <c r="T146">
        <f t="shared" si="107"/>
        <v>0</v>
      </c>
      <c r="U146">
        <v>1</v>
      </c>
      <c r="V146">
        <f t="shared" si="108"/>
        <v>0</v>
      </c>
      <c r="X146">
        <f t="shared" si="109"/>
        <v>1077.07</v>
      </c>
      <c r="Y146">
        <f t="shared" si="110"/>
        <v>1077.07</v>
      </c>
      <c r="Z146">
        <v>1</v>
      </c>
      <c r="AA146">
        <f t="shared" si="111"/>
        <v>1077.07</v>
      </c>
      <c r="AB146">
        <f t="shared" si="112"/>
        <v>1077.07</v>
      </c>
      <c r="AC146">
        <f t="shared" si="113"/>
        <v>0</v>
      </c>
      <c r="AD146">
        <f t="shared" si="92"/>
        <v>2015.1666666666667</v>
      </c>
      <c r="AE146">
        <f t="shared" si="93"/>
        <v>2023</v>
      </c>
      <c r="AF146">
        <f t="shared" si="94"/>
        <v>2018.1666666666667</v>
      </c>
      <c r="AG146">
        <f t="shared" si="95"/>
        <v>2190.4166666666665</v>
      </c>
      <c r="AH146">
        <f t="shared" si="96"/>
        <v>-8.3333333333333329E-2</v>
      </c>
      <c r="AJ146">
        <f t="shared" si="97"/>
        <v>0</v>
      </c>
      <c r="AL146">
        <f t="shared" si="98"/>
        <v>0</v>
      </c>
      <c r="AN146">
        <f t="shared" si="99"/>
        <v>0</v>
      </c>
      <c r="AP146">
        <f t="shared" si="100"/>
        <v>0</v>
      </c>
      <c r="AR146">
        <f t="shared" si="101"/>
        <v>0</v>
      </c>
    </row>
    <row r="147" spans="2:44">
      <c r="C147" t="s">
        <v>573</v>
      </c>
      <c r="D147">
        <v>121057</v>
      </c>
      <c r="E147">
        <v>2015</v>
      </c>
      <c r="F147">
        <v>3</v>
      </c>
      <c r="G147">
        <v>0</v>
      </c>
      <c r="I147" t="s">
        <v>78</v>
      </c>
      <c r="J147">
        <v>3</v>
      </c>
      <c r="K147">
        <f t="shared" si="102"/>
        <v>2018</v>
      </c>
      <c r="N147">
        <v>1088.46</v>
      </c>
      <c r="P147">
        <f t="shared" si="103"/>
        <v>1088.46</v>
      </c>
      <c r="Q147">
        <f t="shared" si="104"/>
        <v>30.234999999999999</v>
      </c>
      <c r="R147">
        <f t="shared" si="105"/>
        <v>0</v>
      </c>
      <c r="S147">
        <f t="shared" si="106"/>
        <v>0</v>
      </c>
      <c r="T147">
        <f t="shared" si="107"/>
        <v>0</v>
      </c>
      <c r="U147">
        <v>1</v>
      </c>
      <c r="V147">
        <f t="shared" si="108"/>
        <v>0</v>
      </c>
      <c r="X147">
        <f t="shared" si="109"/>
        <v>1088.46</v>
      </c>
      <c r="Y147">
        <f t="shared" si="110"/>
        <v>1088.46</v>
      </c>
      <c r="Z147">
        <v>1</v>
      </c>
      <c r="AA147">
        <f t="shared" si="111"/>
        <v>1088.46</v>
      </c>
      <c r="AB147">
        <f t="shared" si="112"/>
        <v>1088.46</v>
      </c>
      <c r="AC147">
        <f t="shared" si="113"/>
        <v>0</v>
      </c>
      <c r="AD147">
        <f t="shared" si="92"/>
        <v>2015.1666666666667</v>
      </c>
      <c r="AE147">
        <f t="shared" si="93"/>
        <v>2023</v>
      </c>
      <c r="AF147">
        <f t="shared" si="94"/>
        <v>2018.1666666666667</v>
      </c>
      <c r="AG147">
        <f t="shared" si="95"/>
        <v>2190.4166666666665</v>
      </c>
      <c r="AH147">
        <f t="shared" si="96"/>
        <v>-8.3333333333333329E-2</v>
      </c>
      <c r="AJ147">
        <f t="shared" si="97"/>
        <v>0</v>
      </c>
      <c r="AL147">
        <f t="shared" si="98"/>
        <v>0</v>
      </c>
      <c r="AN147">
        <f t="shared" si="99"/>
        <v>0</v>
      </c>
      <c r="AP147">
        <f t="shared" si="100"/>
        <v>0</v>
      </c>
      <c r="AR147">
        <f t="shared" si="101"/>
        <v>0</v>
      </c>
    </row>
    <row r="148" spans="2:44">
      <c r="C148" t="s">
        <v>574</v>
      </c>
      <c r="D148">
        <v>121056</v>
      </c>
      <c r="E148">
        <v>2015</v>
      </c>
      <c r="F148">
        <v>3</v>
      </c>
      <c r="G148">
        <v>0</v>
      </c>
      <c r="I148" t="s">
        <v>78</v>
      </c>
      <c r="J148">
        <v>3</v>
      </c>
      <c r="K148">
        <f t="shared" si="102"/>
        <v>2018</v>
      </c>
      <c r="N148">
        <v>2903.73</v>
      </c>
      <c r="P148">
        <f t="shared" si="103"/>
        <v>2903.73</v>
      </c>
      <c r="Q148">
        <f t="shared" si="104"/>
        <v>80.659166666666664</v>
      </c>
      <c r="R148">
        <f t="shared" si="105"/>
        <v>0</v>
      </c>
      <c r="S148">
        <f t="shared" si="106"/>
        <v>0</v>
      </c>
      <c r="T148">
        <f t="shared" si="107"/>
        <v>0</v>
      </c>
      <c r="U148">
        <v>1</v>
      </c>
      <c r="V148">
        <f t="shared" si="108"/>
        <v>0</v>
      </c>
      <c r="X148">
        <f t="shared" si="109"/>
        <v>2903.73</v>
      </c>
      <c r="Y148">
        <f t="shared" si="110"/>
        <v>2903.73</v>
      </c>
      <c r="Z148">
        <v>1</v>
      </c>
      <c r="AA148">
        <f t="shared" si="111"/>
        <v>2903.73</v>
      </c>
      <c r="AB148">
        <f t="shared" si="112"/>
        <v>2903.73</v>
      </c>
      <c r="AC148">
        <f t="shared" si="113"/>
        <v>0</v>
      </c>
      <c r="AD148">
        <f t="shared" si="92"/>
        <v>2015.1666666666667</v>
      </c>
      <c r="AE148">
        <f t="shared" si="93"/>
        <v>2023</v>
      </c>
      <c r="AF148">
        <f t="shared" si="94"/>
        <v>2018.1666666666667</v>
      </c>
      <c r="AG148">
        <f t="shared" si="95"/>
        <v>2190.4166666666665</v>
      </c>
      <c r="AH148">
        <f t="shared" si="96"/>
        <v>-8.3333333333333329E-2</v>
      </c>
      <c r="AJ148">
        <f t="shared" si="97"/>
        <v>0</v>
      </c>
      <c r="AL148">
        <f t="shared" si="98"/>
        <v>0</v>
      </c>
      <c r="AN148">
        <f t="shared" si="99"/>
        <v>0</v>
      </c>
      <c r="AP148">
        <f t="shared" si="100"/>
        <v>0</v>
      </c>
      <c r="AR148">
        <f t="shared" si="101"/>
        <v>0</v>
      </c>
    </row>
    <row r="149" spans="2:44">
      <c r="B149">
        <v>17</v>
      </c>
      <c r="C149" t="s">
        <v>575</v>
      </c>
      <c r="D149">
        <v>121055</v>
      </c>
      <c r="E149">
        <v>2015</v>
      </c>
      <c r="F149">
        <v>3</v>
      </c>
      <c r="G149">
        <v>0</v>
      </c>
      <c r="I149" t="s">
        <v>78</v>
      </c>
      <c r="J149">
        <v>5</v>
      </c>
      <c r="K149">
        <f t="shared" si="102"/>
        <v>2020</v>
      </c>
      <c r="N149">
        <v>6120.34</v>
      </c>
      <c r="P149">
        <f t="shared" si="103"/>
        <v>6120.34</v>
      </c>
      <c r="Q149">
        <f t="shared" si="104"/>
        <v>102.00566666666667</v>
      </c>
      <c r="R149">
        <f t="shared" si="105"/>
        <v>0</v>
      </c>
      <c r="S149">
        <f t="shared" si="106"/>
        <v>0</v>
      </c>
      <c r="T149">
        <f t="shared" si="107"/>
        <v>0</v>
      </c>
      <c r="U149">
        <v>1</v>
      </c>
      <c r="V149">
        <f t="shared" si="108"/>
        <v>0</v>
      </c>
      <c r="X149">
        <f t="shared" si="109"/>
        <v>6120.34</v>
      </c>
      <c r="Y149">
        <f t="shared" si="110"/>
        <v>6120.34</v>
      </c>
      <c r="Z149">
        <v>1</v>
      </c>
      <c r="AA149">
        <f t="shared" si="111"/>
        <v>6120.34</v>
      </c>
      <c r="AB149">
        <f t="shared" si="112"/>
        <v>6120.34</v>
      </c>
      <c r="AC149">
        <f t="shared" si="113"/>
        <v>0</v>
      </c>
      <c r="AD149">
        <f t="shared" si="92"/>
        <v>2015.1666666666667</v>
      </c>
      <c r="AE149">
        <f t="shared" si="93"/>
        <v>2023</v>
      </c>
      <c r="AF149">
        <f t="shared" si="94"/>
        <v>2020.1666666666667</v>
      </c>
      <c r="AG149">
        <f t="shared" si="95"/>
        <v>2190.4166666666665</v>
      </c>
      <c r="AH149">
        <f t="shared" si="96"/>
        <v>-8.3333333333333329E-2</v>
      </c>
      <c r="AJ149">
        <f t="shared" si="97"/>
        <v>0</v>
      </c>
      <c r="AL149">
        <f t="shared" si="98"/>
        <v>0</v>
      </c>
      <c r="AN149">
        <f t="shared" si="99"/>
        <v>0</v>
      </c>
      <c r="AP149">
        <f t="shared" si="100"/>
        <v>0</v>
      </c>
      <c r="AR149">
        <f t="shared" si="101"/>
        <v>0</v>
      </c>
    </row>
    <row r="150" spans="2:44">
      <c r="C150" t="s">
        <v>576</v>
      </c>
      <c r="D150">
        <v>120388</v>
      </c>
      <c r="E150">
        <v>2015</v>
      </c>
      <c r="F150">
        <v>2</v>
      </c>
      <c r="G150">
        <v>0</v>
      </c>
      <c r="I150" t="s">
        <v>78</v>
      </c>
      <c r="J150">
        <v>3</v>
      </c>
      <c r="K150">
        <f t="shared" si="102"/>
        <v>2018</v>
      </c>
      <c r="N150">
        <v>1090.0999999999999</v>
      </c>
      <c r="P150">
        <f t="shared" si="103"/>
        <v>1090.0999999999999</v>
      </c>
      <c r="Q150">
        <f t="shared" si="104"/>
        <v>30.280555555555551</v>
      </c>
      <c r="R150">
        <f t="shared" si="105"/>
        <v>0</v>
      </c>
      <c r="S150">
        <f t="shared" si="106"/>
        <v>0</v>
      </c>
      <c r="T150">
        <f t="shared" si="107"/>
        <v>0</v>
      </c>
      <c r="U150">
        <v>1</v>
      </c>
      <c r="V150">
        <f t="shared" si="108"/>
        <v>0</v>
      </c>
      <c r="X150">
        <f t="shared" si="109"/>
        <v>1090.0999999999999</v>
      </c>
      <c r="Y150">
        <f t="shared" si="110"/>
        <v>1090.0999999999999</v>
      </c>
      <c r="Z150">
        <v>1</v>
      </c>
      <c r="AA150">
        <f t="shared" si="111"/>
        <v>1090.0999999999999</v>
      </c>
      <c r="AB150">
        <f t="shared" si="112"/>
        <v>1090.0999999999999</v>
      </c>
      <c r="AC150">
        <f t="shared" si="113"/>
        <v>0</v>
      </c>
      <c r="AD150">
        <f t="shared" si="92"/>
        <v>2015.0833333333333</v>
      </c>
      <c r="AE150">
        <f t="shared" si="93"/>
        <v>2023</v>
      </c>
      <c r="AF150">
        <f t="shared" si="94"/>
        <v>2018.0833333333333</v>
      </c>
      <c r="AG150">
        <f t="shared" si="95"/>
        <v>2190.4166666666665</v>
      </c>
      <c r="AH150">
        <f t="shared" si="96"/>
        <v>-8.3333333333333329E-2</v>
      </c>
      <c r="AJ150">
        <f t="shared" si="97"/>
        <v>0</v>
      </c>
      <c r="AL150">
        <f t="shared" si="98"/>
        <v>0</v>
      </c>
      <c r="AN150">
        <f t="shared" si="99"/>
        <v>0</v>
      </c>
      <c r="AP150">
        <f t="shared" si="100"/>
        <v>0</v>
      </c>
      <c r="AR150">
        <f t="shared" si="101"/>
        <v>0</v>
      </c>
    </row>
    <row r="151" spans="2:44">
      <c r="C151" t="s">
        <v>585</v>
      </c>
      <c r="D151">
        <v>128910</v>
      </c>
      <c r="E151">
        <v>2015</v>
      </c>
      <c r="F151">
        <v>12</v>
      </c>
      <c r="G151">
        <v>0</v>
      </c>
      <c r="I151" t="s">
        <v>78</v>
      </c>
      <c r="J151">
        <v>3</v>
      </c>
      <c r="K151">
        <f t="shared" si="102"/>
        <v>2018</v>
      </c>
      <c r="N151">
        <v>1087.92</v>
      </c>
      <c r="P151">
        <f t="shared" si="103"/>
        <v>1087.92</v>
      </c>
      <c r="Q151">
        <f t="shared" si="104"/>
        <v>30.220000000000002</v>
      </c>
      <c r="R151">
        <f>IF(O151&gt;0,0,IF(OR(AD151&gt;AE151,AF151&lt;AG151),0,IF(AND(AF151&gt;=AG151,AF151&lt;=AE151),Q151*((AF151-AG151)*12),IF(AND(AG151&lt;=AD151,AE151&gt;=AD151),((AE151-AD151)*12)*Q151,IF(AF151&gt;AE151,12*Q151,0)))))</f>
        <v>0</v>
      </c>
      <c r="S151">
        <f>IF(O151=0,0,IF(AND(AH151&gt;=AG151,AH151&lt;=AF151),((AH151-AG151)*12)*Q151,0))</f>
        <v>0</v>
      </c>
      <c r="T151">
        <f>IF(S151&gt;0,S151,R151)</f>
        <v>0</v>
      </c>
      <c r="U151">
        <v>1</v>
      </c>
      <c r="V151">
        <f>U151*SUM(R151:S151)</f>
        <v>0</v>
      </c>
      <c r="X151">
        <f>IF(AD151&gt;AE151,0,IF(AF151&lt;AG151,P151,IF(AND(AF151&gt;=AG151,AF151&lt;=AE151),(P151-T151),IF(AND(AG151&lt;=AD151,AE151&gt;=AD151),0,IF(AF151&gt;AE151,((AG151-AD151)*12)*Q151,0)))))</f>
        <v>1087.92</v>
      </c>
      <c r="Y151">
        <f>X151*U151</f>
        <v>1087.92</v>
      </c>
      <c r="Z151">
        <v>1</v>
      </c>
      <c r="AA151">
        <f>Y151*Z151</f>
        <v>1087.92</v>
      </c>
      <c r="AB151">
        <f>IF(O151&gt;0,0,AA151+V151*Z151)*Z151</f>
        <v>1087.92</v>
      </c>
      <c r="AC151">
        <f>IF(O151&gt;0,(N151-AA151)/2,IF(AD151&gt;=AG151,(((N151*U151)*Z151)-AB151)/2,((((N151*U151)*Z151)-AA151)+(((N151*U151)*Z151)-AB151))/2))</f>
        <v>0</v>
      </c>
      <c r="AD151">
        <f t="shared" si="92"/>
        <v>2015.9166666666667</v>
      </c>
      <c r="AE151">
        <f t="shared" si="93"/>
        <v>2023</v>
      </c>
      <c r="AF151">
        <f t="shared" si="94"/>
        <v>2018.9166666666667</v>
      </c>
      <c r="AG151">
        <f t="shared" si="95"/>
        <v>2190.4166666666665</v>
      </c>
      <c r="AH151">
        <f t="shared" si="96"/>
        <v>-8.3333333333333329E-2</v>
      </c>
      <c r="AJ151">
        <f t="shared" si="97"/>
        <v>0</v>
      </c>
      <c r="AL151">
        <f t="shared" si="98"/>
        <v>0</v>
      </c>
      <c r="AN151">
        <f t="shared" si="99"/>
        <v>0</v>
      </c>
      <c r="AP151">
        <f t="shared" si="100"/>
        <v>0</v>
      </c>
      <c r="AR151">
        <f t="shared" si="101"/>
        <v>0</v>
      </c>
    </row>
    <row r="152" spans="2:44">
      <c r="C152" t="s">
        <v>594</v>
      </c>
      <c r="D152">
        <v>133138</v>
      </c>
      <c r="E152">
        <v>2016</v>
      </c>
      <c r="F152">
        <v>2</v>
      </c>
      <c r="G152">
        <v>0</v>
      </c>
      <c r="I152" t="s">
        <v>78</v>
      </c>
      <c r="J152">
        <v>3</v>
      </c>
      <c r="K152">
        <f t="shared" si="102"/>
        <v>2019</v>
      </c>
      <c r="N152">
        <v>1045.18</v>
      </c>
      <c r="P152">
        <f t="shared" si="103"/>
        <v>1045.18</v>
      </c>
      <c r="Q152">
        <f t="shared" si="104"/>
        <v>29.032777777777781</v>
      </c>
      <c r="R152">
        <f>IF(O152&gt;0,0,IF(OR(AD152&gt;AE152,AF152&lt;AG152),0,IF(AND(AF152&gt;=AG152,AF152&lt;=AE152),Q152*((AF152-AG152)*12),IF(AND(AG152&lt;=AD152,AE152&gt;=AD152),((AE152-AD152)*12)*Q152,IF(AF152&gt;AE152,12*Q152,0)))))</f>
        <v>0</v>
      </c>
      <c r="S152">
        <f>IF(O152=0,0,IF(AND(AH152&gt;=AG152,AH152&lt;=AF152),((AH152-AG152)*12)*Q152,0))</f>
        <v>0</v>
      </c>
      <c r="T152">
        <f>IF(S152&gt;0,S152,R152)</f>
        <v>0</v>
      </c>
      <c r="U152">
        <v>1</v>
      </c>
      <c r="V152">
        <f>U152*SUM(R152:S152)</f>
        <v>0</v>
      </c>
      <c r="X152">
        <f>IF(AD152&gt;AE152,0,IF(AF152&lt;AG152,P152,IF(AND(AF152&gt;=AG152,AF152&lt;=AE152),(P152-T152),IF(AND(AG152&lt;=AD152,AE152&gt;=AD152),0,IF(AF152&gt;AE152,((AG152-AD152)*12)*Q152,0)))))</f>
        <v>1045.18</v>
      </c>
      <c r="Y152">
        <f>X152*U152</f>
        <v>1045.18</v>
      </c>
      <c r="Z152">
        <v>1</v>
      </c>
      <c r="AA152">
        <f>Y152*Z152</f>
        <v>1045.18</v>
      </c>
      <c r="AB152">
        <f>IF(O152&gt;0,0,AA152+V152*Z152)*Z152</f>
        <v>1045.18</v>
      </c>
      <c r="AC152">
        <f>IF(O152&gt;0,(N152-AA152)/2,IF(AD152&gt;=AG152,(((N152*U152)*Z152)-AB152)/2,((((N152*U152)*Z152)-AA152)+(((N152*U152)*Z152)-AB152))/2))</f>
        <v>0</v>
      </c>
      <c r="AD152">
        <f t="shared" si="92"/>
        <v>2016.0833333333333</v>
      </c>
      <c r="AE152">
        <f t="shared" si="93"/>
        <v>2023</v>
      </c>
      <c r="AF152">
        <f t="shared" si="94"/>
        <v>2019.0833333333333</v>
      </c>
      <c r="AG152">
        <f t="shared" si="95"/>
        <v>2190.4166666666665</v>
      </c>
      <c r="AH152">
        <f t="shared" si="96"/>
        <v>-8.3333333333333329E-2</v>
      </c>
      <c r="AJ152">
        <f t="shared" si="97"/>
        <v>0</v>
      </c>
      <c r="AL152">
        <f t="shared" si="98"/>
        <v>0</v>
      </c>
      <c r="AN152">
        <f t="shared" si="99"/>
        <v>0</v>
      </c>
      <c r="AP152">
        <f t="shared" si="100"/>
        <v>0</v>
      </c>
      <c r="AR152">
        <f t="shared" si="101"/>
        <v>0</v>
      </c>
    </row>
    <row r="153" spans="2:44">
      <c r="B153">
        <v>1</v>
      </c>
      <c r="C153" t="s">
        <v>646</v>
      </c>
      <c r="D153">
        <v>191901</v>
      </c>
      <c r="E153">
        <v>2018</v>
      </c>
      <c r="F153">
        <v>1</v>
      </c>
      <c r="G153">
        <v>0</v>
      </c>
      <c r="I153" t="s">
        <v>78</v>
      </c>
      <c r="J153">
        <v>3</v>
      </c>
      <c r="K153">
        <f t="shared" si="102"/>
        <v>2021</v>
      </c>
      <c r="N153">
        <v>1306.96</v>
      </c>
      <c r="P153">
        <f t="shared" si="103"/>
        <v>1306.96</v>
      </c>
      <c r="Q153">
        <f t="shared" si="104"/>
        <v>36.304444444444449</v>
      </c>
      <c r="R153">
        <f>IF(O153&gt;0,0,IF(OR(AD153&gt;AE153,AF153&lt;AG153),0,IF(AND(AF153&gt;=AG153,AF153&lt;=AE153),Q153*((AF153-AG153)*12),IF(AND(AG153&lt;=AD153,AE153&gt;=AD153),((AE153-AD153)*12)*Q153,IF(AF153&gt;AE153,12*Q153,0)))))</f>
        <v>0</v>
      </c>
      <c r="S153">
        <f>IF(O153=0,0,IF(AND(AH153&gt;=AG153,AH153&lt;=AF153),((AH153-AG153)*12)*Q153,0))</f>
        <v>0</v>
      </c>
      <c r="T153">
        <f>IF(S153&gt;0,S153,R153)</f>
        <v>0</v>
      </c>
      <c r="U153">
        <v>1</v>
      </c>
      <c r="V153">
        <f>U153*SUM(R153:S153)</f>
        <v>0</v>
      </c>
      <c r="X153">
        <f>IF(AD153&gt;AE153,0,IF(AF153&lt;AG153,P153,IF(AND(AF153&gt;=AG153,AF153&lt;=AE153),(P153-T153),IF(AND(AG153&lt;=AD153,AE153&gt;=AD153),0,IF(AF153&gt;AE153,((AG153-AD153)*12)*Q153,0)))))</f>
        <v>1306.96</v>
      </c>
      <c r="Y153">
        <f>X153*U153</f>
        <v>1306.96</v>
      </c>
      <c r="Z153">
        <v>1</v>
      </c>
      <c r="AA153">
        <f>Y153*Z153</f>
        <v>1306.96</v>
      </c>
      <c r="AB153">
        <f>IF(O153&gt;0,0,AA153+V153*Z153)*Z153</f>
        <v>1306.96</v>
      </c>
      <c r="AC153">
        <f>IF(O153&gt;0,(N153-AA153)/2,IF(AD153&gt;=AG153,(((N153*U153)*Z153)-AB153)/2,((((N153*U153)*Z153)-AA153)+(((N153*U153)*Z153)-AB153))/2))</f>
        <v>0</v>
      </c>
      <c r="AD153">
        <f t="shared" si="92"/>
        <v>2018</v>
      </c>
      <c r="AE153">
        <f t="shared" si="93"/>
        <v>2023</v>
      </c>
      <c r="AF153">
        <f t="shared" si="94"/>
        <v>2021</v>
      </c>
      <c r="AG153">
        <f t="shared" si="95"/>
        <v>2190.4166666666665</v>
      </c>
      <c r="AH153">
        <f t="shared" si="96"/>
        <v>-8.3333333333333329E-2</v>
      </c>
    </row>
    <row r="155" spans="2:44">
      <c r="C155" t="s">
        <v>410</v>
      </c>
      <c r="N155">
        <f>SUM(N124:N154)</f>
        <v>396071.92</v>
      </c>
      <c r="P155">
        <f>SUM(P124:P154)</f>
        <v>396071.92</v>
      </c>
      <c r="Q155">
        <f>SUM(Q124:Q154)</f>
        <v>5643.8658888888876</v>
      </c>
      <c r="R155">
        <f>SUM(R124:R154)</f>
        <v>0</v>
      </c>
      <c r="T155">
        <f>SUM(T124:T154)</f>
        <v>0</v>
      </c>
      <c r="V155">
        <f>SUM(V124:V154)</f>
        <v>0</v>
      </c>
      <c r="X155">
        <f>SUM(X124:X154)</f>
        <v>396071.92</v>
      </c>
      <c r="Y155">
        <f>SUM(Y124:Y154)</f>
        <v>396071.92</v>
      </c>
      <c r="AA155">
        <f>SUM(AA124:AA154)</f>
        <v>396071.92</v>
      </c>
      <c r="AB155">
        <f>SUM(AB124:AB154)</f>
        <v>396071.92</v>
      </c>
      <c r="AC155">
        <f>SUM(AC124:AC154)</f>
        <v>0</v>
      </c>
      <c r="AJ155">
        <f t="shared" ref="AJ155:AR155" si="114">SUM(AJ124:AJ154)</f>
        <v>0</v>
      </c>
      <c r="AK155">
        <f t="shared" si="114"/>
        <v>0</v>
      </c>
      <c r="AL155">
        <f t="shared" si="114"/>
        <v>0</v>
      </c>
      <c r="AM155">
        <f t="shared" si="114"/>
        <v>0</v>
      </c>
      <c r="AN155">
        <f t="shared" si="114"/>
        <v>0</v>
      </c>
      <c r="AO155">
        <f t="shared" si="114"/>
        <v>0</v>
      </c>
      <c r="AP155">
        <f t="shared" si="114"/>
        <v>0</v>
      </c>
      <c r="AQ155">
        <f t="shared" si="114"/>
        <v>0</v>
      </c>
      <c r="AR155">
        <f t="shared" si="114"/>
        <v>0</v>
      </c>
    </row>
    <row r="156" spans="2:44">
      <c r="C156" t="s">
        <v>316</v>
      </c>
    </row>
    <row r="158" spans="2:44">
      <c r="C158" t="s">
        <v>83</v>
      </c>
      <c r="N158">
        <f>SUM(N155,N119,N107,N48,N22)</f>
        <v>7135395.6600000001</v>
      </c>
      <c r="P158">
        <f>SUM(P155,P119,P107,P48,P22)</f>
        <v>7057084.1065999996</v>
      </c>
      <c r="Q158">
        <f>SUM(Q155,Q119,Q107,Q48,Q22)</f>
        <v>45849.037245120853</v>
      </c>
      <c r="R158">
        <f>SUM(R155,R119,R107,R48,R22)</f>
        <v>72175.732711429038</v>
      </c>
      <c r="V158">
        <f>SUM(V155,V119,V107,V48,V22)</f>
        <v>72175.732711429038</v>
      </c>
      <c r="X158">
        <f>SUM(X155,X119,X107,X48,X22)</f>
        <v>6984908.3738885708</v>
      </c>
      <c r="Y158">
        <f>SUM(Y155,Y119,Y107,Y48,Y22)</f>
        <v>6984908.3738885708</v>
      </c>
      <c r="AA158">
        <f>SUM(AA155,AA119,AA107,AA48,AA22)</f>
        <v>6984908.3738885708</v>
      </c>
      <c r="AB158">
        <f>SUM(AB155,AB119,AB107,AB48,AB22)</f>
        <v>7057084.1065999996</v>
      </c>
      <c r="AC158">
        <f>SUM(AC155,AC119,AC107,AC48,AC22)</f>
        <v>80614.690469999885</v>
      </c>
      <c r="AJ158">
        <f t="shared" ref="AJ158:AR158" si="115">SUM(AJ155,AJ119,AJ107,AJ48,AJ22)</f>
        <v>25579.720728348912</v>
      </c>
      <c r="AK158">
        <f t="shared" si="115"/>
        <v>0</v>
      </c>
      <c r="AL158">
        <f t="shared" si="115"/>
        <v>97755.45343977795</v>
      </c>
      <c r="AM158">
        <f t="shared" si="115"/>
        <v>0</v>
      </c>
      <c r="AN158">
        <f t="shared" si="115"/>
        <v>-68579.233700000012</v>
      </c>
      <c r="AO158">
        <f t="shared" si="115"/>
        <v>0</v>
      </c>
      <c r="AP158">
        <f t="shared" si="115"/>
        <v>10675.468689158766</v>
      </c>
      <c r="AQ158">
        <f t="shared" si="115"/>
        <v>0</v>
      </c>
      <c r="AR158">
        <f t="shared" si="115"/>
        <v>10675.468689158766</v>
      </c>
    </row>
    <row r="175" spans="2:34">
      <c r="C175" t="s">
        <v>430</v>
      </c>
    </row>
    <row r="176" spans="2:34">
      <c r="B176">
        <v>6001</v>
      </c>
      <c r="C176" t="s">
        <v>346</v>
      </c>
      <c r="E176">
        <v>1995</v>
      </c>
      <c r="F176">
        <v>9</v>
      </c>
      <c r="G176">
        <v>0.2</v>
      </c>
      <c r="I176" t="s">
        <v>78</v>
      </c>
      <c r="J176">
        <v>7</v>
      </c>
      <c r="K176">
        <f>E176+J176</f>
        <v>2002</v>
      </c>
      <c r="L176">
        <v>2011</v>
      </c>
      <c r="M176">
        <v>5</v>
      </c>
      <c r="N176">
        <v>4700</v>
      </c>
      <c r="O176">
        <v>0</v>
      </c>
      <c r="P176">
        <f>N176-N176*G176</f>
        <v>3760</v>
      </c>
      <c r="Q176">
        <f>P176/J176/12</f>
        <v>44.761904761904759</v>
      </c>
      <c r="R176">
        <f>IF(O176&gt;0,0,IF(OR(AD176&gt;AE176,AF176&lt;AG176),0,IF(AND(AF176&gt;=AG176,AF176&lt;=AE176),Q176*((AF176-AG176)*12),IF(AND(AG176&lt;=AD176,AE176&gt;=AD176),((AE176-AD176)*12)*Q176,IF(AF176&gt;AE176,12*Q176,0)))))</f>
        <v>0</v>
      </c>
      <c r="S176">
        <f>IF(O176=0,0,IF(AND(AH176&gt;=AG176,AH176&lt;=AF176),((AH176-AG176)*12)*Q176,0))</f>
        <v>0</v>
      </c>
      <c r="T176">
        <f>IF(S176&gt;0,S176,R176)</f>
        <v>0</v>
      </c>
      <c r="U176">
        <v>1</v>
      </c>
      <c r="V176">
        <f>U176*SUM(R176:S176)</f>
        <v>0</v>
      </c>
      <c r="X176">
        <f>IF(AD176&gt;AE176,0,IF(AF176&lt;AG176,P176,IF(AND(AF176&gt;=AG176,AF176&lt;=AE176),(P176-T176),IF(AND(AG176&lt;=AD176,AE176&gt;=AD176),0,IF(AF176&gt;AE176,((AG176-AD176)*12)*Q176,0)))))</f>
        <v>3760</v>
      </c>
      <c r="Y176">
        <f>X176*U176</f>
        <v>3760</v>
      </c>
      <c r="Z176">
        <v>1</v>
      </c>
      <c r="AA176">
        <f>Y176*Z176</f>
        <v>3760</v>
      </c>
      <c r="AB176">
        <f>IF(O176&gt;0,0,AA176+V176*Z176)*Z176</f>
        <v>3760</v>
      </c>
      <c r="AC176">
        <f>IF(O176&gt;0,(N176-AA176)/2,IF(AD176&gt;=AG176,(((N176*U176)*Z176)-AB176)/2,((((N176*U176)*Z176)-AA176)+(((N176*U176)*Z176)-AB176))/2))</f>
        <v>940</v>
      </c>
      <c r="AD176">
        <f>$E176+(($F176-1)/12)</f>
        <v>1995.6666666666667</v>
      </c>
      <c r="AE176">
        <f>($P$5+1)-($P$2/12)</f>
        <v>2023</v>
      </c>
      <c r="AF176">
        <f>$K176+(($F176-1)/12)</f>
        <v>2002.6666666666667</v>
      </c>
      <c r="AG176">
        <f>$P$4+($P$3/12)</f>
        <v>2190.4166666666665</v>
      </c>
      <c r="AH176">
        <f>$L176+(($M176-1)/12)</f>
        <v>2011.3333333333333</v>
      </c>
    </row>
    <row r="178" spans="3:34">
      <c r="C178" t="s">
        <v>431</v>
      </c>
    </row>
    <row r="179" spans="3:34">
      <c r="C179" t="s">
        <v>114</v>
      </c>
      <c r="E179">
        <v>1993</v>
      </c>
      <c r="F179">
        <v>7</v>
      </c>
      <c r="G179">
        <v>0</v>
      </c>
      <c r="I179" t="s">
        <v>78</v>
      </c>
      <c r="J179">
        <v>5</v>
      </c>
      <c r="K179">
        <f t="shared" ref="K179:K210" si="116">E179+J179</f>
        <v>1998</v>
      </c>
      <c r="N179">
        <v>324</v>
      </c>
      <c r="O179">
        <v>0</v>
      </c>
      <c r="P179">
        <f t="shared" ref="P179:P210" si="117">N179-N179*G179</f>
        <v>324</v>
      </c>
      <c r="Q179">
        <f t="shared" ref="Q179:Q210" si="118">P179/J179/12</f>
        <v>5.3999999999999995</v>
      </c>
      <c r="R179">
        <f t="shared" ref="R179:R210" si="119">IF(O179&gt;0,0,IF(OR(AD179&gt;AE179,AF179&lt;AG179),0,IF(AND(AF179&gt;=AG179,AF179&lt;=AE179),Q179*((AF179-AG179)*12),IF(AND(AG179&lt;=AD179,AE179&gt;=AD179),((AE179-AD179)*12)*Q179,IF(AF179&gt;AE179,12*Q179,0)))))</f>
        <v>0</v>
      </c>
      <c r="S179">
        <f t="shared" ref="S179:S210" si="120">IF(O179=0,0,IF(AND(AH179&gt;=AG179,AH179&lt;=AF179),((AH179-AG179)*12)*Q179,0))</f>
        <v>0</v>
      </c>
      <c r="T179">
        <f t="shared" ref="T179:T210" si="121">IF(S179&gt;0,S179,R179)</f>
        <v>0</v>
      </c>
      <c r="U179">
        <v>1</v>
      </c>
      <c r="V179">
        <f t="shared" ref="V179:V210" si="122">U179*SUM(R179:S179)</f>
        <v>0</v>
      </c>
      <c r="X179">
        <f t="shared" ref="X179:X210" si="123">IF(AD179&gt;AE179,0,IF(AF179&lt;AG179,P179,IF(AND(AF179&gt;=AG179,AF179&lt;=AE179),(P179-T179),IF(AND(AG179&lt;=AD179,AE179&gt;=AD179),0,IF(AF179&gt;AE179,((AG179-AD179)*12)*Q179,0)))))</f>
        <v>324</v>
      </c>
      <c r="Y179">
        <f t="shared" ref="Y179:Y210" si="124">X179*U179</f>
        <v>324</v>
      </c>
      <c r="Z179">
        <v>1</v>
      </c>
      <c r="AA179">
        <f t="shared" ref="AA179:AA210" si="125">Y179*Z179</f>
        <v>324</v>
      </c>
      <c r="AB179">
        <f t="shared" ref="AB179:AB210" si="126">IF(O179&gt;0,0,AA179+V179*Z179)*Z179</f>
        <v>324</v>
      </c>
      <c r="AC179">
        <f t="shared" ref="AC179:AC210" si="127">IF(O179&gt;0,(N179-AA179)/2,IF(AD179&gt;=AG179,(((N179*U179)*Z179)-AB179)/2,((((N179*U179)*Z179)-AA179)+(((N179*U179)*Z179)-AB179))/2))</f>
        <v>0</v>
      </c>
      <c r="AD179">
        <f t="shared" ref="AD179:AD210" si="128">$E179+(($F179-1)/12)</f>
        <v>1993.5</v>
      </c>
      <c r="AE179">
        <f>($P$5+1)-($P$2/12)</f>
        <v>2023</v>
      </c>
      <c r="AF179">
        <f t="shared" ref="AF179:AF210" si="129">$K179+(($F179-1)/12)</f>
        <v>1998.5</v>
      </c>
      <c r="AG179">
        <f>$P$4+($P$3/12)</f>
        <v>2190.4166666666665</v>
      </c>
      <c r="AH179">
        <f t="shared" ref="AH179:AH210" si="130">$L179+(($M179-1)/12)</f>
        <v>-8.3333333333333329E-2</v>
      </c>
    </row>
    <row r="180" spans="3:34">
      <c r="C180" t="s">
        <v>120</v>
      </c>
      <c r="E180">
        <v>2000</v>
      </c>
      <c r="F180">
        <v>9</v>
      </c>
      <c r="G180">
        <v>0</v>
      </c>
      <c r="I180" t="s">
        <v>78</v>
      </c>
      <c r="J180">
        <v>5</v>
      </c>
      <c r="K180">
        <f t="shared" si="116"/>
        <v>2005</v>
      </c>
      <c r="N180">
        <v>1404</v>
      </c>
      <c r="O180">
        <v>0</v>
      </c>
      <c r="P180">
        <f t="shared" si="117"/>
        <v>1404</v>
      </c>
      <c r="Q180">
        <f t="shared" si="118"/>
        <v>23.400000000000002</v>
      </c>
      <c r="R180">
        <f t="shared" si="119"/>
        <v>0</v>
      </c>
      <c r="S180">
        <f t="shared" si="120"/>
        <v>0</v>
      </c>
      <c r="T180">
        <f t="shared" si="121"/>
        <v>0</v>
      </c>
      <c r="U180">
        <v>1</v>
      </c>
      <c r="V180">
        <f t="shared" si="122"/>
        <v>0</v>
      </c>
      <c r="X180">
        <f t="shared" si="123"/>
        <v>1404</v>
      </c>
      <c r="Y180">
        <f t="shared" si="124"/>
        <v>1404</v>
      </c>
      <c r="Z180">
        <v>1</v>
      </c>
      <c r="AA180">
        <f t="shared" si="125"/>
        <v>1404</v>
      </c>
      <c r="AB180">
        <f t="shared" si="126"/>
        <v>1404</v>
      </c>
      <c r="AC180">
        <f t="shared" si="127"/>
        <v>0</v>
      </c>
      <c r="AD180">
        <f t="shared" si="128"/>
        <v>2000.6666666666667</v>
      </c>
      <c r="AE180">
        <f>($P$5+1)-($P$2/12)</f>
        <v>2023</v>
      </c>
      <c r="AF180">
        <f t="shared" si="129"/>
        <v>2005.6666666666667</v>
      </c>
      <c r="AG180">
        <f>$P$4+($P$3/12)</f>
        <v>2190.4166666666665</v>
      </c>
      <c r="AH180">
        <f t="shared" si="130"/>
        <v>-8.3333333333333329E-2</v>
      </c>
    </row>
    <row r="181" spans="3:34">
      <c r="C181" t="s">
        <v>119</v>
      </c>
      <c r="E181">
        <v>2000</v>
      </c>
      <c r="F181">
        <v>3</v>
      </c>
      <c r="G181">
        <v>0</v>
      </c>
      <c r="I181" t="s">
        <v>78</v>
      </c>
      <c r="J181">
        <v>5</v>
      </c>
      <c r="K181">
        <f t="shared" si="116"/>
        <v>2005</v>
      </c>
      <c r="N181">
        <v>31909.42</v>
      </c>
      <c r="O181">
        <v>0</v>
      </c>
      <c r="P181">
        <f t="shared" si="117"/>
        <v>31909.42</v>
      </c>
      <c r="Q181">
        <f t="shared" si="118"/>
        <v>531.82366666666667</v>
      </c>
      <c r="R181">
        <f t="shared" si="119"/>
        <v>0</v>
      </c>
      <c r="S181">
        <f t="shared" si="120"/>
        <v>0</v>
      </c>
      <c r="T181">
        <f t="shared" si="121"/>
        <v>0</v>
      </c>
      <c r="U181">
        <v>1</v>
      </c>
      <c r="V181">
        <f t="shared" si="122"/>
        <v>0</v>
      </c>
      <c r="X181">
        <f t="shared" si="123"/>
        <v>31909.42</v>
      </c>
      <c r="Y181">
        <f t="shared" si="124"/>
        <v>31909.42</v>
      </c>
      <c r="Z181">
        <v>1</v>
      </c>
      <c r="AA181">
        <f t="shared" si="125"/>
        <v>31909.42</v>
      </c>
      <c r="AB181">
        <f t="shared" si="126"/>
        <v>31909.42</v>
      </c>
      <c r="AC181">
        <f t="shared" si="127"/>
        <v>0</v>
      </c>
      <c r="AD181">
        <f t="shared" si="128"/>
        <v>2000.1666666666667</v>
      </c>
      <c r="AE181">
        <f>($P$5+1)-($P$2/12)</f>
        <v>2023</v>
      </c>
      <c r="AF181">
        <f t="shared" si="129"/>
        <v>2005.1666666666667</v>
      </c>
      <c r="AG181">
        <f>$P$4+($P$3/12)</f>
        <v>2190.4166666666665</v>
      </c>
      <c r="AH181">
        <f t="shared" si="130"/>
        <v>-8.3333333333333329E-2</v>
      </c>
    </row>
    <row r="182" spans="3:34">
      <c r="C182" t="s">
        <v>214</v>
      </c>
      <c r="E182">
        <v>2001</v>
      </c>
      <c r="F182">
        <v>5</v>
      </c>
      <c r="G182">
        <v>0</v>
      </c>
      <c r="I182" t="s">
        <v>78</v>
      </c>
      <c r="J182">
        <v>5</v>
      </c>
      <c r="K182">
        <f t="shared" si="116"/>
        <v>2006</v>
      </c>
      <c r="N182">
        <v>1024.98</v>
      </c>
      <c r="O182">
        <v>0</v>
      </c>
      <c r="P182">
        <f t="shared" si="117"/>
        <v>1024.98</v>
      </c>
      <c r="Q182">
        <f t="shared" si="118"/>
        <v>17.083000000000002</v>
      </c>
      <c r="R182">
        <f t="shared" si="119"/>
        <v>0</v>
      </c>
      <c r="S182">
        <f t="shared" si="120"/>
        <v>0</v>
      </c>
      <c r="T182">
        <f t="shared" si="121"/>
        <v>0</v>
      </c>
      <c r="U182">
        <v>1</v>
      </c>
      <c r="V182">
        <f t="shared" si="122"/>
        <v>0</v>
      </c>
      <c r="X182">
        <f t="shared" si="123"/>
        <v>1024.98</v>
      </c>
      <c r="Y182">
        <f t="shared" si="124"/>
        <v>1024.98</v>
      </c>
      <c r="Z182">
        <v>1</v>
      </c>
      <c r="AA182">
        <f t="shared" si="125"/>
        <v>1024.98</v>
      </c>
      <c r="AB182">
        <f t="shared" si="126"/>
        <v>1024.98</v>
      </c>
      <c r="AC182">
        <f t="shared" si="127"/>
        <v>0</v>
      </c>
      <c r="AD182">
        <f t="shared" si="128"/>
        <v>2001.3333333333333</v>
      </c>
      <c r="AE182">
        <f>($P$5+1)-($P$2/12)</f>
        <v>2023</v>
      </c>
      <c r="AF182">
        <f t="shared" si="129"/>
        <v>2006.3333333333333</v>
      </c>
      <c r="AG182">
        <f>$P$4+($P$3/12)</f>
        <v>2190.4166666666665</v>
      </c>
      <c r="AH182">
        <f t="shared" si="130"/>
        <v>-8.3333333333333329E-2</v>
      </c>
    </row>
    <row r="183" spans="3:34">
      <c r="C183" t="s">
        <v>103</v>
      </c>
      <c r="E183">
        <v>2001</v>
      </c>
      <c r="F183">
        <v>10</v>
      </c>
      <c r="G183">
        <v>0</v>
      </c>
      <c r="I183" t="s">
        <v>78</v>
      </c>
      <c r="J183">
        <v>5</v>
      </c>
      <c r="K183">
        <f t="shared" si="116"/>
        <v>2006</v>
      </c>
      <c r="N183">
        <v>4860</v>
      </c>
      <c r="O183">
        <v>0</v>
      </c>
      <c r="P183">
        <f t="shared" si="117"/>
        <v>4860</v>
      </c>
      <c r="Q183">
        <f t="shared" si="118"/>
        <v>81</v>
      </c>
      <c r="R183">
        <f t="shared" si="119"/>
        <v>0</v>
      </c>
      <c r="S183">
        <f t="shared" si="120"/>
        <v>0</v>
      </c>
      <c r="T183">
        <f t="shared" si="121"/>
        <v>0</v>
      </c>
      <c r="U183">
        <v>1</v>
      </c>
      <c r="V183">
        <f t="shared" si="122"/>
        <v>0</v>
      </c>
      <c r="X183">
        <f t="shared" si="123"/>
        <v>4860</v>
      </c>
      <c r="Y183">
        <f t="shared" si="124"/>
        <v>4860</v>
      </c>
      <c r="Z183">
        <v>1</v>
      </c>
      <c r="AA183">
        <f t="shared" si="125"/>
        <v>4860</v>
      </c>
      <c r="AB183">
        <f t="shared" si="126"/>
        <v>4860</v>
      </c>
      <c r="AC183">
        <f t="shared" si="127"/>
        <v>0</v>
      </c>
      <c r="AD183">
        <f t="shared" si="128"/>
        <v>2001.75</v>
      </c>
      <c r="AE183">
        <f>($P$5+1)-($P$2/12)</f>
        <v>2023</v>
      </c>
      <c r="AF183">
        <f t="shared" si="129"/>
        <v>2006.75</v>
      </c>
      <c r="AG183">
        <f>$P$4+($P$3/12)</f>
        <v>2190.4166666666665</v>
      </c>
      <c r="AH183">
        <f t="shared" si="130"/>
        <v>-8.3333333333333329E-2</v>
      </c>
    </row>
    <row r="184" spans="3:34">
      <c r="C184" t="s">
        <v>367</v>
      </c>
      <c r="E184">
        <v>1995</v>
      </c>
      <c r="F184">
        <v>7</v>
      </c>
      <c r="G184">
        <v>0</v>
      </c>
      <c r="I184" t="s">
        <v>78</v>
      </c>
      <c r="J184">
        <v>5</v>
      </c>
      <c r="K184">
        <f t="shared" si="116"/>
        <v>2000</v>
      </c>
      <c r="N184">
        <v>2119</v>
      </c>
      <c r="O184">
        <v>0</v>
      </c>
      <c r="P184">
        <f t="shared" si="117"/>
        <v>2119</v>
      </c>
      <c r="Q184">
        <f t="shared" si="118"/>
        <v>35.31666666666667</v>
      </c>
      <c r="R184">
        <f t="shared" si="119"/>
        <v>0</v>
      </c>
      <c r="S184">
        <f t="shared" si="120"/>
        <v>0</v>
      </c>
      <c r="T184">
        <f t="shared" si="121"/>
        <v>0</v>
      </c>
      <c r="U184">
        <v>1</v>
      </c>
      <c r="V184">
        <f t="shared" si="122"/>
        <v>0</v>
      </c>
      <c r="X184">
        <f t="shared" si="123"/>
        <v>2119</v>
      </c>
      <c r="Y184">
        <f t="shared" si="124"/>
        <v>2119</v>
      </c>
      <c r="Z184">
        <v>1</v>
      </c>
      <c r="AA184">
        <f t="shared" si="125"/>
        <v>2119</v>
      </c>
      <c r="AB184">
        <f t="shared" si="126"/>
        <v>2119</v>
      </c>
      <c r="AC184">
        <f t="shared" si="127"/>
        <v>0</v>
      </c>
      <c r="AD184">
        <f t="shared" si="128"/>
        <v>1995.5</v>
      </c>
      <c r="AE184">
        <f t="shared" si="93"/>
        <v>2023</v>
      </c>
      <c r="AF184">
        <f t="shared" si="129"/>
        <v>2000.5</v>
      </c>
      <c r="AG184">
        <f t="shared" si="95"/>
        <v>2190.4166666666665</v>
      </c>
      <c r="AH184">
        <f t="shared" si="130"/>
        <v>-8.3333333333333329E-2</v>
      </c>
    </row>
    <row r="185" spans="3:34">
      <c r="C185" t="s">
        <v>368</v>
      </c>
      <c r="E185">
        <v>1995</v>
      </c>
      <c r="F185">
        <v>7</v>
      </c>
      <c r="G185">
        <v>0</v>
      </c>
      <c r="I185" t="s">
        <v>78</v>
      </c>
      <c r="J185">
        <v>5</v>
      </c>
      <c r="K185">
        <f t="shared" si="116"/>
        <v>2000</v>
      </c>
      <c r="N185">
        <v>4200</v>
      </c>
      <c r="O185">
        <v>0</v>
      </c>
      <c r="P185">
        <f t="shared" si="117"/>
        <v>4200</v>
      </c>
      <c r="Q185">
        <f t="shared" si="118"/>
        <v>70</v>
      </c>
      <c r="R185">
        <f t="shared" si="119"/>
        <v>0</v>
      </c>
      <c r="S185">
        <f t="shared" si="120"/>
        <v>0</v>
      </c>
      <c r="T185">
        <f t="shared" si="121"/>
        <v>0</v>
      </c>
      <c r="U185">
        <v>1</v>
      </c>
      <c r="V185">
        <f t="shared" si="122"/>
        <v>0</v>
      </c>
      <c r="X185">
        <f t="shared" si="123"/>
        <v>4200</v>
      </c>
      <c r="Y185">
        <f t="shared" si="124"/>
        <v>4200</v>
      </c>
      <c r="Z185">
        <v>1</v>
      </c>
      <c r="AA185">
        <f t="shared" si="125"/>
        <v>4200</v>
      </c>
      <c r="AB185">
        <f t="shared" si="126"/>
        <v>4200</v>
      </c>
      <c r="AC185">
        <f t="shared" si="127"/>
        <v>0</v>
      </c>
      <c r="AD185">
        <f t="shared" si="128"/>
        <v>1995.5</v>
      </c>
      <c r="AE185">
        <f t="shared" si="93"/>
        <v>2023</v>
      </c>
      <c r="AF185">
        <f t="shared" si="129"/>
        <v>2000.5</v>
      </c>
      <c r="AG185">
        <f t="shared" si="95"/>
        <v>2190.4166666666665</v>
      </c>
      <c r="AH185">
        <f t="shared" si="130"/>
        <v>-8.3333333333333329E-2</v>
      </c>
    </row>
    <row r="186" spans="3:34">
      <c r="C186" t="s">
        <v>213</v>
      </c>
      <c r="E186">
        <v>1995</v>
      </c>
      <c r="F186">
        <v>8</v>
      </c>
      <c r="G186">
        <v>0</v>
      </c>
      <c r="I186" t="s">
        <v>78</v>
      </c>
      <c r="J186">
        <v>5</v>
      </c>
      <c r="K186">
        <f t="shared" si="116"/>
        <v>2000</v>
      </c>
      <c r="N186">
        <v>14968</v>
      </c>
      <c r="O186">
        <v>0</v>
      </c>
      <c r="P186">
        <f t="shared" si="117"/>
        <v>14968</v>
      </c>
      <c r="Q186">
        <f t="shared" si="118"/>
        <v>249.46666666666667</v>
      </c>
      <c r="R186">
        <f t="shared" si="119"/>
        <v>0</v>
      </c>
      <c r="S186">
        <f t="shared" si="120"/>
        <v>0</v>
      </c>
      <c r="T186">
        <f t="shared" si="121"/>
        <v>0</v>
      </c>
      <c r="U186">
        <v>1</v>
      </c>
      <c r="V186">
        <f t="shared" si="122"/>
        <v>0</v>
      </c>
      <c r="X186">
        <f t="shared" si="123"/>
        <v>14968</v>
      </c>
      <c r="Y186">
        <f t="shared" si="124"/>
        <v>14968</v>
      </c>
      <c r="Z186">
        <v>1</v>
      </c>
      <c r="AA186">
        <f t="shared" si="125"/>
        <v>14968</v>
      </c>
      <c r="AB186">
        <f t="shared" si="126"/>
        <v>14968</v>
      </c>
      <c r="AC186">
        <f t="shared" si="127"/>
        <v>0</v>
      </c>
      <c r="AD186">
        <f t="shared" si="128"/>
        <v>1995.5833333333333</v>
      </c>
      <c r="AE186">
        <f t="shared" si="93"/>
        <v>2023</v>
      </c>
      <c r="AF186">
        <f t="shared" si="129"/>
        <v>2000.5833333333333</v>
      </c>
      <c r="AG186">
        <f t="shared" si="95"/>
        <v>2190.4166666666665</v>
      </c>
      <c r="AH186">
        <f t="shared" si="130"/>
        <v>-8.3333333333333329E-2</v>
      </c>
    </row>
    <row r="187" spans="3:34">
      <c r="C187" t="s">
        <v>366</v>
      </c>
      <c r="E187">
        <v>1995</v>
      </c>
      <c r="F187">
        <v>11</v>
      </c>
      <c r="G187">
        <v>0</v>
      </c>
      <c r="I187" t="s">
        <v>78</v>
      </c>
      <c r="J187">
        <v>5</v>
      </c>
      <c r="K187">
        <f t="shared" si="116"/>
        <v>2000</v>
      </c>
      <c r="N187">
        <v>1726</v>
      </c>
      <c r="O187">
        <v>0</v>
      </c>
      <c r="P187">
        <f t="shared" si="117"/>
        <v>1726</v>
      </c>
      <c r="Q187">
        <f t="shared" si="118"/>
        <v>28.766666666666666</v>
      </c>
      <c r="R187">
        <f t="shared" si="119"/>
        <v>0</v>
      </c>
      <c r="S187">
        <f t="shared" si="120"/>
        <v>0</v>
      </c>
      <c r="T187">
        <f t="shared" si="121"/>
        <v>0</v>
      </c>
      <c r="U187">
        <v>1</v>
      </c>
      <c r="V187">
        <f t="shared" si="122"/>
        <v>0</v>
      </c>
      <c r="X187">
        <f t="shared" si="123"/>
        <v>1726</v>
      </c>
      <c r="Y187">
        <f t="shared" si="124"/>
        <v>1726</v>
      </c>
      <c r="Z187">
        <v>1</v>
      </c>
      <c r="AA187">
        <f t="shared" si="125"/>
        <v>1726</v>
      </c>
      <c r="AB187">
        <f t="shared" si="126"/>
        <v>1726</v>
      </c>
      <c r="AC187">
        <f t="shared" si="127"/>
        <v>0</v>
      </c>
      <c r="AD187">
        <f t="shared" si="128"/>
        <v>1995.8333333333333</v>
      </c>
      <c r="AE187">
        <f t="shared" si="93"/>
        <v>2023</v>
      </c>
      <c r="AF187">
        <f t="shared" si="129"/>
        <v>2000.8333333333333</v>
      </c>
      <c r="AG187">
        <f t="shared" si="95"/>
        <v>2190.4166666666665</v>
      </c>
      <c r="AH187">
        <f t="shared" si="130"/>
        <v>-8.3333333333333329E-2</v>
      </c>
    </row>
    <row r="188" spans="3:34">
      <c r="C188" t="s">
        <v>3</v>
      </c>
      <c r="E188">
        <v>1995</v>
      </c>
      <c r="F188">
        <v>11</v>
      </c>
      <c r="G188">
        <v>0</v>
      </c>
      <c r="I188" t="s">
        <v>78</v>
      </c>
      <c r="J188">
        <v>5</v>
      </c>
      <c r="K188">
        <f t="shared" si="116"/>
        <v>2000</v>
      </c>
      <c r="N188">
        <v>1463.74</v>
      </c>
      <c r="O188">
        <v>0</v>
      </c>
      <c r="P188">
        <f t="shared" si="117"/>
        <v>1463.74</v>
      </c>
      <c r="Q188">
        <f t="shared" si="118"/>
        <v>24.395666666666667</v>
      </c>
      <c r="R188">
        <f t="shared" si="119"/>
        <v>0</v>
      </c>
      <c r="S188">
        <f t="shared" si="120"/>
        <v>0</v>
      </c>
      <c r="T188">
        <f t="shared" si="121"/>
        <v>0</v>
      </c>
      <c r="U188">
        <v>1</v>
      </c>
      <c r="V188">
        <f t="shared" si="122"/>
        <v>0</v>
      </c>
      <c r="X188">
        <f t="shared" si="123"/>
        <v>1463.74</v>
      </c>
      <c r="Y188">
        <f t="shared" si="124"/>
        <v>1463.74</v>
      </c>
      <c r="Z188">
        <v>1</v>
      </c>
      <c r="AA188">
        <f t="shared" si="125"/>
        <v>1463.74</v>
      </c>
      <c r="AB188">
        <f t="shared" si="126"/>
        <v>1463.74</v>
      </c>
      <c r="AC188">
        <f t="shared" si="127"/>
        <v>0</v>
      </c>
      <c r="AD188">
        <f t="shared" si="128"/>
        <v>1995.8333333333333</v>
      </c>
      <c r="AE188">
        <f t="shared" si="93"/>
        <v>2023</v>
      </c>
      <c r="AF188">
        <f t="shared" si="129"/>
        <v>2000.8333333333333</v>
      </c>
      <c r="AG188">
        <f t="shared" si="95"/>
        <v>2190.4166666666665</v>
      </c>
      <c r="AH188">
        <f t="shared" si="130"/>
        <v>-8.3333333333333329E-2</v>
      </c>
    </row>
    <row r="189" spans="3:34">
      <c r="C189" t="s">
        <v>365</v>
      </c>
      <c r="E189">
        <v>1995</v>
      </c>
      <c r="F189">
        <v>12</v>
      </c>
      <c r="G189">
        <v>0</v>
      </c>
      <c r="I189" t="s">
        <v>78</v>
      </c>
      <c r="J189">
        <v>5</v>
      </c>
      <c r="K189">
        <f t="shared" si="116"/>
        <v>2000</v>
      </c>
      <c r="N189">
        <v>8580</v>
      </c>
      <c r="O189">
        <v>0</v>
      </c>
      <c r="P189">
        <f t="shared" si="117"/>
        <v>8580</v>
      </c>
      <c r="Q189">
        <f t="shared" si="118"/>
        <v>143</v>
      </c>
      <c r="R189">
        <f t="shared" si="119"/>
        <v>0</v>
      </c>
      <c r="S189">
        <f t="shared" si="120"/>
        <v>0</v>
      </c>
      <c r="T189">
        <f t="shared" si="121"/>
        <v>0</v>
      </c>
      <c r="U189">
        <v>1</v>
      </c>
      <c r="V189">
        <f t="shared" si="122"/>
        <v>0</v>
      </c>
      <c r="X189">
        <f t="shared" si="123"/>
        <v>8580</v>
      </c>
      <c r="Y189">
        <f t="shared" si="124"/>
        <v>8580</v>
      </c>
      <c r="Z189">
        <v>1</v>
      </c>
      <c r="AA189">
        <f t="shared" si="125"/>
        <v>8580</v>
      </c>
      <c r="AB189">
        <f t="shared" si="126"/>
        <v>8580</v>
      </c>
      <c r="AC189">
        <f t="shared" si="127"/>
        <v>0</v>
      </c>
      <c r="AD189">
        <f t="shared" si="128"/>
        <v>1995.9166666666667</v>
      </c>
      <c r="AE189">
        <f t="shared" si="93"/>
        <v>2023</v>
      </c>
      <c r="AF189">
        <f t="shared" si="129"/>
        <v>2000.9166666666667</v>
      </c>
      <c r="AG189">
        <f t="shared" si="95"/>
        <v>2190.4166666666665</v>
      </c>
      <c r="AH189">
        <f t="shared" si="130"/>
        <v>-8.3333333333333329E-2</v>
      </c>
    </row>
    <row r="190" spans="3:34">
      <c r="C190" t="s">
        <v>203</v>
      </c>
      <c r="E190">
        <v>1997</v>
      </c>
      <c r="F190">
        <v>12</v>
      </c>
      <c r="G190">
        <v>0</v>
      </c>
      <c r="I190" t="s">
        <v>78</v>
      </c>
      <c r="J190">
        <v>5</v>
      </c>
      <c r="K190">
        <f t="shared" si="116"/>
        <v>2002</v>
      </c>
      <c r="N190">
        <v>3888</v>
      </c>
      <c r="O190">
        <v>0</v>
      </c>
      <c r="P190">
        <f t="shared" si="117"/>
        <v>3888</v>
      </c>
      <c r="Q190">
        <f t="shared" si="118"/>
        <v>64.8</v>
      </c>
      <c r="R190">
        <f t="shared" si="119"/>
        <v>0</v>
      </c>
      <c r="S190">
        <f t="shared" si="120"/>
        <v>0</v>
      </c>
      <c r="T190">
        <f t="shared" si="121"/>
        <v>0</v>
      </c>
      <c r="U190">
        <v>1</v>
      </c>
      <c r="V190">
        <f t="shared" si="122"/>
        <v>0</v>
      </c>
      <c r="X190">
        <f t="shared" si="123"/>
        <v>3888</v>
      </c>
      <c r="Y190">
        <f t="shared" si="124"/>
        <v>3888</v>
      </c>
      <c r="Z190">
        <v>1</v>
      </c>
      <c r="AA190">
        <f t="shared" si="125"/>
        <v>3888</v>
      </c>
      <c r="AB190">
        <f t="shared" si="126"/>
        <v>3888</v>
      </c>
      <c r="AC190">
        <f t="shared" si="127"/>
        <v>0</v>
      </c>
      <c r="AD190">
        <f t="shared" si="128"/>
        <v>1997.9166666666667</v>
      </c>
      <c r="AE190">
        <f t="shared" si="93"/>
        <v>2023</v>
      </c>
      <c r="AF190">
        <f t="shared" si="129"/>
        <v>2002.9166666666667</v>
      </c>
      <c r="AG190">
        <f t="shared" si="95"/>
        <v>2190.4166666666665</v>
      </c>
      <c r="AH190">
        <f t="shared" si="130"/>
        <v>-8.3333333333333329E-2</v>
      </c>
    </row>
    <row r="191" spans="3:34">
      <c r="C191" t="s">
        <v>204</v>
      </c>
      <c r="E191">
        <v>1998</v>
      </c>
      <c r="F191">
        <v>1</v>
      </c>
      <c r="G191">
        <v>0</v>
      </c>
      <c r="I191" t="s">
        <v>78</v>
      </c>
      <c r="J191">
        <v>5</v>
      </c>
      <c r="K191">
        <f t="shared" si="116"/>
        <v>2003</v>
      </c>
      <c r="N191">
        <v>9666</v>
      </c>
      <c r="O191">
        <v>0</v>
      </c>
      <c r="P191">
        <f t="shared" si="117"/>
        <v>9666</v>
      </c>
      <c r="Q191">
        <f t="shared" si="118"/>
        <v>161.1</v>
      </c>
      <c r="R191">
        <f t="shared" si="119"/>
        <v>0</v>
      </c>
      <c r="S191">
        <f t="shared" si="120"/>
        <v>0</v>
      </c>
      <c r="T191">
        <f t="shared" si="121"/>
        <v>0</v>
      </c>
      <c r="U191">
        <v>1</v>
      </c>
      <c r="V191">
        <f t="shared" si="122"/>
        <v>0</v>
      </c>
      <c r="X191">
        <f t="shared" si="123"/>
        <v>9666</v>
      </c>
      <c r="Y191">
        <f t="shared" si="124"/>
        <v>9666</v>
      </c>
      <c r="Z191">
        <v>1</v>
      </c>
      <c r="AA191">
        <f t="shared" si="125"/>
        <v>9666</v>
      </c>
      <c r="AB191">
        <f t="shared" si="126"/>
        <v>9666</v>
      </c>
      <c r="AC191">
        <f t="shared" si="127"/>
        <v>0</v>
      </c>
      <c r="AD191">
        <f t="shared" si="128"/>
        <v>1998</v>
      </c>
      <c r="AE191">
        <f t="shared" si="93"/>
        <v>2023</v>
      </c>
      <c r="AF191">
        <f t="shared" si="129"/>
        <v>2003</v>
      </c>
      <c r="AG191">
        <f t="shared" si="95"/>
        <v>2190.4166666666665</v>
      </c>
      <c r="AH191">
        <f t="shared" si="130"/>
        <v>-8.3333333333333329E-2</v>
      </c>
    </row>
    <row r="192" spans="3:34">
      <c r="C192" t="s">
        <v>205</v>
      </c>
      <c r="E192">
        <v>1998</v>
      </c>
      <c r="F192">
        <v>3</v>
      </c>
      <c r="G192">
        <v>0</v>
      </c>
      <c r="I192" t="s">
        <v>78</v>
      </c>
      <c r="J192">
        <v>5</v>
      </c>
      <c r="K192">
        <f t="shared" si="116"/>
        <v>2003</v>
      </c>
      <c r="N192">
        <v>4500</v>
      </c>
      <c r="O192">
        <v>0</v>
      </c>
      <c r="P192">
        <f t="shared" si="117"/>
        <v>4500</v>
      </c>
      <c r="Q192">
        <f t="shared" si="118"/>
        <v>75</v>
      </c>
      <c r="R192">
        <f t="shared" si="119"/>
        <v>0</v>
      </c>
      <c r="S192">
        <f t="shared" si="120"/>
        <v>0</v>
      </c>
      <c r="T192">
        <f t="shared" si="121"/>
        <v>0</v>
      </c>
      <c r="U192">
        <v>1</v>
      </c>
      <c r="V192">
        <f t="shared" si="122"/>
        <v>0</v>
      </c>
      <c r="X192">
        <f t="shared" si="123"/>
        <v>4500</v>
      </c>
      <c r="Y192">
        <f t="shared" si="124"/>
        <v>4500</v>
      </c>
      <c r="Z192">
        <v>1</v>
      </c>
      <c r="AA192">
        <f t="shared" si="125"/>
        <v>4500</v>
      </c>
      <c r="AB192">
        <f t="shared" si="126"/>
        <v>4500</v>
      </c>
      <c r="AC192">
        <f t="shared" si="127"/>
        <v>0</v>
      </c>
      <c r="AD192">
        <f t="shared" si="128"/>
        <v>1998.1666666666667</v>
      </c>
      <c r="AE192">
        <f t="shared" si="93"/>
        <v>2023</v>
      </c>
      <c r="AF192">
        <f t="shared" si="129"/>
        <v>2003.1666666666667</v>
      </c>
      <c r="AG192">
        <f t="shared" si="95"/>
        <v>2190.4166666666665</v>
      </c>
      <c r="AH192">
        <f t="shared" si="130"/>
        <v>-8.3333333333333329E-2</v>
      </c>
    </row>
    <row r="193" spans="3:34">
      <c r="C193" t="s">
        <v>206</v>
      </c>
      <c r="E193">
        <v>1998</v>
      </c>
      <c r="F193">
        <v>4</v>
      </c>
      <c r="G193">
        <v>0</v>
      </c>
      <c r="I193" t="s">
        <v>78</v>
      </c>
      <c r="J193">
        <v>5</v>
      </c>
      <c r="K193">
        <f t="shared" si="116"/>
        <v>2003</v>
      </c>
      <c r="N193">
        <v>1052.21</v>
      </c>
      <c r="O193">
        <v>0</v>
      </c>
      <c r="P193">
        <f t="shared" si="117"/>
        <v>1052.21</v>
      </c>
      <c r="Q193">
        <f t="shared" si="118"/>
        <v>17.536833333333334</v>
      </c>
      <c r="R193">
        <f t="shared" si="119"/>
        <v>0</v>
      </c>
      <c r="S193">
        <f t="shared" si="120"/>
        <v>0</v>
      </c>
      <c r="T193">
        <f t="shared" si="121"/>
        <v>0</v>
      </c>
      <c r="U193">
        <v>1</v>
      </c>
      <c r="V193">
        <f t="shared" si="122"/>
        <v>0</v>
      </c>
      <c r="X193">
        <f t="shared" si="123"/>
        <v>1052.21</v>
      </c>
      <c r="Y193">
        <f t="shared" si="124"/>
        <v>1052.21</v>
      </c>
      <c r="Z193">
        <v>1</v>
      </c>
      <c r="AA193">
        <f t="shared" si="125"/>
        <v>1052.21</v>
      </c>
      <c r="AB193">
        <f t="shared" si="126"/>
        <v>1052.21</v>
      </c>
      <c r="AC193">
        <f t="shared" si="127"/>
        <v>0</v>
      </c>
      <c r="AD193">
        <f t="shared" si="128"/>
        <v>1998.25</v>
      </c>
      <c r="AE193">
        <f t="shared" si="93"/>
        <v>2023</v>
      </c>
      <c r="AF193">
        <f t="shared" si="129"/>
        <v>2003.25</v>
      </c>
      <c r="AG193">
        <f t="shared" si="95"/>
        <v>2190.4166666666665</v>
      </c>
      <c r="AH193">
        <f t="shared" si="130"/>
        <v>-8.3333333333333329E-2</v>
      </c>
    </row>
    <row r="194" spans="3:34">
      <c r="C194" t="s">
        <v>207</v>
      </c>
      <c r="E194">
        <v>1999</v>
      </c>
      <c r="F194">
        <v>1</v>
      </c>
      <c r="G194">
        <v>0</v>
      </c>
      <c r="I194" t="s">
        <v>78</v>
      </c>
      <c r="J194">
        <v>5</v>
      </c>
      <c r="K194">
        <f t="shared" si="116"/>
        <v>2004</v>
      </c>
      <c r="N194">
        <v>3439.37</v>
      </c>
      <c r="O194">
        <v>0</v>
      </c>
      <c r="P194">
        <f t="shared" si="117"/>
        <v>3439.37</v>
      </c>
      <c r="Q194">
        <f t="shared" si="118"/>
        <v>57.322833333333335</v>
      </c>
      <c r="R194">
        <f t="shared" si="119"/>
        <v>0</v>
      </c>
      <c r="S194">
        <f t="shared" si="120"/>
        <v>0</v>
      </c>
      <c r="T194">
        <f t="shared" si="121"/>
        <v>0</v>
      </c>
      <c r="U194">
        <v>1</v>
      </c>
      <c r="V194">
        <f t="shared" si="122"/>
        <v>0</v>
      </c>
      <c r="X194">
        <f t="shared" si="123"/>
        <v>3439.37</v>
      </c>
      <c r="Y194">
        <f t="shared" si="124"/>
        <v>3439.37</v>
      </c>
      <c r="Z194">
        <v>1</v>
      </c>
      <c r="AA194">
        <f t="shared" si="125"/>
        <v>3439.37</v>
      </c>
      <c r="AB194">
        <f t="shared" si="126"/>
        <v>3439.37</v>
      </c>
      <c r="AC194">
        <f t="shared" si="127"/>
        <v>0</v>
      </c>
      <c r="AD194">
        <f t="shared" si="128"/>
        <v>1999</v>
      </c>
      <c r="AE194">
        <f t="shared" si="93"/>
        <v>2023</v>
      </c>
      <c r="AF194">
        <f t="shared" si="129"/>
        <v>2004</v>
      </c>
      <c r="AG194">
        <f t="shared" si="95"/>
        <v>2190.4166666666665</v>
      </c>
      <c r="AH194">
        <f t="shared" si="130"/>
        <v>-8.3333333333333329E-2</v>
      </c>
    </row>
    <row r="195" spans="3:34">
      <c r="C195" t="s">
        <v>209</v>
      </c>
      <c r="E195">
        <v>1999</v>
      </c>
      <c r="F195">
        <v>9</v>
      </c>
      <c r="G195">
        <v>0</v>
      </c>
      <c r="I195" t="s">
        <v>78</v>
      </c>
      <c r="J195">
        <v>5</v>
      </c>
      <c r="K195">
        <f t="shared" si="116"/>
        <v>2004</v>
      </c>
      <c r="N195">
        <v>255.49</v>
      </c>
      <c r="O195">
        <v>0</v>
      </c>
      <c r="P195">
        <f t="shared" si="117"/>
        <v>255.49</v>
      </c>
      <c r="Q195">
        <f t="shared" si="118"/>
        <v>4.2581666666666669</v>
      </c>
      <c r="R195">
        <f t="shared" si="119"/>
        <v>0</v>
      </c>
      <c r="S195">
        <f t="shared" si="120"/>
        <v>0</v>
      </c>
      <c r="T195">
        <f t="shared" si="121"/>
        <v>0</v>
      </c>
      <c r="U195">
        <v>1</v>
      </c>
      <c r="V195">
        <f t="shared" si="122"/>
        <v>0</v>
      </c>
      <c r="X195">
        <f t="shared" si="123"/>
        <v>255.49</v>
      </c>
      <c r="Y195">
        <f t="shared" si="124"/>
        <v>255.49</v>
      </c>
      <c r="Z195">
        <v>1</v>
      </c>
      <c r="AA195">
        <f t="shared" si="125"/>
        <v>255.49</v>
      </c>
      <c r="AB195">
        <f t="shared" si="126"/>
        <v>255.49</v>
      </c>
      <c r="AC195">
        <f t="shared" si="127"/>
        <v>0</v>
      </c>
      <c r="AD195">
        <f t="shared" si="128"/>
        <v>1999.6666666666667</v>
      </c>
      <c r="AE195">
        <f t="shared" si="93"/>
        <v>2023</v>
      </c>
      <c r="AF195">
        <f t="shared" si="129"/>
        <v>2004.6666666666667</v>
      </c>
      <c r="AG195">
        <f t="shared" si="95"/>
        <v>2190.4166666666665</v>
      </c>
      <c r="AH195">
        <f t="shared" si="130"/>
        <v>-8.3333333333333329E-2</v>
      </c>
    </row>
    <row r="196" spans="3:34">
      <c r="C196" t="s">
        <v>208</v>
      </c>
      <c r="E196">
        <v>1999</v>
      </c>
      <c r="F196">
        <v>9</v>
      </c>
      <c r="G196">
        <v>0</v>
      </c>
      <c r="I196" t="s">
        <v>78</v>
      </c>
      <c r="J196">
        <v>5</v>
      </c>
      <c r="K196">
        <f t="shared" si="116"/>
        <v>2004</v>
      </c>
      <c r="N196">
        <v>3193.67</v>
      </c>
      <c r="O196">
        <v>0</v>
      </c>
      <c r="P196">
        <f t="shared" si="117"/>
        <v>3193.67</v>
      </c>
      <c r="Q196">
        <f t="shared" si="118"/>
        <v>53.227833333333336</v>
      </c>
      <c r="R196">
        <f t="shared" si="119"/>
        <v>0</v>
      </c>
      <c r="S196">
        <f t="shared" si="120"/>
        <v>0</v>
      </c>
      <c r="T196">
        <f t="shared" si="121"/>
        <v>0</v>
      </c>
      <c r="U196">
        <v>1</v>
      </c>
      <c r="V196">
        <f t="shared" si="122"/>
        <v>0</v>
      </c>
      <c r="X196">
        <f t="shared" si="123"/>
        <v>3193.67</v>
      </c>
      <c r="Y196">
        <f t="shared" si="124"/>
        <v>3193.67</v>
      </c>
      <c r="Z196">
        <v>1</v>
      </c>
      <c r="AA196">
        <f t="shared" si="125"/>
        <v>3193.67</v>
      </c>
      <c r="AB196">
        <f t="shared" si="126"/>
        <v>3193.67</v>
      </c>
      <c r="AC196">
        <f t="shared" si="127"/>
        <v>0</v>
      </c>
      <c r="AD196">
        <f t="shared" si="128"/>
        <v>1999.6666666666667</v>
      </c>
      <c r="AE196">
        <f t="shared" si="93"/>
        <v>2023</v>
      </c>
      <c r="AF196">
        <f t="shared" si="129"/>
        <v>2004.6666666666667</v>
      </c>
      <c r="AG196">
        <f t="shared" si="95"/>
        <v>2190.4166666666665</v>
      </c>
      <c r="AH196">
        <f t="shared" si="130"/>
        <v>-8.3333333333333329E-2</v>
      </c>
    </row>
    <row r="197" spans="3:34">
      <c r="C197" t="s">
        <v>212</v>
      </c>
      <c r="E197">
        <v>2000</v>
      </c>
      <c r="F197">
        <v>7</v>
      </c>
      <c r="G197">
        <v>0</v>
      </c>
      <c r="I197" t="s">
        <v>78</v>
      </c>
      <c r="J197">
        <v>5</v>
      </c>
      <c r="K197">
        <f t="shared" si="116"/>
        <v>2005</v>
      </c>
      <c r="N197">
        <v>4318.0200000000004</v>
      </c>
      <c r="O197">
        <v>0</v>
      </c>
      <c r="P197">
        <f t="shared" si="117"/>
        <v>4318.0200000000004</v>
      </c>
      <c r="Q197">
        <f t="shared" si="118"/>
        <v>71.966999999999999</v>
      </c>
      <c r="R197">
        <f t="shared" si="119"/>
        <v>0</v>
      </c>
      <c r="S197">
        <f t="shared" si="120"/>
        <v>0</v>
      </c>
      <c r="T197">
        <f t="shared" si="121"/>
        <v>0</v>
      </c>
      <c r="U197">
        <v>1</v>
      </c>
      <c r="V197">
        <f t="shared" si="122"/>
        <v>0</v>
      </c>
      <c r="X197">
        <f t="shared" si="123"/>
        <v>4318.0200000000004</v>
      </c>
      <c r="Y197">
        <f t="shared" si="124"/>
        <v>4318.0200000000004</v>
      </c>
      <c r="Z197">
        <v>1</v>
      </c>
      <c r="AA197">
        <f t="shared" si="125"/>
        <v>4318.0200000000004</v>
      </c>
      <c r="AB197">
        <f t="shared" si="126"/>
        <v>4318.0200000000004</v>
      </c>
      <c r="AC197">
        <f t="shared" si="127"/>
        <v>0</v>
      </c>
      <c r="AD197">
        <f t="shared" si="128"/>
        <v>2000.5</v>
      </c>
      <c r="AE197">
        <f t="shared" si="93"/>
        <v>2023</v>
      </c>
      <c r="AF197">
        <f t="shared" si="129"/>
        <v>2005.5</v>
      </c>
      <c r="AG197">
        <f t="shared" si="95"/>
        <v>2190.4166666666665</v>
      </c>
      <c r="AH197">
        <f t="shared" si="130"/>
        <v>-8.3333333333333329E-2</v>
      </c>
    </row>
    <row r="198" spans="3:34">
      <c r="C198" t="s">
        <v>4</v>
      </c>
      <c r="E198">
        <v>2000</v>
      </c>
      <c r="F198">
        <v>7</v>
      </c>
      <c r="G198">
        <v>0</v>
      </c>
      <c r="I198" t="s">
        <v>78</v>
      </c>
      <c r="J198">
        <v>5</v>
      </c>
      <c r="K198">
        <f t="shared" si="116"/>
        <v>2005</v>
      </c>
      <c r="N198">
        <v>345.44</v>
      </c>
      <c r="O198">
        <v>0</v>
      </c>
      <c r="P198">
        <f t="shared" si="117"/>
        <v>345.44</v>
      </c>
      <c r="Q198">
        <f t="shared" si="118"/>
        <v>5.7573333333333325</v>
      </c>
      <c r="R198">
        <f t="shared" si="119"/>
        <v>0</v>
      </c>
      <c r="S198">
        <f t="shared" si="120"/>
        <v>0</v>
      </c>
      <c r="T198">
        <f t="shared" si="121"/>
        <v>0</v>
      </c>
      <c r="U198">
        <v>1</v>
      </c>
      <c r="V198">
        <f t="shared" si="122"/>
        <v>0</v>
      </c>
      <c r="X198">
        <f t="shared" si="123"/>
        <v>345.44</v>
      </c>
      <c r="Y198">
        <f t="shared" si="124"/>
        <v>345.44</v>
      </c>
      <c r="Z198">
        <v>1</v>
      </c>
      <c r="AA198">
        <f t="shared" si="125"/>
        <v>345.44</v>
      </c>
      <c r="AB198">
        <f t="shared" si="126"/>
        <v>345.44</v>
      </c>
      <c r="AC198">
        <f t="shared" si="127"/>
        <v>0</v>
      </c>
      <c r="AD198">
        <f t="shared" si="128"/>
        <v>2000.5</v>
      </c>
      <c r="AE198">
        <f t="shared" si="93"/>
        <v>2023</v>
      </c>
      <c r="AF198">
        <f t="shared" si="129"/>
        <v>2005.5</v>
      </c>
      <c r="AG198">
        <f t="shared" si="95"/>
        <v>2190.4166666666665</v>
      </c>
      <c r="AH198">
        <f t="shared" si="130"/>
        <v>-8.3333333333333329E-2</v>
      </c>
    </row>
    <row r="199" spans="3:34">
      <c r="C199" t="s">
        <v>213</v>
      </c>
      <c r="E199">
        <v>2000</v>
      </c>
      <c r="F199">
        <v>8</v>
      </c>
      <c r="G199">
        <v>0</v>
      </c>
      <c r="I199" t="s">
        <v>78</v>
      </c>
      <c r="J199">
        <v>5</v>
      </c>
      <c r="K199">
        <f t="shared" si="116"/>
        <v>2005</v>
      </c>
      <c r="N199">
        <v>21138.3</v>
      </c>
      <c r="O199">
        <v>0</v>
      </c>
      <c r="P199">
        <f t="shared" si="117"/>
        <v>21138.3</v>
      </c>
      <c r="Q199">
        <f t="shared" si="118"/>
        <v>352.30500000000001</v>
      </c>
      <c r="R199">
        <f t="shared" si="119"/>
        <v>0</v>
      </c>
      <c r="S199">
        <f t="shared" si="120"/>
        <v>0</v>
      </c>
      <c r="T199">
        <f t="shared" si="121"/>
        <v>0</v>
      </c>
      <c r="U199">
        <v>1</v>
      </c>
      <c r="V199">
        <f t="shared" si="122"/>
        <v>0</v>
      </c>
      <c r="X199">
        <f t="shared" si="123"/>
        <v>21138.3</v>
      </c>
      <c r="Y199">
        <f t="shared" si="124"/>
        <v>21138.3</v>
      </c>
      <c r="Z199">
        <v>1</v>
      </c>
      <c r="AA199">
        <f t="shared" si="125"/>
        <v>21138.3</v>
      </c>
      <c r="AB199">
        <f t="shared" si="126"/>
        <v>21138.3</v>
      </c>
      <c r="AC199">
        <f t="shared" si="127"/>
        <v>0</v>
      </c>
      <c r="AD199">
        <f t="shared" si="128"/>
        <v>2000.5833333333333</v>
      </c>
      <c r="AE199">
        <f t="shared" si="93"/>
        <v>2023</v>
      </c>
      <c r="AF199">
        <f t="shared" si="129"/>
        <v>2005.5833333333333</v>
      </c>
      <c r="AG199">
        <f t="shared" si="95"/>
        <v>2190.4166666666665</v>
      </c>
      <c r="AH199">
        <f t="shared" si="130"/>
        <v>-8.3333333333333329E-2</v>
      </c>
    </row>
    <row r="200" spans="3:34">
      <c r="C200" t="s">
        <v>215</v>
      </c>
      <c r="E200">
        <v>2002</v>
      </c>
      <c r="F200">
        <v>9</v>
      </c>
      <c r="G200">
        <v>0</v>
      </c>
      <c r="I200" t="s">
        <v>78</v>
      </c>
      <c r="J200">
        <v>5</v>
      </c>
      <c r="K200">
        <f t="shared" si="116"/>
        <v>2007</v>
      </c>
      <c r="N200">
        <v>922.62</v>
      </c>
      <c r="O200">
        <v>0</v>
      </c>
      <c r="P200">
        <f t="shared" si="117"/>
        <v>922.62</v>
      </c>
      <c r="Q200">
        <f t="shared" si="118"/>
        <v>15.377000000000001</v>
      </c>
      <c r="R200">
        <f t="shared" si="119"/>
        <v>0</v>
      </c>
      <c r="S200">
        <f t="shared" si="120"/>
        <v>0</v>
      </c>
      <c r="T200">
        <f t="shared" si="121"/>
        <v>0</v>
      </c>
      <c r="U200">
        <v>1</v>
      </c>
      <c r="V200">
        <f t="shared" si="122"/>
        <v>0</v>
      </c>
      <c r="X200">
        <f t="shared" si="123"/>
        <v>922.62</v>
      </c>
      <c r="Y200">
        <f t="shared" si="124"/>
        <v>922.62</v>
      </c>
      <c r="Z200">
        <v>1</v>
      </c>
      <c r="AA200">
        <f t="shared" si="125"/>
        <v>922.62</v>
      </c>
      <c r="AB200">
        <f t="shared" si="126"/>
        <v>922.62</v>
      </c>
      <c r="AC200">
        <f t="shared" si="127"/>
        <v>0</v>
      </c>
      <c r="AD200">
        <f t="shared" si="128"/>
        <v>2002.6666666666667</v>
      </c>
      <c r="AE200">
        <f t="shared" si="93"/>
        <v>2023</v>
      </c>
      <c r="AF200">
        <f t="shared" si="129"/>
        <v>2007.6666666666667</v>
      </c>
      <c r="AG200">
        <f t="shared" si="95"/>
        <v>2190.4166666666665</v>
      </c>
      <c r="AH200">
        <f t="shared" si="130"/>
        <v>-8.3333333333333329E-2</v>
      </c>
    </row>
    <row r="201" spans="3:34">
      <c r="C201" t="s">
        <v>135</v>
      </c>
      <c r="E201">
        <v>2002</v>
      </c>
      <c r="F201">
        <v>10</v>
      </c>
      <c r="G201">
        <v>0</v>
      </c>
      <c r="I201" t="s">
        <v>78</v>
      </c>
      <c r="J201">
        <v>5</v>
      </c>
      <c r="K201">
        <f t="shared" si="116"/>
        <v>2007</v>
      </c>
      <c r="N201">
        <v>5440</v>
      </c>
      <c r="O201">
        <v>0</v>
      </c>
      <c r="P201">
        <f t="shared" si="117"/>
        <v>5440</v>
      </c>
      <c r="Q201">
        <f t="shared" si="118"/>
        <v>90.666666666666671</v>
      </c>
      <c r="R201">
        <f t="shared" si="119"/>
        <v>0</v>
      </c>
      <c r="S201">
        <f t="shared" si="120"/>
        <v>0</v>
      </c>
      <c r="T201">
        <f t="shared" si="121"/>
        <v>0</v>
      </c>
      <c r="U201">
        <v>1</v>
      </c>
      <c r="V201">
        <f t="shared" si="122"/>
        <v>0</v>
      </c>
      <c r="X201">
        <f t="shared" si="123"/>
        <v>5440</v>
      </c>
      <c r="Y201">
        <f t="shared" si="124"/>
        <v>5440</v>
      </c>
      <c r="Z201">
        <v>1</v>
      </c>
      <c r="AA201">
        <f t="shared" si="125"/>
        <v>5440</v>
      </c>
      <c r="AB201">
        <f t="shared" si="126"/>
        <v>5440</v>
      </c>
      <c r="AC201">
        <f t="shared" si="127"/>
        <v>0</v>
      </c>
      <c r="AD201">
        <f t="shared" si="128"/>
        <v>2002.75</v>
      </c>
      <c r="AE201">
        <f t="shared" si="93"/>
        <v>2023</v>
      </c>
      <c r="AF201">
        <f t="shared" si="129"/>
        <v>2007.75</v>
      </c>
      <c r="AG201">
        <f t="shared" si="95"/>
        <v>2190.4166666666665</v>
      </c>
      <c r="AH201">
        <f t="shared" si="130"/>
        <v>-8.3333333333333329E-2</v>
      </c>
    </row>
    <row r="202" spans="3:34">
      <c r="C202" t="s">
        <v>3</v>
      </c>
      <c r="E202">
        <v>2002</v>
      </c>
      <c r="F202">
        <v>11</v>
      </c>
      <c r="G202">
        <v>0</v>
      </c>
      <c r="I202" t="s">
        <v>78</v>
      </c>
      <c r="J202">
        <v>5</v>
      </c>
      <c r="K202">
        <f t="shared" si="116"/>
        <v>2007</v>
      </c>
      <c r="N202">
        <v>1380.25</v>
      </c>
      <c r="O202">
        <v>0</v>
      </c>
      <c r="P202">
        <f t="shared" si="117"/>
        <v>1380.25</v>
      </c>
      <c r="Q202">
        <f t="shared" si="118"/>
        <v>23.004166666666666</v>
      </c>
      <c r="R202">
        <f t="shared" si="119"/>
        <v>0</v>
      </c>
      <c r="S202">
        <f t="shared" si="120"/>
        <v>0</v>
      </c>
      <c r="T202">
        <f t="shared" si="121"/>
        <v>0</v>
      </c>
      <c r="U202">
        <v>1</v>
      </c>
      <c r="V202">
        <f t="shared" si="122"/>
        <v>0</v>
      </c>
      <c r="X202">
        <f t="shared" si="123"/>
        <v>1380.25</v>
      </c>
      <c r="Y202">
        <f t="shared" si="124"/>
        <v>1380.25</v>
      </c>
      <c r="Z202">
        <v>1</v>
      </c>
      <c r="AA202">
        <f t="shared" si="125"/>
        <v>1380.25</v>
      </c>
      <c r="AB202">
        <f t="shared" si="126"/>
        <v>1380.25</v>
      </c>
      <c r="AC202">
        <f t="shared" si="127"/>
        <v>0</v>
      </c>
      <c r="AD202">
        <f t="shared" si="128"/>
        <v>2002.8333333333333</v>
      </c>
      <c r="AE202">
        <f t="shared" si="93"/>
        <v>2023</v>
      </c>
      <c r="AF202">
        <f t="shared" si="129"/>
        <v>2007.8333333333333</v>
      </c>
      <c r="AG202">
        <f t="shared" si="95"/>
        <v>2190.4166666666665</v>
      </c>
      <c r="AH202">
        <f t="shared" si="130"/>
        <v>-8.3333333333333329E-2</v>
      </c>
    </row>
    <row r="203" spans="3:34">
      <c r="C203" t="s">
        <v>216</v>
      </c>
      <c r="E203">
        <v>2003</v>
      </c>
      <c r="F203">
        <v>2</v>
      </c>
      <c r="G203">
        <v>0</v>
      </c>
      <c r="I203" t="s">
        <v>78</v>
      </c>
      <c r="J203">
        <v>5</v>
      </c>
      <c r="K203">
        <f t="shared" si="116"/>
        <v>2008</v>
      </c>
      <c r="N203">
        <v>1411.79</v>
      </c>
      <c r="O203">
        <v>0</v>
      </c>
      <c r="P203">
        <f t="shared" si="117"/>
        <v>1411.79</v>
      </c>
      <c r="Q203">
        <f t="shared" si="118"/>
        <v>23.529833333333332</v>
      </c>
      <c r="R203">
        <f t="shared" si="119"/>
        <v>0</v>
      </c>
      <c r="S203">
        <f t="shared" si="120"/>
        <v>0</v>
      </c>
      <c r="T203">
        <f t="shared" si="121"/>
        <v>0</v>
      </c>
      <c r="U203">
        <v>1</v>
      </c>
      <c r="V203">
        <f t="shared" si="122"/>
        <v>0</v>
      </c>
      <c r="X203">
        <f t="shared" si="123"/>
        <v>1411.79</v>
      </c>
      <c r="Y203">
        <f t="shared" si="124"/>
        <v>1411.79</v>
      </c>
      <c r="Z203">
        <v>1</v>
      </c>
      <c r="AA203">
        <f t="shared" si="125"/>
        <v>1411.79</v>
      </c>
      <c r="AB203">
        <f t="shared" si="126"/>
        <v>1411.79</v>
      </c>
      <c r="AC203">
        <f t="shared" si="127"/>
        <v>0</v>
      </c>
      <c r="AD203">
        <f t="shared" si="128"/>
        <v>2003.0833333333333</v>
      </c>
      <c r="AE203">
        <f t="shared" si="93"/>
        <v>2023</v>
      </c>
      <c r="AF203">
        <f t="shared" si="129"/>
        <v>2008.0833333333333</v>
      </c>
      <c r="AG203">
        <f t="shared" si="95"/>
        <v>2190.4166666666665</v>
      </c>
      <c r="AH203">
        <f t="shared" si="130"/>
        <v>-8.3333333333333329E-2</v>
      </c>
    </row>
    <row r="204" spans="3:34">
      <c r="C204" t="s">
        <v>216</v>
      </c>
      <c r="E204">
        <v>2003</v>
      </c>
      <c r="F204">
        <v>3</v>
      </c>
      <c r="G204">
        <v>0</v>
      </c>
      <c r="I204" t="s">
        <v>78</v>
      </c>
      <c r="J204">
        <v>5</v>
      </c>
      <c r="K204">
        <f t="shared" si="116"/>
        <v>2008</v>
      </c>
      <c r="N204">
        <v>1299.3599999999999</v>
      </c>
      <c r="O204">
        <v>0</v>
      </c>
      <c r="P204">
        <f t="shared" si="117"/>
        <v>1299.3599999999999</v>
      </c>
      <c r="Q204">
        <f t="shared" si="118"/>
        <v>21.655999999999995</v>
      </c>
      <c r="R204">
        <f t="shared" si="119"/>
        <v>0</v>
      </c>
      <c r="S204">
        <f t="shared" si="120"/>
        <v>0</v>
      </c>
      <c r="T204">
        <f t="shared" si="121"/>
        <v>0</v>
      </c>
      <c r="U204">
        <v>1</v>
      </c>
      <c r="V204">
        <f t="shared" si="122"/>
        <v>0</v>
      </c>
      <c r="X204">
        <f t="shared" si="123"/>
        <v>1299.3599999999999</v>
      </c>
      <c r="Y204">
        <f t="shared" si="124"/>
        <v>1299.3599999999999</v>
      </c>
      <c r="Z204">
        <v>1</v>
      </c>
      <c r="AA204">
        <f t="shared" si="125"/>
        <v>1299.3599999999999</v>
      </c>
      <c r="AB204">
        <f t="shared" si="126"/>
        <v>1299.3599999999999</v>
      </c>
      <c r="AC204">
        <f t="shared" si="127"/>
        <v>0</v>
      </c>
      <c r="AD204">
        <f t="shared" si="128"/>
        <v>2003.1666666666667</v>
      </c>
      <c r="AE204">
        <f t="shared" si="93"/>
        <v>2023</v>
      </c>
      <c r="AF204">
        <f t="shared" si="129"/>
        <v>2008.1666666666667</v>
      </c>
      <c r="AG204">
        <f t="shared" si="95"/>
        <v>2190.4166666666665</v>
      </c>
      <c r="AH204">
        <f t="shared" si="130"/>
        <v>-8.3333333333333329E-2</v>
      </c>
    </row>
    <row r="205" spans="3:34">
      <c r="C205" t="s">
        <v>348</v>
      </c>
      <c r="E205">
        <v>2003</v>
      </c>
      <c r="F205">
        <v>4</v>
      </c>
      <c r="G205">
        <v>0</v>
      </c>
      <c r="I205" t="s">
        <v>78</v>
      </c>
      <c r="J205">
        <v>5</v>
      </c>
      <c r="K205">
        <f t="shared" si="116"/>
        <v>2008</v>
      </c>
      <c r="N205">
        <v>1342.02</v>
      </c>
      <c r="O205">
        <v>0</v>
      </c>
      <c r="P205">
        <f t="shared" si="117"/>
        <v>1342.02</v>
      </c>
      <c r="Q205">
        <f t="shared" si="118"/>
        <v>22.367000000000001</v>
      </c>
      <c r="R205">
        <f t="shared" si="119"/>
        <v>0</v>
      </c>
      <c r="S205">
        <f t="shared" si="120"/>
        <v>0</v>
      </c>
      <c r="T205">
        <f t="shared" si="121"/>
        <v>0</v>
      </c>
      <c r="U205">
        <v>1</v>
      </c>
      <c r="V205">
        <f t="shared" si="122"/>
        <v>0</v>
      </c>
      <c r="X205">
        <f t="shared" si="123"/>
        <v>1342.02</v>
      </c>
      <c r="Y205">
        <f t="shared" si="124"/>
        <v>1342.02</v>
      </c>
      <c r="Z205">
        <v>1</v>
      </c>
      <c r="AA205">
        <f t="shared" si="125"/>
        <v>1342.02</v>
      </c>
      <c r="AB205">
        <f t="shared" si="126"/>
        <v>1342.02</v>
      </c>
      <c r="AC205">
        <f t="shared" si="127"/>
        <v>0</v>
      </c>
      <c r="AD205">
        <f t="shared" si="128"/>
        <v>2003.25</v>
      </c>
      <c r="AE205">
        <f t="shared" si="93"/>
        <v>2023</v>
      </c>
      <c r="AF205">
        <f t="shared" si="129"/>
        <v>2008.25</v>
      </c>
      <c r="AG205">
        <f t="shared" si="95"/>
        <v>2190.4166666666665</v>
      </c>
      <c r="AH205">
        <f t="shared" si="130"/>
        <v>-8.3333333333333329E-2</v>
      </c>
    </row>
    <row r="206" spans="3:34">
      <c r="C206" t="s">
        <v>217</v>
      </c>
      <c r="E206">
        <v>2003</v>
      </c>
      <c r="F206">
        <v>10</v>
      </c>
      <c r="G206">
        <v>0</v>
      </c>
      <c r="I206" t="s">
        <v>78</v>
      </c>
      <c r="J206">
        <v>5</v>
      </c>
      <c r="K206">
        <f t="shared" si="116"/>
        <v>2008</v>
      </c>
      <c r="N206">
        <v>1270.18</v>
      </c>
      <c r="O206">
        <v>0</v>
      </c>
      <c r="P206">
        <f t="shared" si="117"/>
        <v>1270.18</v>
      </c>
      <c r="Q206">
        <f t="shared" si="118"/>
        <v>21.169666666666668</v>
      </c>
      <c r="R206">
        <f t="shared" si="119"/>
        <v>0</v>
      </c>
      <c r="S206">
        <f t="shared" si="120"/>
        <v>0</v>
      </c>
      <c r="T206">
        <f t="shared" si="121"/>
        <v>0</v>
      </c>
      <c r="U206">
        <v>1</v>
      </c>
      <c r="V206">
        <f t="shared" si="122"/>
        <v>0</v>
      </c>
      <c r="X206">
        <f t="shared" si="123"/>
        <v>1270.18</v>
      </c>
      <c r="Y206">
        <f t="shared" si="124"/>
        <v>1270.18</v>
      </c>
      <c r="Z206">
        <v>1</v>
      </c>
      <c r="AA206">
        <f t="shared" si="125"/>
        <v>1270.18</v>
      </c>
      <c r="AB206">
        <f t="shared" si="126"/>
        <v>1270.18</v>
      </c>
      <c r="AC206">
        <f t="shared" si="127"/>
        <v>0</v>
      </c>
      <c r="AD206">
        <f t="shared" si="128"/>
        <v>2003.75</v>
      </c>
      <c r="AE206">
        <f t="shared" si="93"/>
        <v>2023</v>
      </c>
      <c r="AF206">
        <f t="shared" si="129"/>
        <v>2008.75</v>
      </c>
      <c r="AG206">
        <f t="shared" si="95"/>
        <v>2190.4166666666665</v>
      </c>
      <c r="AH206">
        <f t="shared" si="130"/>
        <v>-8.3333333333333329E-2</v>
      </c>
    </row>
    <row r="207" spans="3:34">
      <c r="C207" t="s">
        <v>218</v>
      </c>
      <c r="E207">
        <v>2003</v>
      </c>
      <c r="F207">
        <v>12</v>
      </c>
      <c r="G207">
        <v>0</v>
      </c>
      <c r="I207" t="s">
        <v>78</v>
      </c>
      <c r="J207">
        <v>5</v>
      </c>
      <c r="K207">
        <f t="shared" si="116"/>
        <v>2008</v>
      </c>
      <c r="N207">
        <v>2749.01</v>
      </c>
      <c r="O207">
        <v>0</v>
      </c>
      <c r="P207">
        <f t="shared" si="117"/>
        <v>2749.01</v>
      </c>
      <c r="Q207">
        <f t="shared" si="118"/>
        <v>45.816833333333335</v>
      </c>
      <c r="R207">
        <f t="shared" si="119"/>
        <v>0</v>
      </c>
      <c r="S207">
        <f t="shared" si="120"/>
        <v>0</v>
      </c>
      <c r="T207">
        <f t="shared" si="121"/>
        <v>0</v>
      </c>
      <c r="U207">
        <v>1</v>
      </c>
      <c r="V207">
        <f t="shared" si="122"/>
        <v>0</v>
      </c>
      <c r="X207">
        <f t="shared" si="123"/>
        <v>2749.01</v>
      </c>
      <c r="Y207">
        <f t="shared" si="124"/>
        <v>2749.01</v>
      </c>
      <c r="Z207">
        <v>1</v>
      </c>
      <c r="AA207">
        <f t="shared" si="125"/>
        <v>2749.01</v>
      </c>
      <c r="AB207">
        <f t="shared" si="126"/>
        <v>2749.01</v>
      </c>
      <c r="AC207">
        <f t="shared" si="127"/>
        <v>0</v>
      </c>
      <c r="AD207">
        <f t="shared" si="128"/>
        <v>2003.9166666666667</v>
      </c>
      <c r="AE207">
        <f t="shared" si="93"/>
        <v>2023</v>
      </c>
      <c r="AF207">
        <f t="shared" si="129"/>
        <v>2008.9166666666667</v>
      </c>
      <c r="AG207">
        <f t="shared" si="95"/>
        <v>2190.4166666666665</v>
      </c>
      <c r="AH207">
        <f t="shared" si="130"/>
        <v>-8.3333333333333329E-2</v>
      </c>
    </row>
    <row r="208" spans="3:34">
      <c r="C208" t="s">
        <v>184</v>
      </c>
      <c r="E208">
        <v>2004</v>
      </c>
      <c r="F208">
        <v>1</v>
      </c>
      <c r="G208">
        <v>0</v>
      </c>
      <c r="I208" t="s">
        <v>78</v>
      </c>
      <c r="J208">
        <v>5</v>
      </c>
      <c r="K208">
        <f t="shared" si="116"/>
        <v>2009</v>
      </c>
      <c r="N208">
        <v>5365.8</v>
      </c>
      <c r="O208">
        <v>0</v>
      </c>
      <c r="P208">
        <f t="shared" si="117"/>
        <v>5365.8</v>
      </c>
      <c r="Q208">
        <f t="shared" si="118"/>
        <v>89.43</v>
      </c>
      <c r="R208">
        <f t="shared" si="119"/>
        <v>0</v>
      </c>
      <c r="S208">
        <f t="shared" si="120"/>
        <v>0</v>
      </c>
      <c r="T208">
        <f t="shared" si="121"/>
        <v>0</v>
      </c>
      <c r="U208">
        <v>1</v>
      </c>
      <c r="V208">
        <f t="shared" si="122"/>
        <v>0</v>
      </c>
      <c r="X208">
        <f t="shared" si="123"/>
        <v>5365.8</v>
      </c>
      <c r="Y208">
        <f t="shared" si="124"/>
        <v>5365.8</v>
      </c>
      <c r="Z208">
        <v>1</v>
      </c>
      <c r="AA208">
        <f t="shared" si="125"/>
        <v>5365.8</v>
      </c>
      <c r="AB208">
        <f t="shared" si="126"/>
        <v>5365.8</v>
      </c>
      <c r="AC208">
        <f t="shared" si="127"/>
        <v>0</v>
      </c>
      <c r="AD208">
        <f t="shared" si="128"/>
        <v>2004</v>
      </c>
      <c r="AE208">
        <f t="shared" si="93"/>
        <v>2023</v>
      </c>
      <c r="AF208">
        <f t="shared" si="129"/>
        <v>2009</v>
      </c>
      <c r="AG208">
        <f t="shared" si="95"/>
        <v>2190.4166666666665</v>
      </c>
      <c r="AH208">
        <f t="shared" si="130"/>
        <v>-8.3333333333333329E-2</v>
      </c>
    </row>
    <row r="209" spans="2:34">
      <c r="C209" t="s">
        <v>185</v>
      </c>
      <c r="E209">
        <v>2004</v>
      </c>
      <c r="F209">
        <v>4</v>
      </c>
      <c r="G209">
        <v>0</v>
      </c>
      <c r="I209" t="s">
        <v>78</v>
      </c>
      <c r="J209">
        <v>5</v>
      </c>
      <c r="K209">
        <f t="shared" si="116"/>
        <v>2009</v>
      </c>
      <c r="N209">
        <v>1829.37</v>
      </c>
      <c r="O209">
        <v>0</v>
      </c>
      <c r="P209">
        <f t="shared" si="117"/>
        <v>1829.37</v>
      </c>
      <c r="Q209">
        <f t="shared" si="118"/>
        <v>30.489499999999996</v>
      </c>
      <c r="R209">
        <f t="shared" si="119"/>
        <v>0</v>
      </c>
      <c r="S209">
        <f t="shared" si="120"/>
        <v>0</v>
      </c>
      <c r="T209">
        <f t="shared" si="121"/>
        <v>0</v>
      </c>
      <c r="U209">
        <v>1</v>
      </c>
      <c r="V209">
        <f t="shared" si="122"/>
        <v>0</v>
      </c>
      <c r="X209">
        <f t="shared" si="123"/>
        <v>1829.37</v>
      </c>
      <c r="Y209">
        <f t="shared" si="124"/>
        <v>1829.37</v>
      </c>
      <c r="Z209">
        <v>1</v>
      </c>
      <c r="AA209">
        <f t="shared" si="125"/>
        <v>1829.37</v>
      </c>
      <c r="AB209">
        <f t="shared" si="126"/>
        <v>1829.37</v>
      </c>
      <c r="AC209">
        <f t="shared" si="127"/>
        <v>0</v>
      </c>
      <c r="AD209">
        <f t="shared" si="128"/>
        <v>2004.25</v>
      </c>
      <c r="AE209">
        <f t="shared" si="93"/>
        <v>2023</v>
      </c>
      <c r="AF209">
        <f t="shared" si="129"/>
        <v>2009.25</v>
      </c>
      <c r="AG209">
        <f t="shared" si="95"/>
        <v>2190.4166666666665</v>
      </c>
      <c r="AH209">
        <f t="shared" si="130"/>
        <v>-8.3333333333333329E-2</v>
      </c>
    </row>
    <row r="210" spans="2:34">
      <c r="C210" t="s">
        <v>136</v>
      </c>
      <c r="E210">
        <v>2004</v>
      </c>
      <c r="F210">
        <v>5</v>
      </c>
      <c r="G210">
        <v>0</v>
      </c>
      <c r="I210" t="s">
        <v>78</v>
      </c>
      <c r="J210">
        <v>5</v>
      </c>
      <c r="K210">
        <f t="shared" si="116"/>
        <v>2009</v>
      </c>
      <c r="N210">
        <v>8063.88</v>
      </c>
      <c r="O210">
        <v>0</v>
      </c>
      <c r="P210">
        <f t="shared" si="117"/>
        <v>8063.88</v>
      </c>
      <c r="Q210">
        <f t="shared" si="118"/>
        <v>134.398</v>
      </c>
      <c r="R210">
        <f t="shared" si="119"/>
        <v>0</v>
      </c>
      <c r="S210">
        <f t="shared" si="120"/>
        <v>0</v>
      </c>
      <c r="T210">
        <f t="shared" si="121"/>
        <v>0</v>
      </c>
      <c r="U210">
        <v>1</v>
      </c>
      <c r="V210">
        <f t="shared" si="122"/>
        <v>0</v>
      </c>
      <c r="X210">
        <f t="shared" si="123"/>
        <v>8063.88</v>
      </c>
      <c r="Y210">
        <f t="shared" si="124"/>
        <v>8063.88</v>
      </c>
      <c r="Z210">
        <v>1</v>
      </c>
      <c r="AA210">
        <f t="shared" si="125"/>
        <v>8063.88</v>
      </c>
      <c r="AB210">
        <f t="shared" si="126"/>
        <v>8063.88</v>
      </c>
      <c r="AC210">
        <f t="shared" si="127"/>
        <v>0</v>
      </c>
      <c r="AD210">
        <f t="shared" si="128"/>
        <v>2004.3333333333333</v>
      </c>
      <c r="AE210">
        <f t="shared" si="93"/>
        <v>2023</v>
      </c>
      <c r="AF210">
        <f t="shared" si="129"/>
        <v>2009.3333333333333</v>
      </c>
      <c r="AG210">
        <f t="shared" si="95"/>
        <v>2190.4166666666665</v>
      </c>
      <c r="AH210">
        <f t="shared" si="130"/>
        <v>-8.3333333333333329E-2</v>
      </c>
    </row>
    <row r="213" spans="2:34">
      <c r="C213" t="s">
        <v>479</v>
      </c>
    </row>
    <row r="214" spans="2:34">
      <c r="B214">
        <v>6030</v>
      </c>
      <c r="C214" t="s">
        <v>448</v>
      </c>
      <c r="D214">
        <v>61071</v>
      </c>
      <c r="E214">
        <v>2003</v>
      </c>
      <c r="F214">
        <v>5</v>
      </c>
      <c r="G214">
        <v>0.33</v>
      </c>
      <c r="I214" t="s">
        <v>78</v>
      </c>
      <c r="J214">
        <v>5</v>
      </c>
      <c r="K214">
        <f>E214+J214</f>
        <v>2008</v>
      </c>
      <c r="N214">
        <v>8938.66</v>
      </c>
      <c r="O214">
        <v>0</v>
      </c>
      <c r="P214">
        <f>N214-N214*G214</f>
        <v>5988.9021999999995</v>
      </c>
      <c r="Q214">
        <f>P214/J214/12</f>
        <v>99.815036666666671</v>
      </c>
      <c r="R214">
        <f>IF(O214&gt;0,0,IF(OR(AD214&gt;AE214,AF214&lt;AG214),0,IF(AND(AF214&gt;=AG214,AF214&lt;=AE214),Q214*((AF214-AG214)*12),IF(AND(AG214&lt;=AD214,AE214&gt;=AD214),((AE214-AD214)*12)*Q214,IF(AF214&gt;AE214,12*Q214,0)))))</f>
        <v>0</v>
      </c>
      <c r="S214">
        <f>IF(O214=0,0,IF(AND(AH214&gt;=AG214,AH214&lt;=AF214),((AH214-AG214)*12)*Q214,0))</f>
        <v>0</v>
      </c>
      <c r="T214">
        <f>IF(S214&gt;0,S214,R214)</f>
        <v>0</v>
      </c>
      <c r="U214">
        <v>1</v>
      </c>
      <c r="V214">
        <f>U214*SUM(R214:S214)</f>
        <v>0</v>
      </c>
      <c r="X214">
        <f>IF(AD214&gt;AE214,0,IF(AF214&lt;AG214,P214,IF(AND(AF214&gt;=AG214,AF214&lt;=AE214),(P214-T214),IF(AND(AG214&lt;=AD214,AE214&gt;=AD214),0,IF(AF214&gt;AE214,((AG214-AD214)*12)*Q214,0)))))</f>
        <v>5988.9021999999995</v>
      </c>
      <c r="Y214">
        <f>X214*U214</f>
        <v>5988.9021999999995</v>
      </c>
      <c r="Z214">
        <v>1</v>
      </c>
      <c r="AA214">
        <f>Y214*Z214</f>
        <v>5988.9021999999995</v>
      </c>
      <c r="AB214">
        <f>IF(O214&gt;0,0,AA214+V214*Z214)*Z214</f>
        <v>5988.9021999999995</v>
      </c>
      <c r="AC214">
        <f>IF(O214&gt;0,(N214-AA214)/2,IF(AD214&gt;=AG214,(((N214*U214)*Z214)-AB214)/2,((((N214*U214)*Z214)-AA214)+(((N214*U214)*Z214)-AB214))/2))</f>
        <v>2949.7578000000003</v>
      </c>
      <c r="AD214">
        <f>$E214+(($F214-1)/12)</f>
        <v>2003.3333333333333</v>
      </c>
      <c r="AE214">
        <f>('Trucks 2183'!$M$5+1)-('Trucks 2183'!$M$2/12)</f>
        <v>2023</v>
      </c>
      <c r="AF214">
        <f>$K214+(($F214-1)/12)</f>
        <v>2008.3333333333333</v>
      </c>
      <c r="AG214">
        <f>'Trucks 2183'!$M$4+('Trucks 2183'!$M$3/12)</f>
        <v>2190.4166666666665</v>
      </c>
      <c r="AH214">
        <f>$L214+(($M214-1)/12)</f>
        <v>-8.3333333333333329E-2</v>
      </c>
    </row>
  </sheetData>
  <mergeCells count="1">
    <mergeCell ref="AJ5:AR6"/>
  </mergeCells>
  <pageMargins left="0.25" right="0.25" top="1" bottom="1" header="0.5" footer="0.5"/>
  <pageSetup scale="55" fitToHeight="2"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3:G41"/>
  <sheetViews>
    <sheetView view="pageBreakPreview" zoomScale="60" zoomScaleNormal="100" workbookViewId="0">
      <selection activeCell="H27" sqref="H27"/>
    </sheetView>
  </sheetViews>
  <sheetFormatPr defaultRowHeight="15"/>
  <cols>
    <col min="1" max="1" width="24.42578125" style="145" customWidth="1"/>
    <col min="2" max="2" width="11.85546875" style="145" customWidth="1"/>
    <col min="3" max="3" width="29.140625" style="145" customWidth="1"/>
    <col min="4" max="4" width="18.85546875" style="145" customWidth="1"/>
    <col min="5" max="5" width="18.7109375" style="145" customWidth="1"/>
    <col min="6" max="6" width="31" style="145" customWidth="1"/>
    <col min="7" max="16384" width="9.140625" style="145"/>
  </cols>
  <sheetData>
    <row r="3" spans="1:7">
      <c r="A3" s="217" t="s">
        <v>925</v>
      </c>
      <c r="B3" s="219" t="s">
        <v>926</v>
      </c>
      <c r="C3" s="219" t="s">
        <v>927</v>
      </c>
      <c r="D3" s="219" t="s">
        <v>928</v>
      </c>
      <c r="E3" s="219" t="s">
        <v>929</v>
      </c>
      <c r="F3" s="219" t="s">
        <v>930</v>
      </c>
    </row>
    <row r="4" spans="1:7">
      <c r="A4" s="218" t="s">
        <v>138</v>
      </c>
      <c r="B4" s="219">
        <v>4317680.29</v>
      </c>
      <c r="C4" s="219">
        <v>234439.96016666666</v>
      </c>
      <c r="D4" s="219">
        <v>0</v>
      </c>
      <c r="E4" s="219">
        <v>234439.96016666666</v>
      </c>
      <c r="F4" s="219">
        <v>4083240.3298333334</v>
      </c>
    </row>
    <row r="5" spans="1:7">
      <c r="A5" s="218" t="s">
        <v>2190</v>
      </c>
      <c r="B5" s="219">
        <v>738.45</v>
      </c>
      <c r="C5" s="219">
        <v>73.844999999999999</v>
      </c>
      <c r="D5" s="219">
        <v>0</v>
      </c>
      <c r="E5" s="219">
        <v>73.844999999999999</v>
      </c>
      <c r="F5" s="219">
        <v>664.60500000000002</v>
      </c>
    </row>
    <row r="6" spans="1:7">
      <c r="A6" s="218" t="s">
        <v>931</v>
      </c>
      <c r="B6" s="219">
        <v>262497.35000000003</v>
      </c>
      <c r="C6" s="219">
        <v>37499.62142857143</v>
      </c>
      <c r="D6" s="219">
        <v>0</v>
      </c>
      <c r="E6" s="219">
        <v>37499.62142857143</v>
      </c>
      <c r="F6" s="219">
        <v>224997.7285714286</v>
      </c>
    </row>
    <row r="7" spans="1:7">
      <c r="A7" s="218" t="s">
        <v>932</v>
      </c>
      <c r="B7" s="219">
        <v>112324.28</v>
      </c>
      <c r="C7" s="219">
        <v>9360.3566666666666</v>
      </c>
      <c r="D7" s="219">
        <v>0</v>
      </c>
      <c r="E7" s="219">
        <v>9360.3566666666666</v>
      </c>
      <c r="F7" s="219">
        <v>102963.92333333334</v>
      </c>
    </row>
    <row r="8" spans="1:7">
      <c r="A8" s="218" t="s">
        <v>933</v>
      </c>
      <c r="B8" s="219">
        <v>213691.45</v>
      </c>
      <c r="C8" s="219">
        <v>0</v>
      </c>
      <c r="D8" s="219">
        <v>213691.45</v>
      </c>
      <c r="E8" s="219">
        <v>213691.45</v>
      </c>
      <c r="F8" s="219">
        <v>0</v>
      </c>
      <c r="G8" s="145" t="s">
        <v>2191</v>
      </c>
    </row>
    <row r="9" spans="1:7">
      <c r="A9" s="218" t="s">
        <v>424</v>
      </c>
      <c r="B9" s="219">
        <v>115175.16999999998</v>
      </c>
      <c r="C9" s="219">
        <v>16453.595714285715</v>
      </c>
      <c r="D9" s="219">
        <v>0</v>
      </c>
      <c r="E9" s="219">
        <v>16453.595714285715</v>
      </c>
      <c r="F9" s="219">
        <v>98721.574285714276</v>
      </c>
    </row>
    <row r="10" spans="1:7">
      <c r="A10" s="218" t="s">
        <v>2347</v>
      </c>
      <c r="B10" s="219">
        <v>1113522.26</v>
      </c>
      <c r="C10" s="219">
        <v>111570.304</v>
      </c>
      <c r="D10" s="219">
        <v>0</v>
      </c>
      <c r="E10" s="219">
        <v>111570.304</v>
      </c>
      <c r="F10" s="219">
        <v>1001951.956</v>
      </c>
    </row>
    <row r="11" spans="1:7">
      <c r="A11" s="218" t="s">
        <v>2192</v>
      </c>
      <c r="B11" s="219">
        <v>1489.7</v>
      </c>
      <c r="C11" s="219">
        <v>227.37700000000001</v>
      </c>
      <c r="D11" s="219">
        <v>0</v>
      </c>
      <c r="E11" s="219">
        <v>227.37700000000001</v>
      </c>
      <c r="F11" s="219">
        <v>1262.3230000000001</v>
      </c>
    </row>
    <row r="12" spans="1:7">
      <c r="A12" s="218" t="s">
        <v>934</v>
      </c>
      <c r="B12" s="219">
        <v>14393.62</v>
      </c>
      <c r="C12" s="219">
        <v>2820.5791563275429</v>
      </c>
      <c r="D12" s="219">
        <v>8007.73</v>
      </c>
      <c r="E12" s="219">
        <v>10828.309156327543</v>
      </c>
      <c r="F12" s="219">
        <v>3565.3108436724569</v>
      </c>
    </row>
    <row r="13" spans="1:7">
      <c r="A13" s="218" t="s">
        <v>935</v>
      </c>
      <c r="B13" s="219">
        <v>150372.06</v>
      </c>
      <c r="C13" s="219">
        <v>21481.722857142857</v>
      </c>
      <c r="D13" s="219">
        <v>0</v>
      </c>
      <c r="E13" s="219">
        <v>21481.722857142857</v>
      </c>
      <c r="F13" s="219">
        <v>128890.33714285714</v>
      </c>
    </row>
    <row r="14" spans="1:7">
      <c r="A14" s="218" t="s">
        <v>936</v>
      </c>
      <c r="B14" s="219">
        <v>6301884.6299999999</v>
      </c>
      <c r="C14" s="219">
        <v>433927.36198966089</v>
      </c>
      <c r="D14" s="219">
        <v>221699.18000000002</v>
      </c>
      <c r="E14" s="219">
        <v>655626.54198966082</v>
      </c>
      <c r="F14" s="219">
        <v>5646258.0880103381</v>
      </c>
    </row>
    <row r="16" spans="1:7">
      <c r="A16" s="223" t="s">
        <v>925</v>
      </c>
      <c r="B16" s="220" t="s">
        <v>926</v>
      </c>
      <c r="C16" s="220" t="s">
        <v>927</v>
      </c>
      <c r="D16" s="220" t="s">
        <v>928</v>
      </c>
      <c r="E16" s="220" t="s">
        <v>929</v>
      </c>
      <c r="F16" s="220" t="s">
        <v>930</v>
      </c>
    </row>
    <row r="17" spans="1:7">
      <c r="A17" s="218" t="s">
        <v>138</v>
      </c>
      <c r="B17" s="219">
        <v>4317680.29</v>
      </c>
      <c r="C17" s="219">
        <v>234439.96016666666</v>
      </c>
      <c r="D17" s="219">
        <v>0</v>
      </c>
      <c r="E17" s="219">
        <v>234439.96016666666</v>
      </c>
      <c r="F17" s="219">
        <v>4083240.3298333334</v>
      </c>
    </row>
    <row r="18" spans="1:7">
      <c r="A18" s="218" t="s">
        <v>2190</v>
      </c>
      <c r="B18" s="219">
        <v>738.45</v>
      </c>
      <c r="C18" s="219">
        <v>73.844999999999999</v>
      </c>
      <c r="D18" s="219">
        <v>0</v>
      </c>
      <c r="E18" s="219">
        <v>73.844999999999999</v>
      </c>
      <c r="F18" s="219">
        <v>664.60500000000002</v>
      </c>
    </row>
    <row r="19" spans="1:7">
      <c r="A19" s="218" t="s">
        <v>931</v>
      </c>
      <c r="B19" s="219">
        <v>262497.35000000003</v>
      </c>
      <c r="C19" s="219">
        <v>37499.62142857143</v>
      </c>
      <c r="D19" s="219">
        <v>0</v>
      </c>
      <c r="E19" s="219">
        <v>37499.62142857143</v>
      </c>
      <c r="F19" s="219">
        <v>224997.7285714286</v>
      </c>
    </row>
    <row r="20" spans="1:7">
      <c r="A20" s="218" t="s">
        <v>932</v>
      </c>
      <c r="B20" s="219">
        <v>112324.28</v>
      </c>
      <c r="C20" s="219">
        <v>9360.3566666666666</v>
      </c>
      <c r="D20" s="219">
        <v>0</v>
      </c>
      <c r="E20" s="219">
        <v>9360.3566666666666</v>
      </c>
      <c r="F20" s="219">
        <v>102963.92333333334</v>
      </c>
    </row>
    <row r="21" spans="1:7">
      <c r="A21" s="218" t="s">
        <v>933</v>
      </c>
      <c r="B21" s="219">
        <v>213691.45</v>
      </c>
      <c r="C21" s="219">
        <v>0</v>
      </c>
      <c r="D21" s="219">
        <v>213691.45</v>
      </c>
      <c r="E21" s="219">
        <v>213691.45</v>
      </c>
      <c r="F21" s="219">
        <v>0</v>
      </c>
      <c r="G21" s="145" t="s">
        <v>2191</v>
      </c>
    </row>
    <row r="22" spans="1:7">
      <c r="A22" s="218" t="s">
        <v>424</v>
      </c>
      <c r="B22" s="219">
        <v>115175.16999999998</v>
      </c>
      <c r="C22" s="219">
        <v>16453.595714285715</v>
      </c>
      <c r="D22" s="219">
        <v>0</v>
      </c>
      <c r="E22" s="219">
        <v>16453.595714285715</v>
      </c>
      <c r="F22" s="219">
        <v>98721.574285714276</v>
      </c>
    </row>
    <row r="23" spans="1:7">
      <c r="A23" s="104" t="s">
        <v>2347</v>
      </c>
      <c r="B23" s="388">
        <v>1113522.26</v>
      </c>
      <c r="C23" s="388">
        <v>111570.304</v>
      </c>
      <c r="D23" s="388">
        <v>0</v>
      </c>
      <c r="E23" s="388">
        <v>111570.304</v>
      </c>
      <c r="F23" s="388">
        <v>1001951.956</v>
      </c>
    </row>
    <row r="24" spans="1:7">
      <c r="A24" s="218" t="s">
        <v>2192</v>
      </c>
      <c r="B24" s="219">
        <v>1489.7</v>
      </c>
      <c r="C24" s="219">
        <v>227.37700000000001</v>
      </c>
      <c r="D24" s="219">
        <v>0</v>
      </c>
      <c r="E24" s="219">
        <v>227.37700000000001</v>
      </c>
      <c r="F24" s="219">
        <v>1262.3230000000001</v>
      </c>
    </row>
    <row r="25" spans="1:7">
      <c r="A25" s="218" t="s">
        <v>934</v>
      </c>
      <c r="B25" s="219">
        <v>14393.62</v>
      </c>
      <c r="C25" s="219">
        <v>2820.5791563275429</v>
      </c>
      <c r="D25" s="219">
        <v>8007.73</v>
      </c>
      <c r="E25" s="219">
        <v>10828.309156327543</v>
      </c>
      <c r="F25" s="219">
        <v>3565.3108436724569</v>
      </c>
    </row>
    <row r="26" spans="1:7">
      <c r="A26" s="218" t="s">
        <v>935</v>
      </c>
      <c r="B26" s="219">
        <v>150372.06</v>
      </c>
      <c r="C26" s="219">
        <v>21481.722857142857</v>
      </c>
      <c r="D26" s="219">
        <v>0</v>
      </c>
      <c r="E26" s="219">
        <v>21481.722857142857</v>
      </c>
      <c r="F26" s="219">
        <v>128890.33714285714</v>
      </c>
    </row>
    <row r="27" spans="1:7">
      <c r="A27" s="221" t="s">
        <v>936</v>
      </c>
      <c r="B27" s="222">
        <v>6301884.6299999999</v>
      </c>
      <c r="C27" s="222">
        <v>433927.36198966089</v>
      </c>
      <c r="D27" s="222">
        <v>221699.18000000002</v>
      </c>
      <c r="E27" s="222">
        <v>655626.54198966082</v>
      </c>
      <c r="F27" s="222">
        <v>5646258.0880103381</v>
      </c>
    </row>
    <row r="30" spans="1:7">
      <c r="A30" s="145" t="s">
        <v>925</v>
      </c>
      <c r="B30" s="145" t="s">
        <v>926</v>
      </c>
      <c r="C30" s="147" t="s">
        <v>937</v>
      </c>
      <c r="D30" s="147" t="s">
        <v>938</v>
      </c>
      <c r="E30" s="147" t="s">
        <v>939</v>
      </c>
    </row>
    <row r="31" spans="1:7">
      <c r="A31" s="148" t="s">
        <v>940</v>
      </c>
      <c r="B31" s="149">
        <v>43504.53</v>
      </c>
      <c r="C31" s="149">
        <v>43504.53</v>
      </c>
      <c r="D31" s="149">
        <v>831860.91</v>
      </c>
      <c r="E31" s="149">
        <f>+D31-SUM(C31:C35)</f>
        <v>0</v>
      </c>
    </row>
    <row r="32" spans="1:7">
      <c r="A32" s="148" t="s">
        <v>941</v>
      </c>
      <c r="B32" s="149">
        <v>20782.810000000001</v>
      </c>
      <c r="C32" s="149">
        <v>20782.810000000001</v>
      </c>
      <c r="D32" s="150"/>
      <c r="E32" s="150"/>
    </row>
    <row r="33" spans="1:5">
      <c r="A33" s="148" t="s">
        <v>942</v>
      </c>
      <c r="B33" s="149">
        <v>72541.67</v>
      </c>
      <c r="C33" s="149">
        <v>72541.67</v>
      </c>
      <c r="D33" s="150"/>
      <c r="E33" s="150"/>
    </row>
    <row r="34" spans="1:5">
      <c r="A34" s="148" t="s">
        <v>943</v>
      </c>
      <c r="B34" s="149">
        <v>82386.27</v>
      </c>
      <c r="C34" s="149">
        <v>82386.27</v>
      </c>
      <c r="D34" s="150"/>
      <c r="E34" s="150"/>
    </row>
    <row r="35" spans="1:5">
      <c r="A35" s="148" t="s">
        <v>944</v>
      </c>
      <c r="B35" s="149">
        <v>612645.63</v>
      </c>
      <c r="C35" s="149">
        <v>612645.63</v>
      </c>
      <c r="D35" s="150"/>
      <c r="E35" s="150"/>
    </row>
    <row r="36" spans="1:5">
      <c r="A36" s="151" t="s">
        <v>945</v>
      </c>
      <c r="B36" s="152">
        <v>2797486.38</v>
      </c>
      <c r="C36" s="152">
        <v>2797486.38</v>
      </c>
      <c r="D36" s="153">
        <v>3209645.2</v>
      </c>
      <c r="E36" s="152">
        <f>+D36-C36-C37</f>
        <v>0</v>
      </c>
    </row>
    <row r="37" spans="1:5">
      <c r="A37" s="151" t="s">
        <v>946</v>
      </c>
      <c r="B37" s="152">
        <v>412158.81999999995</v>
      </c>
      <c r="C37" s="152">
        <v>412158.81999999995</v>
      </c>
      <c r="D37" s="154"/>
      <c r="E37" s="154"/>
    </row>
    <row r="38" spans="1:5">
      <c r="A38" s="155" t="s">
        <v>947</v>
      </c>
      <c r="B38" s="156">
        <v>139900.24</v>
      </c>
      <c r="C38" s="156">
        <v>139900.24</v>
      </c>
      <c r="D38" s="157">
        <v>254616</v>
      </c>
      <c r="E38" s="156">
        <f>+D38-C38-C39</f>
        <v>0</v>
      </c>
    </row>
    <row r="39" spans="1:5">
      <c r="A39" s="155" t="s">
        <v>948</v>
      </c>
      <c r="B39" s="156">
        <v>114715.76</v>
      </c>
      <c r="C39" s="156">
        <v>114715.76</v>
      </c>
      <c r="D39" s="157"/>
      <c r="E39" s="158"/>
    </row>
    <row r="40" spans="1:5">
      <c r="A40" s="159" t="s">
        <v>949</v>
      </c>
      <c r="B40" s="160">
        <v>21558.18</v>
      </c>
      <c r="C40" s="160">
        <v>21558.18</v>
      </c>
      <c r="D40" s="161">
        <v>25458.18</v>
      </c>
      <c r="E40" s="162">
        <f>+D40-C40</f>
        <v>3900</v>
      </c>
    </row>
    <row r="41" spans="1:5">
      <c r="A41" s="146" t="s">
        <v>936</v>
      </c>
      <c r="B41" s="163">
        <v>4317680.2899999991</v>
      </c>
      <c r="C41" s="164">
        <v>4317680.2899999991</v>
      </c>
      <c r="D41" s="164">
        <f>+SUM(D31:D40)</f>
        <v>4321580.29</v>
      </c>
      <c r="E41" s="164">
        <f>+SUM(E31:E40)</f>
        <v>3900</v>
      </c>
    </row>
  </sheetData>
  <pageMargins left="0.2" right="0.2" top="0.75" bottom="0.75" header="0.3" footer="0.3"/>
  <pageSetup scale="80" orientation="landscape"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740"/>
  <sheetViews>
    <sheetView showGridLines="0" view="pageBreakPreview" topLeftCell="A5" zoomScale="60" zoomScaleNormal="80" workbookViewId="0">
      <pane ySplit="9" topLeftCell="A14" activePane="bottomLeft" state="frozen"/>
      <selection activeCell="G29" sqref="G29"/>
      <selection pane="bottomLeft" activeCell="B103" activeCellId="1" sqref="A5:AW102 B103:U739"/>
    </sheetView>
  </sheetViews>
  <sheetFormatPr defaultRowHeight="12.75" outlineLevelCol="1"/>
  <cols>
    <col min="1" max="1" width="3.5703125" customWidth="1"/>
    <col min="5" max="5" width="38.42578125" customWidth="1"/>
    <col min="6" max="6" width="10" customWidth="1"/>
    <col min="7" max="7" width="3" customWidth="1"/>
    <col min="8" max="8" width="13.5703125" customWidth="1"/>
    <col min="9" max="9" width="10.5703125" customWidth="1"/>
    <col min="11" max="11" width="15.42578125" bestFit="1" customWidth="1"/>
    <col min="13" max="13" width="20.28515625" bestFit="1" customWidth="1"/>
    <col min="16" max="16" width="19.140625" customWidth="1"/>
    <col min="19" max="19" width="15.42578125" customWidth="1"/>
    <col min="21" max="21" width="14.42578125" customWidth="1"/>
    <col min="22" max="22" width="14.42578125" hidden="1" customWidth="1" outlineLevel="1"/>
    <col min="23" max="23" width="10" hidden="1" customWidth="1" outlineLevel="1"/>
    <col min="24" max="24" width="9.140625" hidden="1" customWidth="1" outlineLevel="1"/>
    <col min="25" max="25" width="13" hidden="1" customWidth="1" outlineLevel="1"/>
    <col min="26" max="32" width="9.140625" hidden="1" customWidth="1" outlineLevel="1"/>
    <col min="33" max="33" width="16.28515625" hidden="1" customWidth="1" outlineLevel="1"/>
    <col min="34" max="36" width="9.140625" hidden="1" customWidth="1" outlineLevel="1"/>
    <col min="37" max="37" width="7.7109375" bestFit="1" customWidth="1" collapsed="1"/>
    <col min="38" max="38" width="25.7109375" bestFit="1" customWidth="1"/>
    <col min="39" max="39" width="12.7109375" bestFit="1" customWidth="1"/>
    <col min="40" max="40" width="10.7109375" bestFit="1" customWidth="1"/>
    <col min="41" max="41" width="14.28515625" bestFit="1" customWidth="1"/>
    <col min="42" max="42" width="18" bestFit="1" customWidth="1"/>
    <col min="43" max="43" width="20.7109375" bestFit="1" customWidth="1"/>
    <col min="44" max="44" width="19.42578125" bestFit="1" customWidth="1"/>
    <col min="45" max="45" width="21.5703125" bestFit="1" customWidth="1"/>
    <col min="46" max="46" width="11.42578125" bestFit="1" customWidth="1"/>
    <col min="47" max="47" width="11.28515625" bestFit="1" customWidth="1"/>
    <col min="48" max="48" width="23.7109375" bestFit="1" customWidth="1"/>
    <col min="49" max="49" width="13.85546875" bestFit="1" customWidth="1"/>
  </cols>
  <sheetData>
    <row r="1" spans="1:49" ht="15">
      <c r="A1" s="145"/>
      <c r="B1" s="145" t="s">
        <v>950</v>
      </c>
      <c r="C1" s="145" t="s">
        <v>951</v>
      </c>
      <c r="D1" s="145" t="s">
        <v>952</v>
      </c>
      <c r="E1" s="145" t="s">
        <v>953</v>
      </c>
      <c r="F1" s="145" t="s">
        <v>954</v>
      </c>
      <c r="G1" s="145"/>
      <c r="H1" s="145" t="s">
        <v>955</v>
      </c>
      <c r="I1" s="145" t="s">
        <v>956</v>
      </c>
      <c r="J1" s="145" t="s">
        <v>957</v>
      </c>
      <c r="K1" s="145" t="s">
        <v>958</v>
      </c>
      <c r="L1" s="145" t="s">
        <v>959</v>
      </c>
      <c r="M1" s="145" t="s">
        <v>960</v>
      </c>
      <c r="N1" s="145" t="s">
        <v>961</v>
      </c>
      <c r="O1" s="145" t="s">
        <v>962</v>
      </c>
      <c r="P1" s="145" t="s">
        <v>963</v>
      </c>
      <c r="Q1" s="145" t="s">
        <v>964</v>
      </c>
      <c r="R1" s="145" t="s">
        <v>965</v>
      </c>
      <c r="S1" s="145" t="s">
        <v>966</v>
      </c>
      <c r="T1" s="145" t="s">
        <v>967</v>
      </c>
      <c r="U1" s="145" t="s">
        <v>968</v>
      </c>
      <c r="V1" s="145"/>
      <c r="W1" s="165" t="s">
        <v>969</v>
      </c>
      <c r="X1" s="145" t="s">
        <v>970</v>
      </c>
      <c r="Y1" s="145" t="s">
        <v>971</v>
      </c>
      <c r="Z1" s="145" t="s">
        <v>972</v>
      </c>
      <c r="AA1" s="145" t="s">
        <v>973</v>
      </c>
      <c r="AB1" s="145" t="s">
        <v>974</v>
      </c>
      <c r="AC1" s="145" t="s">
        <v>975</v>
      </c>
      <c r="AD1" s="145" t="s">
        <v>976</v>
      </c>
      <c r="AE1" s="145" t="s">
        <v>977</v>
      </c>
      <c r="AF1" s="145" t="s">
        <v>978</v>
      </c>
      <c r="AG1" s="145" t="s">
        <v>979</v>
      </c>
      <c r="AH1" s="145" t="s">
        <v>980</v>
      </c>
      <c r="AI1" s="145" t="s">
        <v>981</v>
      </c>
      <c r="AJ1" s="145" t="s">
        <v>982</v>
      </c>
      <c r="AK1" s="145"/>
      <c r="AL1" s="145"/>
      <c r="AM1" s="145"/>
      <c r="AN1" s="145"/>
      <c r="AO1" s="145"/>
      <c r="AP1" s="145"/>
      <c r="AQ1" s="145"/>
      <c r="AR1" s="145"/>
      <c r="AS1" s="145"/>
      <c r="AT1" s="145"/>
      <c r="AU1" s="145"/>
      <c r="AV1" s="145"/>
      <c r="AW1" s="145"/>
    </row>
    <row r="2" spans="1:49" ht="15">
      <c r="A2" s="145"/>
      <c r="B2" s="166"/>
      <c r="C2" s="167"/>
      <c r="D2" s="166"/>
      <c r="E2" s="168"/>
      <c r="F2" s="166"/>
      <c r="G2" s="168"/>
      <c r="H2" s="168"/>
      <c r="I2" s="168"/>
      <c r="J2" s="168"/>
      <c r="K2" s="168"/>
      <c r="L2" s="168"/>
      <c r="M2" s="168"/>
      <c r="N2" s="169"/>
      <c r="O2" s="169"/>
      <c r="P2" s="168"/>
      <c r="Q2" s="166"/>
      <c r="R2" s="166"/>
      <c r="S2" s="170"/>
      <c r="T2" s="166"/>
      <c r="U2" s="170"/>
      <c r="V2" s="170">
        <f>S2-U2</f>
        <v>0</v>
      </c>
      <c r="W2" s="171"/>
      <c r="X2" s="166"/>
      <c r="Y2" s="170"/>
      <c r="Z2" s="168"/>
      <c r="AA2" s="168"/>
      <c r="AB2" s="168"/>
      <c r="AC2" s="168"/>
      <c r="AD2" s="168"/>
      <c r="AE2" s="168"/>
      <c r="AF2" s="166"/>
      <c r="AG2" s="168"/>
      <c r="AH2" s="166"/>
      <c r="AI2" s="168"/>
      <c r="AJ2" s="168"/>
      <c r="AK2" s="145"/>
      <c r="AL2" s="145"/>
      <c r="AM2" s="145"/>
      <c r="AN2" s="145"/>
      <c r="AO2" s="145"/>
      <c r="AP2" s="145"/>
      <c r="AQ2" s="145"/>
      <c r="AR2" s="145"/>
      <c r="AS2" s="145"/>
      <c r="AT2" s="145"/>
      <c r="AU2" s="145"/>
      <c r="AV2" s="145"/>
      <c r="AW2" s="145"/>
    </row>
    <row r="3" spans="1:49" ht="15">
      <c r="A3" s="145"/>
      <c r="B3" s="145" t="str">
        <f ca="1">_xll.ReportRange("FARReport",A14:AJ740,A1:AJ1,A2:AJ2,_xll.Param($C$9,$C$10,C12,$M$9,$M$10,$M$11,$S$9,M12,$Y$10,$Y$9,S10,S11,CELL("address",$E$6)),TRUE,FALSE)</f>
        <v>OK!: ReportRange Formula OK [jAction{}]</v>
      </c>
      <c r="C3" s="145"/>
      <c r="D3" s="145"/>
      <c r="E3" s="145"/>
      <c r="F3" s="145"/>
      <c r="G3" s="145"/>
      <c r="H3" s="145"/>
      <c r="I3" s="145"/>
      <c r="J3" s="145"/>
      <c r="K3" s="145"/>
      <c r="L3" s="172" t="s">
        <v>983</v>
      </c>
      <c r="M3" s="173">
        <f ca="1">MONTH(NOW())</f>
        <v>1</v>
      </c>
      <c r="N3" s="145"/>
      <c r="O3" s="145"/>
      <c r="P3" s="145"/>
      <c r="Q3" s="145"/>
      <c r="R3" s="145"/>
      <c r="S3" s="145" t="str">
        <f ca="1">_xll.ReportDrill([21]ProjDepr!D3,,_xll.PairGroup(_xll.Pair('Assets 2021'!C9,[21]ProjDepr!D19),_xll.Pair("C:B",[21]ProjDepr!D20),_xll.Pair("C:C",[21]ProjDepr!D21),_xll.Pair("C:V",[21]ProjDepr!D22)),"Projected Depr")</f>
        <v>OK!: ReportDrill 'Projected Depr' Formula OK [jAction{}]</v>
      </c>
      <c r="T3" s="145"/>
      <c r="U3" s="145"/>
      <c r="V3" s="145"/>
      <c r="W3" s="165"/>
      <c r="X3" s="145"/>
      <c r="Y3" s="145" t="str">
        <f ca="1">_xll.jFreezePanes(A14,A5)</f>
        <v xml:space="preserve">&gt; jFreezePanes is ready. </v>
      </c>
      <c r="Z3" s="145"/>
      <c r="AA3" s="145"/>
      <c r="AB3" s="145" t="str">
        <f ca="1">_xll.jFocus(C9)</f>
        <v xml:space="preserve">&gt; jFocus is ready. </v>
      </c>
      <c r="AC3" s="145"/>
      <c r="AD3" s="145"/>
      <c r="AE3" s="145"/>
      <c r="AF3" s="145"/>
      <c r="AG3" s="145"/>
      <c r="AH3" s="145"/>
      <c r="AI3" s="145"/>
      <c r="AJ3" s="145"/>
      <c r="AK3" s="145"/>
      <c r="AL3" s="145"/>
      <c r="AM3" s="145"/>
      <c r="AN3" s="145"/>
      <c r="AO3" s="145"/>
      <c r="AP3" s="145"/>
      <c r="AQ3" s="145"/>
      <c r="AR3" s="145"/>
      <c r="AS3" s="145"/>
      <c r="AT3" s="145"/>
      <c r="AU3" s="145"/>
      <c r="AV3" s="145"/>
      <c r="AW3" s="145"/>
    </row>
    <row r="4" spans="1:49" ht="15">
      <c r="A4" s="145"/>
      <c r="B4" s="174"/>
      <c r="C4" s="145"/>
      <c r="D4" s="145"/>
      <c r="E4" s="145"/>
      <c r="F4" s="145"/>
      <c r="G4" s="145"/>
      <c r="H4" s="145"/>
      <c r="I4" s="145"/>
      <c r="J4" s="145"/>
      <c r="K4" s="145"/>
      <c r="L4" s="172" t="s">
        <v>984</v>
      </c>
      <c r="M4" s="173">
        <f ca="1">IF(M3=12,YEAR(NOW()),YEAR(NOW()))</f>
        <v>2022</v>
      </c>
      <c r="N4" s="145"/>
      <c r="O4" s="145"/>
      <c r="P4" s="145"/>
      <c r="Q4" s="145"/>
      <c r="R4" s="175"/>
      <c r="S4" s="175" t="s">
        <v>985</v>
      </c>
      <c r="T4" s="175"/>
      <c r="U4" s="175" t="str">
        <f ca="1">_xll.ReportDrill([21]Invoice!$C$2,,_xll.PairGroup(_xll.Pair("C:P",[21]Invoice!$E$7),_xll.Pair("",[21]Invoice!$E$8,"N"),_xll.Pair("",[21]Invoice!$E$9,"n")),"Drill To All Invoices by PO#")</f>
        <v>OK!: ReportDrill 'Drill To All Invoices by PO#' Formula OK [jAction{}]</v>
      </c>
      <c r="V4" s="175"/>
      <c r="W4" s="176"/>
      <c r="X4" s="175" t="str">
        <f ca="1">_xll.ReportDrill([21]Invoice!$C$2,,_xll.PairGroup(_xll.Pair("C:P",[21]Invoice!$E$7),_xll.Pair("",[21]Invoice!$E$8,"N"),_xll.Pair("C:Z",[21]Invoice!$E$9,"n")),"Drill to Invoice by PO# and Invoice #")</f>
        <v>OK!: ReportDrill 'Drill to Invoice by PO# and Invoice #' Formula OK [jAction{}]</v>
      </c>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row>
    <row r="5" spans="1:49" s="177" customFormat="1" ht="18.75">
      <c r="B5" s="178" t="s">
        <v>986</v>
      </c>
      <c r="H5" s="179" t="s">
        <v>987</v>
      </c>
      <c r="I5" s="180">
        <f>COUNT(C14:C740)</f>
        <v>726</v>
      </c>
      <c r="V5" s="181"/>
      <c r="AK5" s="177">
        <v>3</v>
      </c>
      <c r="AL5" s="182" t="s">
        <v>742</v>
      </c>
    </row>
    <row r="6" spans="1:49" s="177" customFormat="1" ht="15">
      <c r="B6" s="180" t="s">
        <v>988</v>
      </c>
      <c r="E6" s="177" t="s">
        <v>989</v>
      </c>
      <c r="W6" s="181"/>
      <c r="AK6" s="177">
        <v>2021</v>
      </c>
      <c r="AL6" s="182" t="s">
        <v>743</v>
      </c>
    </row>
    <row r="7" spans="1:49" s="177" customFormat="1" ht="15">
      <c r="H7" s="183"/>
      <c r="I7" s="183"/>
      <c r="W7" s="181"/>
      <c r="AK7" s="177">
        <v>2022</v>
      </c>
      <c r="AL7" s="182" t="s">
        <v>34</v>
      </c>
    </row>
    <row r="8" spans="1:49" s="177" customFormat="1" ht="15">
      <c r="B8" s="180"/>
      <c r="R8" s="183"/>
      <c r="W8" s="181"/>
      <c r="AK8" s="184">
        <f>AK7+(AK5/12)</f>
        <v>2022.25</v>
      </c>
      <c r="AL8" s="182" t="s">
        <v>744</v>
      </c>
    </row>
    <row r="9" spans="1:49" s="177" customFormat="1" ht="15">
      <c r="B9" s="183" t="s">
        <v>990</v>
      </c>
      <c r="C9" s="185" t="s">
        <v>991</v>
      </c>
      <c r="E9" s="186"/>
      <c r="F9" s="474" t="s">
        <v>992</v>
      </c>
      <c r="G9" s="474"/>
      <c r="H9" s="474"/>
      <c r="I9" s="474"/>
      <c r="J9" s="474"/>
      <c r="L9" s="183" t="s">
        <v>993</v>
      </c>
      <c r="M9" s="475"/>
      <c r="N9" s="475"/>
      <c r="O9" s="187" t="s">
        <v>994</v>
      </c>
      <c r="R9" s="183" t="s">
        <v>995</v>
      </c>
      <c r="S9" s="188"/>
      <c r="T9" s="186" t="s">
        <v>996</v>
      </c>
      <c r="W9" s="181"/>
      <c r="X9" s="183" t="s">
        <v>997</v>
      </c>
      <c r="Y9" s="189"/>
    </row>
    <row r="10" spans="1:49" s="177" customFormat="1" ht="15">
      <c r="B10" s="183" t="s">
        <v>998</v>
      </c>
      <c r="C10" s="476" t="s">
        <v>999</v>
      </c>
      <c r="D10" s="477"/>
      <c r="E10" s="186" t="s">
        <v>1000</v>
      </c>
      <c r="F10" s="474"/>
      <c r="G10" s="474"/>
      <c r="H10" s="474"/>
      <c r="I10" s="474"/>
      <c r="J10" s="474"/>
      <c r="L10" s="183" t="s">
        <v>1001</v>
      </c>
      <c r="M10" s="475"/>
      <c r="N10" s="475"/>
      <c r="O10" s="187" t="s">
        <v>994</v>
      </c>
      <c r="R10" s="183" t="s">
        <v>1002</v>
      </c>
      <c r="S10" s="190"/>
      <c r="T10" s="186"/>
      <c r="W10" s="181"/>
      <c r="X10" s="183" t="s">
        <v>1003</v>
      </c>
      <c r="Y10" s="189"/>
    </row>
    <row r="11" spans="1:49" s="177" customFormat="1" ht="15">
      <c r="L11" s="183" t="s">
        <v>1004</v>
      </c>
      <c r="M11" s="475"/>
      <c r="N11" s="475"/>
      <c r="O11" s="187" t="s">
        <v>994</v>
      </c>
      <c r="R11" s="183" t="s">
        <v>1005</v>
      </c>
      <c r="S11" s="191"/>
      <c r="W11" s="181"/>
    </row>
    <row r="12" spans="1:49" s="177" customFormat="1" ht="15">
      <c r="B12" s="183" t="s">
        <v>1006</v>
      </c>
      <c r="C12" s="191"/>
      <c r="L12" s="183" t="s">
        <v>1007</v>
      </c>
      <c r="M12" s="192"/>
      <c r="N12" s="192"/>
      <c r="O12" s="177" t="s">
        <v>1008</v>
      </c>
      <c r="R12" s="183" t="s">
        <v>1009</v>
      </c>
      <c r="S12" s="192"/>
      <c r="T12" s="177" t="s">
        <v>1008</v>
      </c>
      <c r="W12" s="181"/>
    </row>
    <row r="13" spans="1:49" s="177" customFormat="1" ht="45.75" thickBot="1">
      <c r="A13" s="193"/>
      <c r="B13" s="193" t="s">
        <v>1010</v>
      </c>
      <c r="C13" s="193" t="s">
        <v>1011</v>
      </c>
      <c r="D13" s="193" t="s">
        <v>1012</v>
      </c>
      <c r="E13" s="193" t="s">
        <v>1013</v>
      </c>
      <c r="F13" s="193" t="s">
        <v>1014</v>
      </c>
      <c r="G13" s="193">
        <v>0</v>
      </c>
      <c r="H13" s="193" t="s">
        <v>1015</v>
      </c>
      <c r="I13" s="193" t="s">
        <v>1016</v>
      </c>
      <c r="J13" s="193" t="s">
        <v>1017</v>
      </c>
      <c r="K13" s="193" t="s">
        <v>1018</v>
      </c>
      <c r="L13" s="193" t="s">
        <v>1019</v>
      </c>
      <c r="M13" s="193" t="s">
        <v>1020</v>
      </c>
      <c r="N13" s="193" t="s">
        <v>1021</v>
      </c>
      <c r="O13" s="193" t="s">
        <v>1022</v>
      </c>
      <c r="P13" s="193" t="s">
        <v>1023</v>
      </c>
      <c r="Q13" s="193" t="s">
        <v>1024</v>
      </c>
      <c r="R13" s="193" t="s">
        <v>1025</v>
      </c>
      <c r="S13" s="193" t="s">
        <v>173</v>
      </c>
      <c r="T13" s="193" t="s">
        <v>1026</v>
      </c>
      <c r="U13" s="193" t="s">
        <v>1027</v>
      </c>
      <c r="V13" s="193" t="s">
        <v>815</v>
      </c>
      <c r="W13" s="194" t="s">
        <v>1028</v>
      </c>
      <c r="X13" s="193" t="s">
        <v>1029</v>
      </c>
      <c r="Y13" s="193" t="s">
        <v>1030</v>
      </c>
      <c r="Z13" s="193" t="s">
        <v>1031</v>
      </c>
      <c r="AA13" s="193" t="s">
        <v>1032</v>
      </c>
      <c r="AB13" s="193" t="s">
        <v>1033</v>
      </c>
      <c r="AC13" s="193" t="s">
        <v>1034</v>
      </c>
      <c r="AD13" s="193" t="s">
        <v>976</v>
      </c>
      <c r="AE13" s="193" t="s">
        <v>1035</v>
      </c>
      <c r="AF13" s="193" t="s">
        <v>1036</v>
      </c>
      <c r="AG13" s="193" t="s">
        <v>1037</v>
      </c>
      <c r="AH13" s="193" t="s">
        <v>1038</v>
      </c>
      <c r="AI13" s="193" t="s">
        <v>1039</v>
      </c>
      <c r="AJ13" s="193" t="s">
        <v>1040</v>
      </c>
      <c r="AK13" s="195" t="s">
        <v>1041</v>
      </c>
      <c r="AL13" s="195" t="s">
        <v>1042</v>
      </c>
      <c r="AM13" s="195" t="s">
        <v>1043</v>
      </c>
      <c r="AN13" s="196" t="s">
        <v>48</v>
      </c>
      <c r="AO13" s="196" t="s">
        <v>1044</v>
      </c>
      <c r="AP13" s="196" t="s">
        <v>1045</v>
      </c>
      <c r="AQ13" s="196" t="s">
        <v>1046</v>
      </c>
      <c r="AR13" s="196" t="s">
        <v>1047</v>
      </c>
      <c r="AS13" s="196" t="s">
        <v>1048</v>
      </c>
      <c r="AT13" s="196" t="s">
        <v>1049</v>
      </c>
      <c r="AU13" s="196" t="s">
        <v>1050</v>
      </c>
      <c r="AV13" s="196" t="s">
        <v>1051</v>
      </c>
      <c r="AW13" s="196" t="s">
        <v>1052</v>
      </c>
    </row>
    <row r="14" spans="1:49" s="205" customFormat="1" ht="15">
      <c r="A14" s="197"/>
      <c r="B14" s="198">
        <v>2183</v>
      </c>
      <c r="C14" s="199">
        <v>270329</v>
      </c>
      <c r="D14" s="198" t="s">
        <v>1053</v>
      </c>
      <c r="E14" s="200" t="s">
        <v>1054</v>
      </c>
      <c r="F14" s="198"/>
      <c r="G14" s="200"/>
      <c r="H14" s="200"/>
      <c r="I14" s="200"/>
      <c r="J14" s="200">
        <v>0</v>
      </c>
      <c r="K14" s="200" t="s">
        <v>1055</v>
      </c>
      <c r="L14" s="200"/>
      <c r="M14" s="200"/>
      <c r="N14" s="201">
        <v>43946</v>
      </c>
      <c r="O14" s="201">
        <v>43946</v>
      </c>
      <c r="P14" s="200" t="s">
        <v>1056</v>
      </c>
      <c r="Q14" s="198">
        <v>300</v>
      </c>
      <c r="R14" s="198">
        <v>14110</v>
      </c>
      <c r="S14" s="202">
        <v>6335.92</v>
      </c>
      <c r="T14" s="198">
        <v>14116</v>
      </c>
      <c r="U14" s="202">
        <v>3343.95</v>
      </c>
      <c r="V14" s="202">
        <f t="shared" ref="V14:V77" si="0">S14-U14</f>
        <v>2991.9700000000003</v>
      </c>
      <c r="W14" s="203">
        <v>0</v>
      </c>
      <c r="X14" s="198">
        <v>70260</v>
      </c>
      <c r="Y14" s="202">
        <v>0</v>
      </c>
      <c r="Z14" s="200" t="s">
        <v>1053</v>
      </c>
      <c r="AA14" s="200"/>
      <c r="AB14" s="200" t="s">
        <v>1057</v>
      </c>
      <c r="AC14" s="200"/>
      <c r="AD14" s="200" t="s">
        <v>1058</v>
      </c>
      <c r="AE14" s="200" t="s">
        <v>1059</v>
      </c>
      <c r="AF14" s="198" t="s">
        <v>284</v>
      </c>
      <c r="AG14" s="204">
        <v>44530</v>
      </c>
      <c r="AH14" s="198" t="s">
        <v>1060</v>
      </c>
      <c r="AI14" s="200">
        <v>0</v>
      </c>
      <c r="AJ14" s="200">
        <v>3343.95</v>
      </c>
      <c r="AL14" s="205" t="s">
        <v>934</v>
      </c>
      <c r="AM14" s="205">
        <f>+MONTH(N14)</f>
        <v>4</v>
      </c>
      <c r="AN14" s="205">
        <f>+YEAR(N14)</f>
        <v>2020</v>
      </c>
      <c r="AO14" s="205">
        <f>+AN14+(Q14/100)</f>
        <v>2023</v>
      </c>
      <c r="AP14" s="206">
        <f>+AO14+(AM14/12)</f>
        <v>2023.3333333333333</v>
      </c>
      <c r="AQ14" s="207">
        <f>+IFERROR($S14/($Q14/100)/12,0)</f>
        <v>175.99777777777777</v>
      </c>
      <c r="AR14" s="207">
        <f>+AQ14*12</f>
        <v>2111.9733333333334</v>
      </c>
      <c r="AS14" s="207">
        <f>IF($AP14&lt;=$AK$8,0,IF($AO14=$AK$7,($AQ14*$AM14),AR14))</f>
        <v>2111.9733333333334</v>
      </c>
      <c r="AT14" s="208">
        <f t="shared" ref="AT14:AT77" si="1">IF($AS14=0,$S14,IF($AK$6-AN14&lt;1,0,(($AK$6-$AN14)*AR14)))</f>
        <v>2111.9733333333334</v>
      </c>
      <c r="AU14" s="207">
        <f>IF($AT14=0,$AS14,($AT14+$AS14))</f>
        <v>4223.9466666666667</v>
      </c>
      <c r="AV14" s="208">
        <f t="shared" ref="AV14:AV77" si="2">$S14-$AU14</f>
        <v>2111.9733333333334</v>
      </c>
    </row>
    <row r="15" spans="1:49" s="205" customFormat="1" ht="15">
      <c r="A15" s="197"/>
      <c r="B15" s="198">
        <v>2183</v>
      </c>
      <c r="C15" s="199">
        <v>270328</v>
      </c>
      <c r="D15" s="198" t="s">
        <v>1053</v>
      </c>
      <c r="E15" s="200" t="s">
        <v>1061</v>
      </c>
      <c r="F15" s="198"/>
      <c r="G15" s="200"/>
      <c r="H15" s="200"/>
      <c r="I15" s="200"/>
      <c r="J15" s="200">
        <v>0</v>
      </c>
      <c r="K15" s="200" t="s">
        <v>1055</v>
      </c>
      <c r="L15" s="200"/>
      <c r="M15" s="200"/>
      <c r="N15" s="201">
        <v>43946</v>
      </c>
      <c r="O15" s="201">
        <v>43946</v>
      </c>
      <c r="P15" s="200" t="s">
        <v>1056</v>
      </c>
      <c r="Q15" s="198">
        <v>300</v>
      </c>
      <c r="R15" s="198">
        <v>14110</v>
      </c>
      <c r="S15" s="202">
        <v>1267.19</v>
      </c>
      <c r="T15" s="198">
        <v>14116</v>
      </c>
      <c r="U15" s="202">
        <v>668.8</v>
      </c>
      <c r="V15" s="202">
        <f t="shared" si="0"/>
        <v>598.3900000000001</v>
      </c>
      <c r="W15" s="203">
        <v>0</v>
      </c>
      <c r="X15" s="198">
        <v>70260</v>
      </c>
      <c r="Y15" s="202">
        <v>0</v>
      </c>
      <c r="Z15" s="200" t="s">
        <v>1053</v>
      </c>
      <c r="AA15" s="200"/>
      <c r="AB15" s="200" t="s">
        <v>1057</v>
      </c>
      <c r="AC15" s="200"/>
      <c r="AD15" s="200" t="s">
        <v>1058</v>
      </c>
      <c r="AE15" s="200" t="s">
        <v>1059</v>
      </c>
      <c r="AF15" s="198" t="s">
        <v>284</v>
      </c>
      <c r="AG15" s="204">
        <v>44530</v>
      </c>
      <c r="AH15" s="198" t="s">
        <v>1060</v>
      </c>
      <c r="AI15" s="200">
        <v>0</v>
      </c>
      <c r="AJ15" s="200">
        <v>668.8</v>
      </c>
      <c r="AL15" s="205" t="s">
        <v>934</v>
      </c>
      <c r="AM15" s="205">
        <f t="shared" ref="AM15:AM78" si="3">+MONTH(N15)</f>
        <v>4</v>
      </c>
      <c r="AN15" s="205">
        <f t="shared" ref="AN15:AN78" si="4">+YEAR(N15)</f>
        <v>2020</v>
      </c>
      <c r="AO15" s="205">
        <f t="shared" ref="AO15:AO78" si="5">+AN15+(Q15/100)</f>
        <v>2023</v>
      </c>
      <c r="AP15" s="206">
        <f t="shared" ref="AP15:AP78" si="6">+AO15+(AM15/12)</f>
        <v>2023.3333333333333</v>
      </c>
      <c r="AQ15" s="207">
        <f t="shared" ref="AQ15:AQ78" si="7">+IFERROR($S15/($Q15/100)/12,0)</f>
        <v>35.199722222222228</v>
      </c>
      <c r="AR15" s="207">
        <f t="shared" ref="AR15:AR78" si="8">+AQ15*12</f>
        <v>422.39666666666676</v>
      </c>
      <c r="AS15" s="207">
        <f t="shared" ref="AS15:AS78" si="9">IF($AP15&lt;=$AK$8,0,IF($AO15=$AK$7,($AQ15*$AM15),AR15))</f>
        <v>422.39666666666676</v>
      </c>
      <c r="AT15" s="208">
        <f t="shared" si="1"/>
        <v>422.39666666666676</v>
      </c>
      <c r="AU15" s="207">
        <f t="shared" ref="AU15:AU78" si="10">IF($AT15=0,$AS15,($AT15+$AS15))</f>
        <v>844.79333333333352</v>
      </c>
      <c r="AV15" s="208">
        <f t="shared" si="2"/>
        <v>422.39666666666653</v>
      </c>
    </row>
    <row r="16" spans="1:49" s="205" customFormat="1" ht="15">
      <c r="A16" s="197"/>
      <c r="B16" s="198">
        <v>2183</v>
      </c>
      <c r="C16" s="199">
        <v>270327</v>
      </c>
      <c r="D16" s="198" t="s">
        <v>1053</v>
      </c>
      <c r="E16" s="200" t="s">
        <v>1062</v>
      </c>
      <c r="F16" s="198"/>
      <c r="G16" s="200"/>
      <c r="H16" s="200"/>
      <c r="I16" s="200"/>
      <c r="J16" s="200">
        <v>0</v>
      </c>
      <c r="K16" s="200" t="s">
        <v>1063</v>
      </c>
      <c r="L16" s="200"/>
      <c r="M16" s="200"/>
      <c r="N16" s="201">
        <v>43936</v>
      </c>
      <c r="O16" s="201">
        <v>43936</v>
      </c>
      <c r="P16" s="200" t="s">
        <v>1064</v>
      </c>
      <c r="Q16" s="198">
        <v>100</v>
      </c>
      <c r="R16" s="198">
        <v>14110</v>
      </c>
      <c r="S16" s="202">
        <v>5473.36</v>
      </c>
      <c r="T16" s="198">
        <v>14116</v>
      </c>
      <c r="U16" s="202">
        <v>5473.36</v>
      </c>
      <c r="V16" s="202">
        <f t="shared" si="0"/>
        <v>0</v>
      </c>
      <c r="W16" s="203">
        <v>0</v>
      </c>
      <c r="X16" s="198">
        <v>70260</v>
      </c>
      <c r="Y16" s="202">
        <v>0</v>
      </c>
      <c r="Z16" s="200" t="s">
        <v>1053</v>
      </c>
      <c r="AA16" s="200"/>
      <c r="AB16" s="200">
        <v>13279</v>
      </c>
      <c r="AC16" s="200"/>
      <c r="AD16" s="200" t="s">
        <v>1058</v>
      </c>
      <c r="AE16" s="200" t="s">
        <v>1059</v>
      </c>
      <c r="AF16" s="198" t="s">
        <v>284</v>
      </c>
      <c r="AG16" s="204">
        <v>44530</v>
      </c>
      <c r="AH16" s="198" t="s">
        <v>1060</v>
      </c>
      <c r="AI16" s="200">
        <v>0</v>
      </c>
      <c r="AJ16" s="200">
        <v>5473.36</v>
      </c>
      <c r="AL16" s="205" t="s">
        <v>934</v>
      </c>
      <c r="AM16" s="205">
        <f t="shared" si="3"/>
        <v>4</v>
      </c>
      <c r="AN16" s="205">
        <f t="shared" si="4"/>
        <v>2020</v>
      </c>
      <c r="AO16" s="205">
        <f t="shared" si="5"/>
        <v>2021</v>
      </c>
      <c r="AP16" s="206">
        <f t="shared" si="6"/>
        <v>2021.3333333333333</v>
      </c>
      <c r="AQ16" s="207">
        <f t="shared" si="7"/>
        <v>456.11333333333329</v>
      </c>
      <c r="AR16" s="207">
        <f t="shared" si="8"/>
        <v>5473.36</v>
      </c>
      <c r="AS16" s="207">
        <f t="shared" si="9"/>
        <v>0</v>
      </c>
      <c r="AT16" s="208">
        <f t="shared" si="1"/>
        <v>5473.36</v>
      </c>
      <c r="AU16" s="207">
        <f t="shared" si="10"/>
        <v>5473.36</v>
      </c>
      <c r="AV16" s="208">
        <f t="shared" si="2"/>
        <v>0</v>
      </c>
    </row>
    <row r="17" spans="1:48" s="205" customFormat="1" ht="15">
      <c r="A17" s="197"/>
      <c r="B17" s="198">
        <v>2183</v>
      </c>
      <c r="C17" s="199">
        <v>268710</v>
      </c>
      <c r="D17" s="198" t="s">
        <v>1053</v>
      </c>
      <c r="E17" s="200" t="s">
        <v>1065</v>
      </c>
      <c r="F17" s="198"/>
      <c r="G17" s="200"/>
      <c r="H17" s="200"/>
      <c r="I17" s="200"/>
      <c r="J17" s="200">
        <v>0</v>
      </c>
      <c r="K17" s="200" t="s">
        <v>1066</v>
      </c>
      <c r="L17" s="200"/>
      <c r="M17" s="200"/>
      <c r="N17" s="201">
        <v>44517</v>
      </c>
      <c r="O17" s="201">
        <v>44517</v>
      </c>
      <c r="P17" s="200" t="s">
        <v>948</v>
      </c>
      <c r="Q17" s="198">
        <v>1000</v>
      </c>
      <c r="R17" s="198">
        <v>14100</v>
      </c>
      <c r="S17" s="202">
        <v>95331.73</v>
      </c>
      <c r="T17" s="198">
        <v>14106</v>
      </c>
      <c r="U17" s="202">
        <v>0</v>
      </c>
      <c r="V17" s="202">
        <f t="shared" si="0"/>
        <v>95331.73</v>
      </c>
      <c r="W17" s="203">
        <v>0</v>
      </c>
      <c r="X17" s="198">
        <v>70260</v>
      </c>
      <c r="Y17" s="202">
        <v>0</v>
      </c>
      <c r="Z17" s="200" t="s">
        <v>1053</v>
      </c>
      <c r="AA17" s="200"/>
      <c r="AB17" s="200" t="s">
        <v>1067</v>
      </c>
      <c r="AC17" s="200"/>
      <c r="AD17" s="200" t="s">
        <v>1058</v>
      </c>
      <c r="AE17" s="200" t="s">
        <v>1059</v>
      </c>
      <c r="AF17" s="198" t="s">
        <v>284</v>
      </c>
      <c r="AG17" s="200"/>
      <c r="AH17" s="198" t="s">
        <v>1060</v>
      </c>
      <c r="AI17" s="200">
        <v>0</v>
      </c>
      <c r="AJ17" s="200">
        <v>0</v>
      </c>
      <c r="AL17" s="205" t="s">
        <v>138</v>
      </c>
      <c r="AM17" s="205">
        <f t="shared" si="3"/>
        <v>11</v>
      </c>
      <c r="AN17" s="205">
        <f t="shared" si="4"/>
        <v>2021</v>
      </c>
      <c r="AO17" s="205">
        <f t="shared" si="5"/>
        <v>2031</v>
      </c>
      <c r="AP17" s="206">
        <f t="shared" si="6"/>
        <v>2031.9166666666667</v>
      </c>
      <c r="AQ17" s="207">
        <f t="shared" si="7"/>
        <v>794.43108333333328</v>
      </c>
      <c r="AR17" s="207">
        <f t="shared" si="8"/>
        <v>9533.1729999999989</v>
      </c>
      <c r="AS17" s="207">
        <f t="shared" si="9"/>
        <v>9533.1729999999989</v>
      </c>
      <c r="AT17" s="208">
        <f t="shared" si="1"/>
        <v>0</v>
      </c>
      <c r="AU17" s="207">
        <f t="shared" si="10"/>
        <v>9533.1729999999989</v>
      </c>
      <c r="AV17" s="208">
        <f t="shared" si="2"/>
        <v>85798.557000000001</v>
      </c>
    </row>
    <row r="18" spans="1:48" s="205" customFormat="1" ht="15">
      <c r="A18" s="197"/>
      <c r="B18" s="198">
        <v>2183</v>
      </c>
      <c r="C18" s="199">
        <v>268628</v>
      </c>
      <c r="D18" s="198" t="s">
        <v>1053</v>
      </c>
      <c r="E18" s="200" t="s">
        <v>861</v>
      </c>
      <c r="F18" s="198">
        <v>542</v>
      </c>
      <c r="G18" s="200"/>
      <c r="H18" s="200"/>
      <c r="I18" s="200"/>
      <c r="J18" s="200">
        <v>0</v>
      </c>
      <c r="K18" s="200" t="s">
        <v>1068</v>
      </c>
      <c r="L18" s="200"/>
      <c r="M18" s="200" t="s">
        <v>1069</v>
      </c>
      <c r="N18" s="201">
        <v>44543</v>
      </c>
      <c r="O18" s="201">
        <v>44543</v>
      </c>
      <c r="P18" s="200" t="s">
        <v>1070</v>
      </c>
      <c r="Q18" s="198">
        <v>700</v>
      </c>
      <c r="R18" s="198">
        <v>14050</v>
      </c>
      <c r="S18" s="202">
        <v>39911.4</v>
      </c>
      <c r="T18" s="198">
        <v>14056</v>
      </c>
      <c r="U18" s="202">
        <v>0</v>
      </c>
      <c r="V18" s="202">
        <f t="shared" si="0"/>
        <v>39911.4</v>
      </c>
      <c r="W18" s="203">
        <v>0</v>
      </c>
      <c r="X18" s="198">
        <v>54260</v>
      </c>
      <c r="Y18" s="202">
        <v>0</v>
      </c>
      <c r="Z18" s="200" t="s">
        <v>1053</v>
      </c>
      <c r="AA18" s="200"/>
      <c r="AB18" s="200">
        <v>50211980</v>
      </c>
      <c r="AC18" s="200"/>
      <c r="AD18" s="200" t="s">
        <v>1058</v>
      </c>
      <c r="AE18" s="200" t="s">
        <v>1059</v>
      </c>
      <c r="AF18" s="198" t="s">
        <v>284</v>
      </c>
      <c r="AG18" s="200"/>
      <c r="AH18" s="198" t="s">
        <v>1060</v>
      </c>
      <c r="AI18" s="200">
        <v>0</v>
      </c>
      <c r="AJ18" s="200">
        <v>0</v>
      </c>
      <c r="AL18" s="205" t="s">
        <v>931</v>
      </c>
      <c r="AM18" s="205">
        <f t="shared" si="3"/>
        <v>12</v>
      </c>
      <c r="AN18" s="205">
        <f t="shared" si="4"/>
        <v>2021</v>
      </c>
      <c r="AO18" s="205">
        <f t="shared" si="5"/>
        <v>2028</v>
      </c>
      <c r="AP18" s="206">
        <f t="shared" si="6"/>
        <v>2029</v>
      </c>
      <c r="AQ18" s="207">
        <f t="shared" si="7"/>
        <v>475.1357142857143</v>
      </c>
      <c r="AR18" s="207">
        <f t="shared" si="8"/>
        <v>5701.6285714285714</v>
      </c>
      <c r="AS18" s="207">
        <f t="shared" si="9"/>
        <v>5701.6285714285714</v>
      </c>
      <c r="AT18" s="208">
        <f t="shared" si="1"/>
        <v>0</v>
      </c>
      <c r="AU18" s="207">
        <f t="shared" si="10"/>
        <v>5701.6285714285714</v>
      </c>
      <c r="AV18" s="208">
        <f t="shared" si="2"/>
        <v>34209.771428571432</v>
      </c>
    </row>
    <row r="19" spans="1:48" s="205" customFormat="1" ht="15">
      <c r="A19" s="197"/>
      <c r="B19" s="198">
        <v>2183</v>
      </c>
      <c r="C19" s="199">
        <v>267048</v>
      </c>
      <c r="D19" s="198">
        <v>257730</v>
      </c>
      <c r="E19" s="200" t="s">
        <v>1071</v>
      </c>
      <c r="F19" s="198"/>
      <c r="G19" s="200"/>
      <c r="H19" s="200"/>
      <c r="I19" s="200"/>
      <c r="J19" s="200">
        <v>0</v>
      </c>
      <c r="K19" s="200" t="s">
        <v>1072</v>
      </c>
      <c r="L19" s="200"/>
      <c r="M19" s="200"/>
      <c r="N19" s="201">
        <v>44538</v>
      </c>
      <c r="O19" s="201">
        <v>44538</v>
      </c>
      <c r="P19" s="200" t="s">
        <v>946</v>
      </c>
      <c r="Q19" s="198">
        <v>2000</v>
      </c>
      <c r="R19" s="198">
        <v>14080</v>
      </c>
      <c r="S19" s="202">
        <v>3947.5</v>
      </c>
      <c r="T19" s="198">
        <v>14086</v>
      </c>
      <c r="U19" s="202">
        <v>0</v>
      </c>
      <c r="V19" s="202">
        <f t="shared" si="0"/>
        <v>3947.5</v>
      </c>
      <c r="W19" s="203">
        <v>0</v>
      </c>
      <c r="X19" s="198">
        <v>57260</v>
      </c>
      <c r="Y19" s="202">
        <v>0</v>
      </c>
      <c r="Z19" s="200" t="s">
        <v>1053</v>
      </c>
      <c r="AA19" s="200"/>
      <c r="AB19" s="200" t="s">
        <v>1073</v>
      </c>
      <c r="AC19" s="200"/>
      <c r="AD19" s="200" t="s">
        <v>1058</v>
      </c>
      <c r="AE19" s="200" t="s">
        <v>1059</v>
      </c>
      <c r="AF19" s="198" t="s">
        <v>284</v>
      </c>
      <c r="AG19" s="200"/>
      <c r="AH19" s="198" t="s">
        <v>1060</v>
      </c>
      <c r="AI19" s="200">
        <v>0</v>
      </c>
      <c r="AJ19" s="200">
        <v>0</v>
      </c>
      <c r="AL19" s="205" t="s">
        <v>138</v>
      </c>
      <c r="AM19" s="205">
        <f t="shared" si="3"/>
        <v>12</v>
      </c>
      <c r="AN19" s="205">
        <f t="shared" si="4"/>
        <v>2021</v>
      </c>
      <c r="AO19" s="205">
        <f t="shared" si="5"/>
        <v>2041</v>
      </c>
      <c r="AP19" s="206">
        <f t="shared" si="6"/>
        <v>2042</v>
      </c>
      <c r="AQ19" s="207">
        <f t="shared" si="7"/>
        <v>16.447916666666668</v>
      </c>
      <c r="AR19" s="207">
        <f t="shared" si="8"/>
        <v>197.375</v>
      </c>
      <c r="AS19" s="207">
        <f t="shared" si="9"/>
        <v>197.375</v>
      </c>
      <c r="AT19" s="208">
        <f t="shared" si="1"/>
        <v>0</v>
      </c>
      <c r="AU19" s="207">
        <f t="shared" si="10"/>
        <v>197.375</v>
      </c>
      <c r="AV19" s="208">
        <f t="shared" si="2"/>
        <v>3750.125</v>
      </c>
    </row>
    <row r="20" spans="1:48" s="205" customFormat="1" ht="15">
      <c r="A20" s="197"/>
      <c r="B20" s="198">
        <v>2183</v>
      </c>
      <c r="C20" s="199">
        <v>266895</v>
      </c>
      <c r="D20" s="198">
        <v>264418</v>
      </c>
      <c r="E20" s="200" t="s">
        <v>1074</v>
      </c>
      <c r="F20" s="198"/>
      <c r="G20" s="200"/>
      <c r="H20" s="200"/>
      <c r="I20" s="200"/>
      <c r="J20" s="200">
        <v>0</v>
      </c>
      <c r="K20" s="200" t="s">
        <v>1066</v>
      </c>
      <c r="L20" s="200"/>
      <c r="M20" s="200"/>
      <c r="N20" s="201">
        <v>44487</v>
      </c>
      <c r="O20" s="201">
        <v>44487</v>
      </c>
      <c r="P20" s="200" t="s">
        <v>948</v>
      </c>
      <c r="Q20" s="198">
        <v>1000</v>
      </c>
      <c r="R20" s="198">
        <v>14100</v>
      </c>
      <c r="S20" s="202">
        <v>18025.939999999999</v>
      </c>
      <c r="T20" s="198">
        <v>14106</v>
      </c>
      <c r="U20" s="202">
        <v>0</v>
      </c>
      <c r="V20" s="202">
        <f t="shared" si="0"/>
        <v>18025.939999999999</v>
      </c>
      <c r="W20" s="203">
        <v>0</v>
      </c>
      <c r="X20" s="198">
        <v>70260</v>
      </c>
      <c r="Y20" s="202">
        <v>0</v>
      </c>
      <c r="Z20" s="200" t="s">
        <v>1053</v>
      </c>
      <c r="AA20" s="200"/>
      <c r="AB20" s="200" t="s">
        <v>1075</v>
      </c>
      <c r="AC20" s="200"/>
      <c r="AD20" s="200" t="s">
        <v>1058</v>
      </c>
      <c r="AE20" s="200" t="s">
        <v>1059</v>
      </c>
      <c r="AF20" s="198" t="s">
        <v>284</v>
      </c>
      <c r="AG20" s="200"/>
      <c r="AH20" s="198" t="s">
        <v>1060</v>
      </c>
      <c r="AI20" s="200">
        <v>0</v>
      </c>
      <c r="AJ20" s="200">
        <v>0</v>
      </c>
      <c r="AL20" s="205" t="s">
        <v>138</v>
      </c>
      <c r="AM20" s="205">
        <f t="shared" si="3"/>
        <v>10</v>
      </c>
      <c r="AN20" s="205">
        <f t="shared" si="4"/>
        <v>2021</v>
      </c>
      <c r="AO20" s="205">
        <f t="shared" si="5"/>
        <v>2031</v>
      </c>
      <c r="AP20" s="206">
        <f t="shared" si="6"/>
        <v>2031.8333333333333</v>
      </c>
      <c r="AQ20" s="207">
        <f t="shared" si="7"/>
        <v>150.21616666666665</v>
      </c>
      <c r="AR20" s="207">
        <f t="shared" si="8"/>
        <v>1802.5939999999998</v>
      </c>
      <c r="AS20" s="207">
        <f t="shared" si="9"/>
        <v>1802.5939999999998</v>
      </c>
      <c r="AT20" s="208">
        <f t="shared" si="1"/>
        <v>0</v>
      </c>
      <c r="AU20" s="207">
        <f t="shared" si="10"/>
        <v>1802.5939999999998</v>
      </c>
      <c r="AV20" s="208">
        <f t="shared" si="2"/>
        <v>16223.346</v>
      </c>
    </row>
    <row r="21" spans="1:48" s="205" customFormat="1" ht="15">
      <c r="A21" s="197"/>
      <c r="B21" s="198">
        <v>2183</v>
      </c>
      <c r="C21" s="199">
        <v>266891</v>
      </c>
      <c r="D21" s="198">
        <v>257730</v>
      </c>
      <c r="E21" s="200" t="s">
        <v>1071</v>
      </c>
      <c r="F21" s="198"/>
      <c r="G21" s="200"/>
      <c r="H21" s="200"/>
      <c r="I21" s="200"/>
      <c r="J21" s="200">
        <v>0</v>
      </c>
      <c r="K21" s="200" t="s">
        <v>1076</v>
      </c>
      <c r="L21" s="200"/>
      <c r="M21" s="200"/>
      <c r="N21" s="201">
        <v>44503</v>
      </c>
      <c r="O21" s="201">
        <v>44503</v>
      </c>
      <c r="P21" s="200" t="s">
        <v>946</v>
      </c>
      <c r="Q21" s="198">
        <v>2000</v>
      </c>
      <c r="R21" s="198">
        <v>14080</v>
      </c>
      <c r="S21" s="202">
        <v>164062.15</v>
      </c>
      <c r="T21" s="198">
        <v>14086</v>
      </c>
      <c r="U21" s="202">
        <v>0</v>
      </c>
      <c r="V21" s="202">
        <f t="shared" si="0"/>
        <v>164062.15</v>
      </c>
      <c r="W21" s="203">
        <v>0</v>
      </c>
      <c r="X21" s="198">
        <v>57260</v>
      </c>
      <c r="Y21" s="202">
        <v>0</v>
      </c>
      <c r="Z21" s="200" t="s">
        <v>1053</v>
      </c>
      <c r="AA21" s="200"/>
      <c r="AB21" s="200" t="s">
        <v>1077</v>
      </c>
      <c r="AC21" s="200"/>
      <c r="AD21" s="200" t="s">
        <v>1058</v>
      </c>
      <c r="AE21" s="200" t="s">
        <v>1059</v>
      </c>
      <c r="AF21" s="198" t="s">
        <v>284</v>
      </c>
      <c r="AG21" s="200"/>
      <c r="AH21" s="198" t="s">
        <v>1060</v>
      </c>
      <c r="AI21" s="200">
        <v>0</v>
      </c>
      <c r="AJ21" s="200">
        <v>0</v>
      </c>
      <c r="AL21" s="205" t="s">
        <v>138</v>
      </c>
      <c r="AM21" s="205">
        <f t="shared" si="3"/>
        <v>11</v>
      </c>
      <c r="AN21" s="205">
        <f t="shared" si="4"/>
        <v>2021</v>
      </c>
      <c r="AO21" s="205">
        <f t="shared" si="5"/>
        <v>2041</v>
      </c>
      <c r="AP21" s="206">
        <f t="shared" si="6"/>
        <v>2041.9166666666667</v>
      </c>
      <c r="AQ21" s="207">
        <f t="shared" si="7"/>
        <v>683.59229166666671</v>
      </c>
      <c r="AR21" s="207">
        <f t="shared" si="8"/>
        <v>8203.1075000000001</v>
      </c>
      <c r="AS21" s="207">
        <f t="shared" si="9"/>
        <v>8203.1075000000001</v>
      </c>
      <c r="AT21" s="208">
        <f t="shared" si="1"/>
        <v>0</v>
      </c>
      <c r="AU21" s="207">
        <f t="shared" si="10"/>
        <v>8203.1075000000001</v>
      </c>
      <c r="AV21" s="208">
        <f t="shared" si="2"/>
        <v>155859.04249999998</v>
      </c>
    </row>
    <row r="22" spans="1:48" s="205" customFormat="1" ht="15">
      <c r="A22" s="197"/>
      <c r="B22" s="198">
        <v>2183</v>
      </c>
      <c r="C22" s="199">
        <v>265747</v>
      </c>
      <c r="D22" s="198">
        <v>264418</v>
      </c>
      <c r="E22" s="200" t="s">
        <v>1078</v>
      </c>
      <c r="F22" s="198"/>
      <c r="G22" s="200"/>
      <c r="H22" s="200"/>
      <c r="I22" s="200"/>
      <c r="J22" s="200">
        <v>0</v>
      </c>
      <c r="K22" s="200" t="s">
        <v>1079</v>
      </c>
      <c r="L22" s="200"/>
      <c r="M22" s="200"/>
      <c r="N22" s="201">
        <v>44487</v>
      </c>
      <c r="O22" s="201">
        <v>44487</v>
      </c>
      <c r="P22" s="200" t="s">
        <v>948</v>
      </c>
      <c r="Q22" s="198">
        <v>1000</v>
      </c>
      <c r="R22" s="198">
        <v>14100</v>
      </c>
      <c r="S22" s="202">
        <v>1358.09</v>
      </c>
      <c r="T22" s="198">
        <v>14106</v>
      </c>
      <c r="U22" s="202">
        <v>11.32</v>
      </c>
      <c r="V22" s="202">
        <f t="shared" si="0"/>
        <v>1346.77</v>
      </c>
      <c r="W22" s="203">
        <v>11.32</v>
      </c>
      <c r="X22" s="198">
        <v>70260</v>
      </c>
      <c r="Y22" s="202">
        <v>11.32</v>
      </c>
      <c r="Z22" s="200" t="s">
        <v>1053</v>
      </c>
      <c r="AA22" s="200"/>
      <c r="AB22" s="200">
        <v>80651184990</v>
      </c>
      <c r="AC22" s="200"/>
      <c r="AD22" s="200" t="s">
        <v>1058</v>
      </c>
      <c r="AE22" s="200" t="s">
        <v>1059</v>
      </c>
      <c r="AF22" s="198" t="s">
        <v>284</v>
      </c>
      <c r="AG22" s="200"/>
      <c r="AH22" s="198" t="s">
        <v>1060</v>
      </c>
      <c r="AI22" s="200">
        <v>0</v>
      </c>
      <c r="AJ22" s="200">
        <v>0</v>
      </c>
      <c r="AL22" s="205" t="s">
        <v>138</v>
      </c>
      <c r="AM22" s="205">
        <f t="shared" si="3"/>
        <v>10</v>
      </c>
      <c r="AN22" s="205">
        <f t="shared" si="4"/>
        <v>2021</v>
      </c>
      <c r="AO22" s="205">
        <f t="shared" si="5"/>
        <v>2031</v>
      </c>
      <c r="AP22" s="206">
        <f t="shared" si="6"/>
        <v>2031.8333333333333</v>
      </c>
      <c r="AQ22" s="207">
        <f t="shared" si="7"/>
        <v>11.317416666666666</v>
      </c>
      <c r="AR22" s="207">
        <f t="shared" si="8"/>
        <v>135.809</v>
      </c>
      <c r="AS22" s="207">
        <f t="shared" si="9"/>
        <v>135.809</v>
      </c>
      <c r="AT22" s="208">
        <f t="shared" si="1"/>
        <v>0</v>
      </c>
      <c r="AU22" s="207">
        <f t="shared" si="10"/>
        <v>135.809</v>
      </c>
      <c r="AV22" s="208">
        <f t="shared" si="2"/>
        <v>1222.2809999999999</v>
      </c>
    </row>
    <row r="23" spans="1:48" s="205" customFormat="1" ht="15">
      <c r="A23" s="197"/>
      <c r="B23" s="198">
        <v>2183</v>
      </c>
      <c r="C23" s="199">
        <v>265458</v>
      </c>
      <c r="D23" s="198" t="s">
        <v>1053</v>
      </c>
      <c r="E23" s="200" t="s">
        <v>1080</v>
      </c>
      <c r="F23" s="198">
        <v>3</v>
      </c>
      <c r="G23" s="200"/>
      <c r="H23" s="200"/>
      <c r="I23" s="200"/>
      <c r="J23" s="200">
        <v>0</v>
      </c>
      <c r="K23" s="200"/>
      <c r="L23" s="200"/>
      <c r="M23" s="200"/>
      <c r="N23" s="201">
        <v>44501</v>
      </c>
      <c r="O23" s="201">
        <v>44501</v>
      </c>
      <c r="P23" s="200" t="s">
        <v>1081</v>
      </c>
      <c r="Q23" s="198">
        <v>500</v>
      </c>
      <c r="R23" s="198">
        <v>14070</v>
      </c>
      <c r="S23" s="202">
        <v>1617.15</v>
      </c>
      <c r="T23" s="198">
        <v>14076</v>
      </c>
      <c r="U23" s="202">
        <v>26.96</v>
      </c>
      <c r="V23" s="202">
        <f t="shared" si="0"/>
        <v>1590.19</v>
      </c>
      <c r="W23" s="203">
        <v>26.96</v>
      </c>
      <c r="X23" s="198">
        <v>51260</v>
      </c>
      <c r="Y23" s="202">
        <v>26.96</v>
      </c>
      <c r="Z23" s="200" t="s">
        <v>1053</v>
      </c>
      <c r="AA23" s="200"/>
      <c r="AB23" s="200"/>
      <c r="AC23" s="200"/>
      <c r="AD23" s="200" t="s">
        <v>1058</v>
      </c>
      <c r="AE23" s="200" t="s">
        <v>1059</v>
      </c>
      <c r="AF23" s="198" t="s">
        <v>284</v>
      </c>
      <c r="AG23" s="200"/>
      <c r="AH23" s="198" t="s">
        <v>1060</v>
      </c>
      <c r="AI23" s="200">
        <v>0</v>
      </c>
      <c r="AJ23" s="200">
        <v>0</v>
      </c>
      <c r="AL23" s="205" t="s">
        <v>934</v>
      </c>
      <c r="AM23" s="205">
        <f t="shared" si="3"/>
        <v>11</v>
      </c>
      <c r="AN23" s="205">
        <f t="shared" si="4"/>
        <v>2021</v>
      </c>
      <c r="AO23" s="205">
        <f t="shared" si="5"/>
        <v>2026</v>
      </c>
      <c r="AP23" s="206">
        <f t="shared" si="6"/>
        <v>2026.9166666666667</v>
      </c>
      <c r="AQ23" s="207">
        <f t="shared" si="7"/>
        <v>26.952500000000001</v>
      </c>
      <c r="AR23" s="207">
        <f t="shared" si="8"/>
        <v>323.43</v>
      </c>
      <c r="AS23" s="207">
        <f t="shared" si="9"/>
        <v>323.43</v>
      </c>
      <c r="AT23" s="208">
        <f t="shared" si="1"/>
        <v>0</v>
      </c>
      <c r="AU23" s="207">
        <f t="shared" si="10"/>
        <v>323.43</v>
      </c>
      <c r="AV23" s="208">
        <f t="shared" si="2"/>
        <v>1293.72</v>
      </c>
    </row>
    <row r="24" spans="1:48" s="205" customFormat="1" ht="15">
      <c r="A24" s="197"/>
      <c r="B24" s="198">
        <v>2183</v>
      </c>
      <c r="C24" s="199">
        <v>264808</v>
      </c>
      <c r="D24" s="198">
        <v>257730</v>
      </c>
      <c r="E24" s="200" t="s">
        <v>1071</v>
      </c>
      <c r="F24" s="198"/>
      <c r="G24" s="200"/>
      <c r="H24" s="200"/>
      <c r="I24" s="200"/>
      <c r="J24" s="200">
        <v>0</v>
      </c>
      <c r="K24" s="200" t="s">
        <v>1072</v>
      </c>
      <c r="L24" s="200"/>
      <c r="M24" s="200"/>
      <c r="N24" s="201">
        <v>44503</v>
      </c>
      <c r="O24" s="201">
        <v>44503</v>
      </c>
      <c r="P24" s="200" t="s">
        <v>946</v>
      </c>
      <c r="Q24" s="198">
        <v>2000</v>
      </c>
      <c r="R24" s="198">
        <v>14080</v>
      </c>
      <c r="S24" s="202">
        <v>2298.5</v>
      </c>
      <c r="T24" s="198">
        <v>14086</v>
      </c>
      <c r="U24" s="202">
        <v>9.58</v>
      </c>
      <c r="V24" s="202">
        <f t="shared" si="0"/>
        <v>2288.92</v>
      </c>
      <c r="W24" s="203">
        <v>9.58</v>
      </c>
      <c r="X24" s="198">
        <v>57260</v>
      </c>
      <c r="Y24" s="202">
        <v>9.58</v>
      </c>
      <c r="Z24" s="200" t="s">
        <v>1053</v>
      </c>
      <c r="AA24" s="200"/>
      <c r="AB24" s="200" t="s">
        <v>1082</v>
      </c>
      <c r="AC24" s="200"/>
      <c r="AD24" s="200" t="s">
        <v>1058</v>
      </c>
      <c r="AE24" s="200" t="s">
        <v>1059</v>
      </c>
      <c r="AF24" s="198" t="s">
        <v>284</v>
      </c>
      <c r="AG24" s="200"/>
      <c r="AH24" s="198" t="s">
        <v>1060</v>
      </c>
      <c r="AI24" s="200">
        <v>0</v>
      </c>
      <c r="AJ24" s="200">
        <v>0</v>
      </c>
      <c r="AL24" s="205" t="s">
        <v>138</v>
      </c>
      <c r="AM24" s="205">
        <f t="shared" si="3"/>
        <v>11</v>
      </c>
      <c r="AN24" s="205">
        <f t="shared" si="4"/>
        <v>2021</v>
      </c>
      <c r="AO24" s="205">
        <f t="shared" si="5"/>
        <v>2041</v>
      </c>
      <c r="AP24" s="206">
        <f t="shared" si="6"/>
        <v>2041.9166666666667</v>
      </c>
      <c r="AQ24" s="207">
        <f t="shared" si="7"/>
        <v>9.5770833333333325</v>
      </c>
      <c r="AR24" s="207">
        <f t="shared" si="8"/>
        <v>114.92499999999998</v>
      </c>
      <c r="AS24" s="207">
        <f t="shared" si="9"/>
        <v>114.92499999999998</v>
      </c>
      <c r="AT24" s="208">
        <f t="shared" si="1"/>
        <v>0</v>
      </c>
      <c r="AU24" s="207">
        <f t="shared" si="10"/>
        <v>114.92499999999998</v>
      </c>
      <c r="AV24" s="208">
        <f t="shared" si="2"/>
        <v>2183.5749999999998</v>
      </c>
    </row>
    <row r="25" spans="1:48" s="205" customFormat="1" ht="15">
      <c r="A25" s="197"/>
      <c r="B25" s="198">
        <v>2183</v>
      </c>
      <c r="C25" s="199">
        <v>264420</v>
      </c>
      <c r="D25" s="198" t="s">
        <v>1053</v>
      </c>
      <c r="E25" s="200" t="s">
        <v>1083</v>
      </c>
      <c r="F25" s="198"/>
      <c r="G25" s="200"/>
      <c r="H25" s="200"/>
      <c r="I25" s="200"/>
      <c r="J25" s="200">
        <v>0</v>
      </c>
      <c r="K25" s="200"/>
      <c r="L25" s="200"/>
      <c r="M25" s="200"/>
      <c r="N25" s="201">
        <v>44487</v>
      </c>
      <c r="O25" s="201">
        <v>44487</v>
      </c>
      <c r="P25" s="200" t="s">
        <v>949</v>
      </c>
      <c r="Q25" s="198">
        <v>300</v>
      </c>
      <c r="R25" s="198">
        <v>14110</v>
      </c>
      <c r="S25" s="202">
        <v>19435.64</v>
      </c>
      <c r="T25" s="198">
        <v>14116</v>
      </c>
      <c r="U25" s="202">
        <v>539.88</v>
      </c>
      <c r="V25" s="202">
        <f t="shared" si="0"/>
        <v>18895.759999999998</v>
      </c>
      <c r="W25" s="203">
        <v>539.88</v>
      </c>
      <c r="X25" s="198">
        <v>70260</v>
      </c>
      <c r="Y25" s="202">
        <v>539.88</v>
      </c>
      <c r="Z25" s="200" t="s">
        <v>1053</v>
      </c>
      <c r="AA25" s="200"/>
      <c r="AB25" s="200"/>
      <c r="AC25" s="200"/>
      <c r="AD25" s="200" t="s">
        <v>1058</v>
      </c>
      <c r="AE25" s="200" t="s">
        <v>1059</v>
      </c>
      <c r="AF25" s="198" t="s">
        <v>284</v>
      </c>
      <c r="AG25" s="200"/>
      <c r="AH25" s="198" t="s">
        <v>1060</v>
      </c>
      <c r="AI25" s="200">
        <v>0</v>
      </c>
      <c r="AJ25" s="200">
        <v>0</v>
      </c>
      <c r="AL25" s="205" t="s">
        <v>138</v>
      </c>
      <c r="AM25" s="205">
        <f t="shared" si="3"/>
        <v>10</v>
      </c>
      <c r="AN25" s="205">
        <f t="shared" si="4"/>
        <v>2021</v>
      </c>
      <c r="AO25" s="205">
        <f t="shared" si="5"/>
        <v>2024</v>
      </c>
      <c r="AP25" s="206">
        <f t="shared" si="6"/>
        <v>2024.8333333333333</v>
      </c>
      <c r="AQ25" s="207">
        <f t="shared" si="7"/>
        <v>539.87888888888881</v>
      </c>
      <c r="AR25" s="207">
        <f t="shared" si="8"/>
        <v>6478.5466666666653</v>
      </c>
      <c r="AS25" s="207">
        <f t="shared" si="9"/>
        <v>6478.5466666666653</v>
      </c>
      <c r="AT25" s="208">
        <f t="shared" si="1"/>
        <v>0</v>
      </c>
      <c r="AU25" s="207">
        <f t="shared" si="10"/>
        <v>6478.5466666666653</v>
      </c>
      <c r="AV25" s="208">
        <f t="shared" si="2"/>
        <v>12957.093333333334</v>
      </c>
    </row>
    <row r="26" spans="1:48" s="205" customFormat="1" ht="15">
      <c r="A26" s="197"/>
      <c r="B26" s="198">
        <v>2183</v>
      </c>
      <c r="C26" s="199">
        <v>264419</v>
      </c>
      <c r="D26" s="198" t="s">
        <v>1053</v>
      </c>
      <c r="E26" s="200" t="s">
        <v>1084</v>
      </c>
      <c r="F26" s="198"/>
      <c r="G26" s="200"/>
      <c r="H26" s="200"/>
      <c r="I26" s="200"/>
      <c r="J26" s="200">
        <v>0</v>
      </c>
      <c r="K26" s="200"/>
      <c r="L26" s="200"/>
      <c r="M26" s="200"/>
      <c r="N26" s="201">
        <v>44487</v>
      </c>
      <c r="O26" s="201">
        <v>44487</v>
      </c>
      <c r="P26" s="200" t="s">
        <v>949</v>
      </c>
      <c r="Q26" s="198">
        <v>500</v>
      </c>
      <c r="R26" s="198">
        <v>14070</v>
      </c>
      <c r="S26" s="202">
        <v>2122.54</v>
      </c>
      <c r="T26" s="198">
        <v>14076</v>
      </c>
      <c r="U26" s="202">
        <v>35.380000000000003</v>
      </c>
      <c r="V26" s="202">
        <f t="shared" si="0"/>
        <v>2087.16</v>
      </c>
      <c r="W26" s="203">
        <v>35.380000000000003</v>
      </c>
      <c r="X26" s="198">
        <v>51260</v>
      </c>
      <c r="Y26" s="202">
        <v>35.380000000000003</v>
      </c>
      <c r="Z26" s="200" t="s">
        <v>1053</v>
      </c>
      <c r="AA26" s="200"/>
      <c r="AB26" s="200"/>
      <c r="AC26" s="200"/>
      <c r="AD26" s="200" t="s">
        <v>1058</v>
      </c>
      <c r="AE26" s="200" t="s">
        <v>1059</v>
      </c>
      <c r="AF26" s="198" t="s">
        <v>284</v>
      </c>
      <c r="AG26" s="200"/>
      <c r="AH26" s="198" t="s">
        <v>1060</v>
      </c>
      <c r="AI26" s="200">
        <v>0</v>
      </c>
      <c r="AJ26" s="200">
        <v>0</v>
      </c>
      <c r="AL26" s="205" t="s">
        <v>138</v>
      </c>
      <c r="AM26" s="205">
        <f t="shared" si="3"/>
        <v>10</v>
      </c>
      <c r="AN26" s="205">
        <f t="shared" si="4"/>
        <v>2021</v>
      </c>
      <c r="AO26" s="205">
        <f t="shared" si="5"/>
        <v>2026</v>
      </c>
      <c r="AP26" s="206">
        <f t="shared" si="6"/>
        <v>2026.8333333333333</v>
      </c>
      <c r="AQ26" s="207">
        <f t="shared" si="7"/>
        <v>35.375666666666667</v>
      </c>
      <c r="AR26" s="207">
        <f t="shared" si="8"/>
        <v>424.50800000000004</v>
      </c>
      <c r="AS26" s="207">
        <f t="shared" si="9"/>
        <v>424.50800000000004</v>
      </c>
      <c r="AT26" s="208">
        <f t="shared" si="1"/>
        <v>0</v>
      </c>
      <c r="AU26" s="207">
        <f t="shared" si="10"/>
        <v>424.50800000000004</v>
      </c>
      <c r="AV26" s="208">
        <f t="shared" si="2"/>
        <v>1698.0319999999999</v>
      </c>
    </row>
    <row r="27" spans="1:48" s="205" customFormat="1" ht="15">
      <c r="A27" s="197"/>
      <c r="B27" s="198">
        <v>2183</v>
      </c>
      <c r="C27" s="199">
        <v>264418</v>
      </c>
      <c r="D27" s="198" t="s">
        <v>1053</v>
      </c>
      <c r="E27" s="200" t="s">
        <v>1065</v>
      </c>
      <c r="F27" s="198"/>
      <c r="G27" s="200"/>
      <c r="H27" s="200"/>
      <c r="I27" s="200"/>
      <c r="J27" s="200">
        <v>0</v>
      </c>
      <c r="K27" s="200"/>
      <c r="L27" s="200"/>
      <c r="M27" s="200"/>
      <c r="N27" s="201">
        <v>44487</v>
      </c>
      <c r="O27" s="201">
        <v>44487</v>
      </c>
      <c r="P27" s="200" t="s">
        <v>947</v>
      </c>
      <c r="Q27" s="198">
        <v>1000</v>
      </c>
      <c r="R27" s="198">
        <v>14100</v>
      </c>
      <c r="S27" s="202">
        <v>139900.24</v>
      </c>
      <c r="T27" s="198">
        <v>14106</v>
      </c>
      <c r="U27" s="202">
        <v>1165.8399999999999</v>
      </c>
      <c r="V27" s="202">
        <f t="shared" si="0"/>
        <v>138734.39999999999</v>
      </c>
      <c r="W27" s="203">
        <v>1165.8399999999999</v>
      </c>
      <c r="X27" s="198">
        <v>70260</v>
      </c>
      <c r="Y27" s="202">
        <v>1165.8399999999999</v>
      </c>
      <c r="Z27" s="200" t="s">
        <v>1053</v>
      </c>
      <c r="AA27" s="200"/>
      <c r="AB27" s="200"/>
      <c r="AC27" s="200"/>
      <c r="AD27" s="200" t="s">
        <v>1058</v>
      </c>
      <c r="AE27" s="200" t="s">
        <v>1059</v>
      </c>
      <c r="AF27" s="198" t="s">
        <v>284</v>
      </c>
      <c r="AG27" s="200"/>
      <c r="AH27" s="198" t="s">
        <v>1060</v>
      </c>
      <c r="AI27" s="200">
        <v>0</v>
      </c>
      <c r="AJ27" s="200">
        <v>0</v>
      </c>
      <c r="AL27" s="205" t="s">
        <v>138</v>
      </c>
      <c r="AM27" s="205">
        <f t="shared" si="3"/>
        <v>10</v>
      </c>
      <c r="AN27" s="205">
        <f t="shared" si="4"/>
        <v>2021</v>
      </c>
      <c r="AO27" s="205">
        <f t="shared" si="5"/>
        <v>2031</v>
      </c>
      <c r="AP27" s="206">
        <f t="shared" si="6"/>
        <v>2031.8333333333333</v>
      </c>
      <c r="AQ27" s="207">
        <f t="shared" si="7"/>
        <v>1165.8353333333332</v>
      </c>
      <c r="AR27" s="207">
        <f t="shared" si="8"/>
        <v>13990.023999999998</v>
      </c>
      <c r="AS27" s="207">
        <f t="shared" si="9"/>
        <v>13990.023999999998</v>
      </c>
      <c r="AT27" s="208">
        <f t="shared" si="1"/>
        <v>0</v>
      </c>
      <c r="AU27" s="207">
        <f t="shared" si="10"/>
        <v>13990.023999999998</v>
      </c>
      <c r="AV27" s="208">
        <f t="shared" si="2"/>
        <v>125910.21599999999</v>
      </c>
    </row>
    <row r="28" spans="1:48" s="205" customFormat="1" ht="15">
      <c r="A28" s="197"/>
      <c r="B28" s="198">
        <v>2183</v>
      </c>
      <c r="C28" s="199">
        <v>263291</v>
      </c>
      <c r="D28" s="198" t="s">
        <v>1053</v>
      </c>
      <c r="E28" s="200" t="s">
        <v>863</v>
      </c>
      <c r="F28" s="198">
        <v>702</v>
      </c>
      <c r="G28" s="200"/>
      <c r="H28" s="200"/>
      <c r="I28" s="200"/>
      <c r="J28" s="200">
        <v>0</v>
      </c>
      <c r="K28" s="200" t="s">
        <v>1068</v>
      </c>
      <c r="L28" s="200"/>
      <c r="M28" s="200" t="s">
        <v>1069</v>
      </c>
      <c r="N28" s="201">
        <v>44484</v>
      </c>
      <c r="O28" s="201">
        <v>44484</v>
      </c>
      <c r="P28" s="200" t="s">
        <v>1070</v>
      </c>
      <c r="Q28" s="198">
        <v>700</v>
      </c>
      <c r="R28" s="198">
        <v>14050</v>
      </c>
      <c r="S28" s="202">
        <v>40388.5</v>
      </c>
      <c r="T28" s="198">
        <v>14056</v>
      </c>
      <c r="U28" s="202">
        <v>961.63</v>
      </c>
      <c r="V28" s="202">
        <f t="shared" si="0"/>
        <v>39426.870000000003</v>
      </c>
      <c r="W28" s="203">
        <v>961.63</v>
      </c>
      <c r="X28" s="198">
        <v>54260</v>
      </c>
      <c r="Y28" s="202">
        <v>480.81</v>
      </c>
      <c r="Z28" s="200" t="s">
        <v>1053</v>
      </c>
      <c r="AA28" s="200"/>
      <c r="AB28" s="200">
        <v>50200664</v>
      </c>
      <c r="AC28" s="200"/>
      <c r="AD28" s="200" t="s">
        <v>1058</v>
      </c>
      <c r="AE28" s="200" t="s">
        <v>1059</v>
      </c>
      <c r="AF28" s="198" t="s">
        <v>284</v>
      </c>
      <c r="AG28" s="200"/>
      <c r="AH28" s="198" t="s">
        <v>1060</v>
      </c>
      <c r="AI28" s="200">
        <v>0</v>
      </c>
      <c r="AJ28" s="200">
        <v>0</v>
      </c>
      <c r="AL28" s="205" t="s">
        <v>424</v>
      </c>
      <c r="AM28" s="205">
        <f t="shared" si="3"/>
        <v>10</v>
      </c>
      <c r="AN28" s="205">
        <f t="shared" si="4"/>
        <v>2021</v>
      </c>
      <c r="AO28" s="205">
        <f t="shared" si="5"/>
        <v>2028</v>
      </c>
      <c r="AP28" s="206">
        <f t="shared" si="6"/>
        <v>2028.8333333333333</v>
      </c>
      <c r="AQ28" s="207">
        <f t="shared" si="7"/>
        <v>480.8154761904762</v>
      </c>
      <c r="AR28" s="207">
        <f t="shared" si="8"/>
        <v>5769.7857142857147</v>
      </c>
      <c r="AS28" s="207">
        <f t="shared" si="9"/>
        <v>5769.7857142857147</v>
      </c>
      <c r="AT28" s="208">
        <f t="shared" si="1"/>
        <v>0</v>
      </c>
      <c r="AU28" s="207">
        <f t="shared" si="10"/>
        <v>5769.7857142857147</v>
      </c>
      <c r="AV28" s="208">
        <f t="shared" si="2"/>
        <v>34618.714285714283</v>
      </c>
    </row>
    <row r="29" spans="1:48" s="205" customFormat="1" ht="15">
      <c r="A29" s="197"/>
      <c r="B29" s="198">
        <v>2183</v>
      </c>
      <c r="C29" s="199">
        <v>263290</v>
      </c>
      <c r="D29" s="198" t="s">
        <v>1053</v>
      </c>
      <c r="E29" s="200" t="s">
        <v>1085</v>
      </c>
      <c r="F29" s="198">
        <v>1080</v>
      </c>
      <c r="G29" s="200"/>
      <c r="H29" s="200"/>
      <c r="I29" s="200"/>
      <c r="J29" s="200">
        <v>0</v>
      </c>
      <c r="K29" s="200" t="s">
        <v>1068</v>
      </c>
      <c r="L29" s="200"/>
      <c r="M29" s="200" t="s">
        <v>1069</v>
      </c>
      <c r="N29" s="201">
        <v>44484</v>
      </c>
      <c r="O29" s="201">
        <v>44484</v>
      </c>
      <c r="P29" s="200" t="s">
        <v>1070</v>
      </c>
      <c r="Q29" s="198">
        <v>700</v>
      </c>
      <c r="R29" s="198">
        <v>14050</v>
      </c>
      <c r="S29" s="202">
        <v>47461.65</v>
      </c>
      <c r="T29" s="198">
        <v>14056</v>
      </c>
      <c r="U29" s="202">
        <v>1130.04</v>
      </c>
      <c r="V29" s="202">
        <f t="shared" si="0"/>
        <v>46331.61</v>
      </c>
      <c r="W29" s="203">
        <v>1130.04</v>
      </c>
      <c r="X29" s="198">
        <v>54260</v>
      </c>
      <c r="Y29" s="202">
        <v>565.02</v>
      </c>
      <c r="Z29" s="200" t="s">
        <v>1053</v>
      </c>
      <c r="AA29" s="200"/>
      <c r="AB29" s="200">
        <v>50199769</v>
      </c>
      <c r="AC29" s="200"/>
      <c r="AD29" s="200" t="s">
        <v>1058</v>
      </c>
      <c r="AE29" s="200" t="s">
        <v>1059</v>
      </c>
      <c r="AF29" s="198" t="s">
        <v>284</v>
      </c>
      <c r="AG29" s="200"/>
      <c r="AH29" s="198" t="s">
        <v>1060</v>
      </c>
      <c r="AI29" s="200">
        <v>0</v>
      </c>
      <c r="AJ29" s="200">
        <v>0</v>
      </c>
      <c r="AL29" s="205" t="s">
        <v>931</v>
      </c>
      <c r="AM29" s="205">
        <f t="shared" si="3"/>
        <v>10</v>
      </c>
      <c r="AN29" s="205">
        <f t="shared" si="4"/>
        <v>2021</v>
      </c>
      <c r="AO29" s="205">
        <f t="shared" si="5"/>
        <v>2028</v>
      </c>
      <c r="AP29" s="206">
        <f t="shared" si="6"/>
        <v>2028.8333333333333</v>
      </c>
      <c r="AQ29" s="207">
        <f t="shared" si="7"/>
        <v>565.01964285714291</v>
      </c>
      <c r="AR29" s="207">
        <f t="shared" si="8"/>
        <v>6780.2357142857145</v>
      </c>
      <c r="AS29" s="207">
        <f t="shared" si="9"/>
        <v>6780.2357142857145</v>
      </c>
      <c r="AT29" s="208">
        <f t="shared" si="1"/>
        <v>0</v>
      </c>
      <c r="AU29" s="207">
        <f t="shared" si="10"/>
        <v>6780.2357142857145</v>
      </c>
      <c r="AV29" s="208">
        <f t="shared" si="2"/>
        <v>40681.414285714287</v>
      </c>
    </row>
    <row r="30" spans="1:48" s="205" customFormat="1" ht="15">
      <c r="A30" s="197"/>
      <c r="B30" s="198">
        <v>2183</v>
      </c>
      <c r="C30" s="199">
        <v>261231</v>
      </c>
      <c r="D30" s="198" t="s">
        <v>1053</v>
      </c>
      <c r="E30" s="200" t="s">
        <v>1086</v>
      </c>
      <c r="F30" s="198">
        <v>702</v>
      </c>
      <c r="G30" s="200"/>
      <c r="H30" s="200"/>
      <c r="I30" s="200"/>
      <c r="J30" s="200">
        <v>0</v>
      </c>
      <c r="K30" s="200" t="s">
        <v>1068</v>
      </c>
      <c r="L30" s="200"/>
      <c r="M30" s="200" t="s">
        <v>1087</v>
      </c>
      <c r="N30" s="201">
        <v>44452</v>
      </c>
      <c r="O30" s="201">
        <v>44452</v>
      </c>
      <c r="P30" s="200" t="s">
        <v>1070</v>
      </c>
      <c r="Q30" s="198">
        <v>700</v>
      </c>
      <c r="R30" s="198">
        <v>14050</v>
      </c>
      <c r="S30" s="202">
        <v>40388.49</v>
      </c>
      <c r="T30" s="198">
        <v>14056</v>
      </c>
      <c r="U30" s="202">
        <v>1442.45</v>
      </c>
      <c r="V30" s="202">
        <f t="shared" si="0"/>
        <v>38946.04</v>
      </c>
      <c r="W30" s="203">
        <v>1442.45</v>
      </c>
      <c r="X30" s="198">
        <v>54260</v>
      </c>
      <c r="Y30" s="202">
        <v>480.82</v>
      </c>
      <c r="Z30" s="200" t="s">
        <v>1053</v>
      </c>
      <c r="AA30" s="200"/>
      <c r="AB30" s="200">
        <v>50192891</v>
      </c>
      <c r="AC30" s="200"/>
      <c r="AD30" s="200" t="s">
        <v>1058</v>
      </c>
      <c r="AE30" s="200" t="s">
        <v>1059</v>
      </c>
      <c r="AF30" s="198" t="s">
        <v>284</v>
      </c>
      <c r="AG30" s="200"/>
      <c r="AH30" s="198" t="s">
        <v>1060</v>
      </c>
      <c r="AI30" s="200">
        <v>0</v>
      </c>
      <c r="AJ30" s="200">
        <v>0</v>
      </c>
      <c r="AL30" s="205" t="s">
        <v>935</v>
      </c>
      <c r="AM30" s="205">
        <f t="shared" si="3"/>
        <v>9</v>
      </c>
      <c r="AN30" s="205">
        <f t="shared" si="4"/>
        <v>2021</v>
      </c>
      <c r="AO30" s="205">
        <f t="shared" si="5"/>
        <v>2028</v>
      </c>
      <c r="AP30" s="206">
        <f t="shared" si="6"/>
        <v>2028.75</v>
      </c>
      <c r="AQ30" s="207">
        <f t="shared" si="7"/>
        <v>480.81535714285707</v>
      </c>
      <c r="AR30" s="207">
        <f t="shared" si="8"/>
        <v>5769.784285714285</v>
      </c>
      <c r="AS30" s="207">
        <f t="shared" si="9"/>
        <v>5769.784285714285</v>
      </c>
      <c r="AT30" s="208">
        <f t="shared" si="1"/>
        <v>0</v>
      </c>
      <c r="AU30" s="207">
        <f t="shared" si="10"/>
        <v>5769.784285714285</v>
      </c>
      <c r="AV30" s="208">
        <f t="shared" si="2"/>
        <v>34618.705714285716</v>
      </c>
    </row>
    <row r="31" spans="1:48" s="205" customFormat="1" ht="15">
      <c r="A31" s="197"/>
      <c r="B31" s="198">
        <v>2183</v>
      </c>
      <c r="C31" s="199">
        <v>261230</v>
      </c>
      <c r="D31" s="198" t="s">
        <v>1053</v>
      </c>
      <c r="E31" s="200" t="s">
        <v>1088</v>
      </c>
      <c r="F31" s="198">
        <v>936</v>
      </c>
      <c r="G31" s="200"/>
      <c r="H31" s="200"/>
      <c r="I31" s="200"/>
      <c r="J31" s="200">
        <v>0</v>
      </c>
      <c r="K31" s="200" t="s">
        <v>1068</v>
      </c>
      <c r="L31" s="200"/>
      <c r="M31" s="200" t="s">
        <v>1087</v>
      </c>
      <c r="N31" s="201">
        <v>44441</v>
      </c>
      <c r="O31" s="201">
        <v>44441</v>
      </c>
      <c r="P31" s="200" t="s">
        <v>1070</v>
      </c>
      <c r="Q31" s="198">
        <v>700</v>
      </c>
      <c r="R31" s="198">
        <v>14050</v>
      </c>
      <c r="S31" s="202">
        <v>47461.66</v>
      </c>
      <c r="T31" s="198">
        <v>14056</v>
      </c>
      <c r="U31" s="202">
        <v>1695.06</v>
      </c>
      <c r="V31" s="202">
        <f t="shared" si="0"/>
        <v>45766.600000000006</v>
      </c>
      <c r="W31" s="203">
        <v>1695.06</v>
      </c>
      <c r="X31" s="198">
        <v>54260</v>
      </c>
      <c r="Y31" s="202">
        <v>565.02</v>
      </c>
      <c r="Z31" s="200" t="s">
        <v>1053</v>
      </c>
      <c r="AA31" s="200"/>
      <c r="AB31" s="200">
        <v>50191497</v>
      </c>
      <c r="AC31" s="200"/>
      <c r="AD31" s="200" t="s">
        <v>1058</v>
      </c>
      <c r="AE31" s="200" t="s">
        <v>1059</v>
      </c>
      <c r="AF31" s="198" t="s">
        <v>284</v>
      </c>
      <c r="AG31" s="200"/>
      <c r="AH31" s="198" t="s">
        <v>1060</v>
      </c>
      <c r="AI31" s="200">
        <v>0</v>
      </c>
      <c r="AJ31" s="200">
        <v>0</v>
      </c>
      <c r="AL31" s="205" t="s">
        <v>931</v>
      </c>
      <c r="AM31" s="205">
        <f t="shared" si="3"/>
        <v>9</v>
      </c>
      <c r="AN31" s="205">
        <f t="shared" si="4"/>
        <v>2021</v>
      </c>
      <c r="AO31" s="205">
        <f t="shared" si="5"/>
        <v>2028</v>
      </c>
      <c r="AP31" s="206">
        <f t="shared" si="6"/>
        <v>2028.75</v>
      </c>
      <c r="AQ31" s="207">
        <f t="shared" si="7"/>
        <v>565.01976190476194</v>
      </c>
      <c r="AR31" s="207">
        <f t="shared" si="8"/>
        <v>6780.2371428571432</v>
      </c>
      <c r="AS31" s="207">
        <f t="shared" si="9"/>
        <v>6780.2371428571432</v>
      </c>
      <c r="AT31" s="208">
        <f t="shared" si="1"/>
        <v>0</v>
      </c>
      <c r="AU31" s="207">
        <f t="shared" si="10"/>
        <v>6780.2371428571432</v>
      </c>
      <c r="AV31" s="208">
        <f t="shared" si="2"/>
        <v>40681.422857142861</v>
      </c>
    </row>
    <row r="32" spans="1:48" s="205" customFormat="1" ht="15">
      <c r="A32" s="197"/>
      <c r="B32" s="198">
        <v>2183</v>
      </c>
      <c r="C32" s="199">
        <v>260754</v>
      </c>
      <c r="D32" s="198">
        <v>257730</v>
      </c>
      <c r="E32" s="200" t="s">
        <v>1071</v>
      </c>
      <c r="F32" s="198"/>
      <c r="G32" s="200"/>
      <c r="H32" s="200"/>
      <c r="I32" s="200"/>
      <c r="J32" s="200">
        <v>0</v>
      </c>
      <c r="K32" s="200" t="s">
        <v>1089</v>
      </c>
      <c r="L32" s="200"/>
      <c r="M32" s="200"/>
      <c r="N32" s="201">
        <v>44439</v>
      </c>
      <c r="O32" s="201">
        <v>44439</v>
      </c>
      <c r="P32" s="200" t="s">
        <v>946</v>
      </c>
      <c r="Q32" s="198">
        <v>2000</v>
      </c>
      <c r="R32" s="198">
        <v>14080</v>
      </c>
      <c r="S32" s="202">
        <v>520</v>
      </c>
      <c r="T32" s="198">
        <v>14086</v>
      </c>
      <c r="U32" s="202">
        <v>6.5</v>
      </c>
      <c r="V32" s="202">
        <f t="shared" si="0"/>
        <v>513.5</v>
      </c>
      <c r="W32" s="203">
        <v>6.5</v>
      </c>
      <c r="X32" s="198">
        <v>57260</v>
      </c>
      <c r="Y32" s="202">
        <v>2.16</v>
      </c>
      <c r="Z32" s="200" t="s">
        <v>1053</v>
      </c>
      <c r="AA32" s="200"/>
      <c r="AB32" s="200" t="s">
        <v>1090</v>
      </c>
      <c r="AC32" s="200"/>
      <c r="AD32" s="200" t="s">
        <v>1058</v>
      </c>
      <c r="AE32" s="200" t="s">
        <v>1059</v>
      </c>
      <c r="AF32" s="198" t="s">
        <v>284</v>
      </c>
      <c r="AG32" s="200"/>
      <c r="AH32" s="198" t="s">
        <v>1060</v>
      </c>
      <c r="AI32" s="200">
        <v>0</v>
      </c>
      <c r="AJ32" s="200">
        <v>0</v>
      </c>
      <c r="AL32" s="205" t="s">
        <v>138</v>
      </c>
      <c r="AM32" s="205">
        <f t="shared" si="3"/>
        <v>8</v>
      </c>
      <c r="AN32" s="205">
        <f t="shared" si="4"/>
        <v>2021</v>
      </c>
      <c r="AO32" s="205">
        <f t="shared" si="5"/>
        <v>2041</v>
      </c>
      <c r="AP32" s="206">
        <f t="shared" si="6"/>
        <v>2041.6666666666667</v>
      </c>
      <c r="AQ32" s="207">
        <f t="shared" si="7"/>
        <v>2.1666666666666665</v>
      </c>
      <c r="AR32" s="207">
        <f t="shared" si="8"/>
        <v>26</v>
      </c>
      <c r="AS32" s="207">
        <f t="shared" si="9"/>
        <v>26</v>
      </c>
      <c r="AT32" s="208">
        <f t="shared" si="1"/>
        <v>0</v>
      </c>
      <c r="AU32" s="207">
        <f t="shared" si="10"/>
        <v>26</v>
      </c>
      <c r="AV32" s="208">
        <f t="shared" si="2"/>
        <v>494</v>
      </c>
    </row>
    <row r="33" spans="1:48" s="205" customFormat="1" ht="15">
      <c r="A33" s="197"/>
      <c r="B33" s="198">
        <v>2183</v>
      </c>
      <c r="C33" s="199">
        <v>260344</v>
      </c>
      <c r="D33" s="198">
        <v>257730</v>
      </c>
      <c r="E33" s="200" t="s">
        <v>1071</v>
      </c>
      <c r="F33" s="198"/>
      <c r="G33" s="200"/>
      <c r="H33" s="200"/>
      <c r="I33" s="200"/>
      <c r="J33" s="200">
        <v>0</v>
      </c>
      <c r="K33" s="200" t="s">
        <v>1076</v>
      </c>
      <c r="L33" s="200"/>
      <c r="M33" s="200"/>
      <c r="N33" s="201">
        <v>44439</v>
      </c>
      <c r="O33" s="201">
        <v>44439</v>
      </c>
      <c r="P33" s="200" t="s">
        <v>946</v>
      </c>
      <c r="Q33" s="198">
        <v>2000</v>
      </c>
      <c r="R33" s="198">
        <v>14080</v>
      </c>
      <c r="S33" s="202">
        <v>237461.87</v>
      </c>
      <c r="T33" s="198">
        <v>14086</v>
      </c>
      <c r="U33" s="202">
        <v>2968.28</v>
      </c>
      <c r="V33" s="202">
        <f t="shared" si="0"/>
        <v>234493.59</v>
      </c>
      <c r="W33" s="203">
        <v>2968.28</v>
      </c>
      <c r="X33" s="198">
        <v>57260</v>
      </c>
      <c r="Y33" s="202">
        <v>989.43</v>
      </c>
      <c r="Z33" s="200" t="s">
        <v>1053</v>
      </c>
      <c r="AA33" s="200"/>
      <c r="AB33" s="200" t="s">
        <v>1091</v>
      </c>
      <c r="AC33" s="200"/>
      <c r="AD33" s="200" t="s">
        <v>1058</v>
      </c>
      <c r="AE33" s="200" t="s">
        <v>1059</v>
      </c>
      <c r="AF33" s="198" t="s">
        <v>284</v>
      </c>
      <c r="AG33" s="200"/>
      <c r="AH33" s="198" t="s">
        <v>1060</v>
      </c>
      <c r="AI33" s="200">
        <v>0</v>
      </c>
      <c r="AJ33" s="200">
        <v>0</v>
      </c>
      <c r="AL33" s="205" t="s">
        <v>138</v>
      </c>
      <c r="AM33" s="205">
        <f t="shared" si="3"/>
        <v>8</v>
      </c>
      <c r="AN33" s="205">
        <f t="shared" si="4"/>
        <v>2021</v>
      </c>
      <c r="AO33" s="205">
        <f t="shared" si="5"/>
        <v>2041</v>
      </c>
      <c r="AP33" s="206">
        <f t="shared" si="6"/>
        <v>2041.6666666666667</v>
      </c>
      <c r="AQ33" s="207">
        <f t="shared" si="7"/>
        <v>989.42445833333329</v>
      </c>
      <c r="AR33" s="207">
        <f t="shared" si="8"/>
        <v>11873.093499999999</v>
      </c>
      <c r="AS33" s="207">
        <f t="shared" si="9"/>
        <v>11873.093499999999</v>
      </c>
      <c r="AT33" s="208">
        <f t="shared" si="1"/>
        <v>0</v>
      </c>
      <c r="AU33" s="207">
        <f t="shared" si="10"/>
        <v>11873.093499999999</v>
      </c>
      <c r="AV33" s="208">
        <f t="shared" si="2"/>
        <v>225588.77650000001</v>
      </c>
    </row>
    <row r="34" spans="1:48" s="205" customFormat="1" ht="15">
      <c r="A34" s="197"/>
      <c r="B34" s="198">
        <v>2183</v>
      </c>
      <c r="C34" s="199">
        <v>260210</v>
      </c>
      <c r="D34" s="198">
        <v>257730</v>
      </c>
      <c r="E34" s="200" t="s">
        <v>1071</v>
      </c>
      <c r="F34" s="198"/>
      <c r="G34" s="200"/>
      <c r="H34" s="200"/>
      <c r="I34" s="200"/>
      <c r="J34" s="200">
        <v>0</v>
      </c>
      <c r="K34" s="200"/>
      <c r="L34" s="200"/>
      <c r="M34" s="200"/>
      <c r="N34" s="201">
        <v>44439</v>
      </c>
      <c r="O34" s="201">
        <v>44439</v>
      </c>
      <c r="P34" s="200" t="s">
        <v>945</v>
      </c>
      <c r="Q34" s="198">
        <v>2000</v>
      </c>
      <c r="R34" s="198">
        <v>14080</v>
      </c>
      <c r="S34" s="202">
        <v>2394.5</v>
      </c>
      <c r="T34" s="198">
        <v>14086</v>
      </c>
      <c r="U34" s="202">
        <v>29.93</v>
      </c>
      <c r="V34" s="202">
        <f t="shared" si="0"/>
        <v>2364.5700000000002</v>
      </c>
      <c r="W34" s="203">
        <v>29.93</v>
      </c>
      <c r="X34" s="198">
        <v>57260</v>
      </c>
      <c r="Y34" s="202">
        <v>9.9700000000000006</v>
      </c>
      <c r="Z34" s="200" t="s">
        <v>1053</v>
      </c>
      <c r="AA34" s="200"/>
      <c r="AB34" s="200"/>
      <c r="AC34" s="200"/>
      <c r="AD34" s="200" t="s">
        <v>1058</v>
      </c>
      <c r="AE34" s="200" t="s">
        <v>1059</v>
      </c>
      <c r="AF34" s="198" t="s">
        <v>284</v>
      </c>
      <c r="AG34" s="200"/>
      <c r="AH34" s="198" t="s">
        <v>1060</v>
      </c>
      <c r="AI34" s="200">
        <v>0</v>
      </c>
      <c r="AJ34" s="200">
        <v>0</v>
      </c>
      <c r="AL34" s="205" t="s">
        <v>138</v>
      </c>
      <c r="AM34" s="205">
        <f t="shared" si="3"/>
        <v>8</v>
      </c>
      <c r="AN34" s="205">
        <f t="shared" si="4"/>
        <v>2021</v>
      </c>
      <c r="AO34" s="205">
        <f t="shared" si="5"/>
        <v>2041</v>
      </c>
      <c r="AP34" s="206">
        <f t="shared" si="6"/>
        <v>2041.6666666666667</v>
      </c>
      <c r="AQ34" s="207">
        <f t="shared" si="7"/>
        <v>9.9770833333333329</v>
      </c>
      <c r="AR34" s="207">
        <f t="shared" si="8"/>
        <v>119.72499999999999</v>
      </c>
      <c r="AS34" s="207">
        <f t="shared" si="9"/>
        <v>119.72499999999999</v>
      </c>
      <c r="AT34" s="208">
        <f t="shared" si="1"/>
        <v>0</v>
      </c>
      <c r="AU34" s="207">
        <f t="shared" si="10"/>
        <v>119.72499999999999</v>
      </c>
      <c r="AV34" s="208">
        <f t="shared" si="2"/>
        <v>2274.7750000000001</v>
      </c>
    </row>
    <row r="35" spans="1:48" s="205" customFormat="1" ht="15">
      <c r="A35" s="197"/>
      <c r="B35" s="198">
        <v>2183</v>
      </c>
      <c r="C35" s="199">
        <v>260019</v>
      </c>
      <c r="D35" s="198" t="s">
        <v>1053</v>
      </c>
      <c r="E35" s="200" t="s">
        <v>1092</v>
      </c>
      <c r="F35" s="198">
        <v>13</v>
      </c>
      <c r="G35" s="200"/>
      <c r="H35" s="200"/>
      <c r="I35" s="200"/>
      <c r="J35" s="200">
        <v>0</v>
      </c>
      <c r="K35" s="200" t="s">
        <v>1093</v>
      </c>
      <c r="L35" s="200"/>
      <c r="M35" s="200" t="s">
        <v>1094</v>
      </c>
      <c r="N35" s="201">
        <v>44431</v>
      </c>
      <c r="O35" s="201">
        <v>44431</v>
      </c>
      <c r="P35" s="200" t="s">
        <v>1095</v>
      </c>
      <c r="Q35" s="198">
        <v>1200</v>
      </c>
      <c r="R35" s="198">
        <v>14050</v>
      </c>
      <c r="S35" s="202">
        <v>15080.79</v>
      </c>
      <c r="T35" s="198">
        <v>14056</v>
      </c>
      <c r="U35" s="202">
        <v>314.18</v>
      </c>
      <c r="V35" s="202">
        <f t="shared" si="0"/>
        <v>14766.61</v>
      </c>
      <c r="W35" s="203">
        <v>314.18</v>
      </c>
      <c r="X35" s="198">
        <v>54260</v>
      </c>
      <c r="Y35" s="202">
        <v>104.72</v>
      </c>
      <c r="Z35" s="200" t="s">
        <v>1053</v>
      </c>
      <c r="AA35" s="200"/>
      <c r="AB35" s="200" t="s">
        <v>1096</v>
      </c>
      <c r="AC35" s="200"/>
      <c r="AD35" s="200" t="s">
        <v>1058</v>
      </c>
      <c r="AE35" s="200" t="s">
        <v>1059</v>
      </c>
      <c r="AF35" s="198" t="s">
        <v>284</v>
      </c>
      <c r="AG35" s="200"/>
      <c r="AH35" s="198" t="s">
        <v>1060</v>
      </c>
      <c r="AI35" s="200">
        <v>0</v>
      </c>
      <c r="AJ35" s="200">
        <v>0</v>
      </c>
      <c r="AL35" s="205" t="s">
        <v>932</v>
      </c>
      <c r="AM35" s="205">
        <f t="shared" si="3"/>
        <v>8</v>
      </c>
      <c r="AN35" s="205">
        <f t="shared" si="4"/>
        <v>2021</v>
      </c>
      <c r="AO35" s="205">
        <f t="shared" si="5"/>
        <v>2033</v>
      </c>
      <c r="AP35" s="206">
        <f t="shared" si="6"/>
        <v>2033.6666666666667</v>
      </c>
      <c r="AQ35" s="207">
        <f t="shared" si="7"/>
        <v>104.72770833333334</v>
      </c>
      <c r="AR35" s="207">
        <f t="shared" si="8"/>
        <v>1256.7325000000001</v>
      </c>
      <c r="AS35" s="207">
        <f t="shared" si="9"/>
        <v>1256.7325000000001</v>
      </c>
      <c r="AT35" s="208">
        <f t="shared" si="1"/>
        <v>0</v>
      </c>
      <c r="AU35" s="207">
        <f t="shared" si="10"/>
        <v>1256.7325000000001</v>
      </c>
      <c r="AV35" s="208">
        <f t="shared" si="2"/>
        <v>13824.057500000001</v>
      </c>
    </row>
    <row r="36" spans="1:48" s="205" customFormat="1" ht="15">
      <c r="A36" s="197"/>
      <c r="B36" s="198">
        <v>2183</v>
      </c>
      <c r="C36" s="199">
        <v>260018</v>
      </c>
      <c r="D36" s="198" t="s">
        <v>1053</v>
      </c>
      <c r="E36" s="200" t="s">
        <v>1092</v>
      </c>
      <c r="F36" s="198">
        <v>2</v>
      </c>
      <c r="G36" s="200"/>
      <c r="H36" s="200"/>
      <c r="I36" s="200"/>
      <c r="J36" s="200">
        <v>0</v>
      </c>
      <c r="K36" s="200" t="s">
        <v>1093</v>
      </c>
      <c r="L36" s="200"/>
      <c r="M36" s="200" t="s">
        <v>1094</v>
      </c>
      <c r="N36" s="201">
        <v>44427</v>
      </c>
      <c r="O36" s="201">
        <v>44427</v>
      </c>
      <c r="P36" s="200" t="s">
        <v>1095</v>
      </c>
      <c r="Q36" s="198">
        <v>1200</v>
      </c>
      <c r="R36" s="198">
        <v>14050</v>
      </c>
      <c r="S36" s="202">
        <v>2249.0700000000002</v>
      </c>
      <c r="T36" s="198">
        <v>14056</v>
      </c>
      <c r="U36" s="202">
        <v>46.86</v>
      </c>
      <c r="V36" s="202">
        <f t="shared" si="0"/>
        <v>2202.21</v>
      </c>
      <c r="W36" s="203">
        <v>46.86</v>
      </c>
      <c r="X36" s="198">
        <v>54260</v>
      </c>
      <c r="Y36" s="202">
        <v>15.62</v>
      </c>
      <c r="Z36" s="200" t="s">
        <v>1053</v>
      </c>
      <c r="AA36" s="200"/>
      <c r="AB36" s="200" t="s">
        <v>1097</v>
      </c>
      <c r="AC36" s="200"/>
      <c r="AD36" s="200" t="s">
        <v>1058</v>
      </c>
      <c r="AE36" s="200" t="s">
        <v>1059</v>
      </c>
      <c r="AF36" s="198" t="s">
        <v>284</v>
      </c>
      <c r="AG36" s="200"/>
      <c r="AH36" s="198" t="s">
        <v>1060</v>
      </c>
      <c r="AI36" s="200">
        <v>0</v>
      </c>
      <c r="AJ36" s="200">
        <v>0</v>
      </c>
      <c r="AL36" s="205" t="s">
        <v>932</v>
      </c>
      <c r="AM36" s="205">
        <f t="shared" si="3"/>
        <v>8</v>
      </c>
      <c r="AN36" s="205">
        <f t="shared" si="4"/>
        <v>2021</v>
      </c>
      <c r="AO36" s="205">
        <f t="shared" si="5"/>
        <v>2033</v>
      </c>
      <c r="AP36" s="206">
        <f t="shared" si="6"/>
        <v>2033.6666666666667</v>
      </c>
      <c r="AQ36" s="207">
        <f t="shared" si="7"/>
        <v>15.618541666666667</v>
      </c>
      <c r="AR36" s="207">
        <f t="shared" si="8"/>
        <v>187.42250000000001</v>
      </c>
      <c r="AS36" s="207">
        <f t="shared" si="9"/>
        <v>187.42250000000001</v>
      </c>
      <c r="AT36" s="208">
        <f t="shared" si="1"/>
        <v>0</v>
      </c>
      <c r="AU36" s="207">
        <f t="shared" si="10"/>
        <v>187.42250000000001</v>
      </c>
      <c r="AV36" s="208">
        <f t="shared" si="2"/>
        <v>2061.6475</v>
      </c>
    </row>
    <row r="37" spans="1:48" s="205" customFormat="1" ht="15">
      <c r="A37" s="197"/>
      <c r="B37" s="198">
        <v>2183</v>
      </c>
      <c r="C37" s="199">
        <v>260017</v>
      </c>
      <c r="D37" s="198" t="s">
        <v>1053</v>
      </c>
      <c r="E37" s="200" t="s">
        <v>1098</v>
      </c>
      <c r="F37" s="198">
        <v>13</v>
      </c>
      <c r="G37" s="200"/>
      <c r="H37" s="200"/>
      <c r="I37" s="200"/>
      <c r="J37" s="200">
        <v>0</v>
      </c>
      <c r="K37" s="200" t="s">
        <v>1093</v>
      </c>
      <c r="L37" s="200"/>
      <c r="M37" s="200" t="s">
        <v>1099</v>
      </c>
      <c r="N37" s="201">
        <v>44431</v>
      </c>
      <c r="O37" s="201">
        <v>44431</v>
      </c>
      <c r="P37" s="200" t="s">
        <v>1095</v>
      </c>
      <c r="Q37" s="198">
        <v>1200</v>
      </c>
      <c r="R37" s="198">
        <v>14050</v>
      </c>
      <c r="S37" s="202">
        <v>14938.59</v>
      </c>
      <c r="T37" s="198">
        <v>14056</v>
      </c>
      <c r="U37" s="202">
        <v>311.22000000000003</v>
      </c>
      <c r="V37" s="202">
        <f t="shared" si="0"/>
        <v>14627.37</v>
      </c>
      <c r="W37" s="203">
        <v>311.22000000000003</v>
      </c>
      <c r="X37" s="198">
        <v>54260</v>
      </c>
      <c r="Y37" s="202">
        <v>103.74</v>
      </c>
      <c r="Z37" s="200" t="s">
        <v>1053</v>
      </c>
      <c r="AA37" s="200"/>
      <c r="AB37" s="200" t="s">
        <v>1096</v>
      </c>
      <c r="AC37" s="200"/>
      <c r="AD37" s="200" t="s">
        <v>1058</v>
      </c>
      <c r="AE37" s="200" t="s">
        <v>1059</v>
      </c>
      <c r="AF37" s="198" t="s">
        <v>284</v>
      </c>
      <c r="AG37" s="200"/>
      <c r="AH37" s="198" t="s">
        <v>1060</v>
      </c>
      <c r="AI37" s="200">
        <v>0</v>
      </c>
      <c r="AJ37" s="200">
        <v>0</v>
      </c>
      <c r="AL37" s="205" t="s">
        <v>932</v>
      </c>
      <c r="AM37" s="205">
        <f t="shared" si="3"/>
        <v>8</v>
      </c>
      <c r="AN37" s="205">
        <f t="shared" si="4"/>
        <v>2021</v>
      </c>
      <c r="AO37" s="205">
        <f t="shared" si="5"/>
        <v>2033</v>
      </c>
      <c r="AP37" s="206">
        <f t="shared" si="6"/>
        <v>2033.6666666666667</v>
      </c>
      <c r="AQ37" s="207">
        <f t="shared" si="7"/>
        <v>103.74020833333333</v>
      </c>
      <c r="AR37" s="207">
        <f t="shared" si="8"/>
        <v>1244.8824999999999</v>
      </c>
      <c r="AS37" s="207">
        <f t="shared" si="9"/>
        <v>1244.8824999999999</v>
      </c>
      <c r="AT37" s="208">
        <f t="shared" si="1"/>
        <v>0</v>
      </c>
      <c r="AU37" s="207">
        <f t="shared" si="10"/>
        <v>1244.8824999999999</v>
      </c>
      <c r="AV37" s="208">
        <f t="shared" si="2"/>
        <v>13693.7075</v>
      </c>
    </row>
    <row r="38" spans="1:48" s="205" customFormat="1" ht="15">
      <c r="A38" s="197"/>
      <c r="B38" s="198">
        <v>2183</v>
      </c>
      <c r="C38" s="199">
        <v>260016</v>
      </c>
      <c r="D38" s="198" t="s">
        <v>1053</v>
      </c>
      <c r="E38" s="200" t="s">
        <v>1098</v>
      </c>
      <c r="F38" s="198">
        <v>7</v>
      </c>
      <c r="G38" s="200"/>
      <c r="H38" s="200"/>
      <c r="I38" s="200"/>
      <c r="J38" s="200">
        <v>0</v>
      </c>
      <c r="K38" s="200" t="s">
        <v>1093</v>
      </c>
      <c r="L38" s="200"/>
      <c r="M38" s="200" t="s">
        <v>1099</v>
      </c>
      <c r="N38" s="201">
        <v>44427</v>
      </c>
      <c r="O38" s="201">
        <v>44427</v>
      </c>
      <c r="P38" s="200" t="s">
        <v>1095</v>
      </c>
      <c r="Q38" s="198">
        <v>1200</v>
      </c>
      <c r="R38" s="198">
        <v>14050</v>
      </c>
      <c r="S38" s="202">
        <v>7795.15</v>
      </c>
      <c r="T38" s="198">
        <v>14056</v>
      </c>
      <c r="U38" s="202">
        <v>162.4</v>
      </c>
      <c r="V38" s="202">
        <f t="shared" si="0"/>
        <v>7632.75</v>
      </c>
      <c r="W38" s="203">
        <v>162.4</v>
      </c>
      <c r="X38" s="198">
        <v>54260</v>
      </c>
      <c r="Y38" s="202">
        <v>54.13</v>
      </c>
      <c r="Z38" s="200" t="s">
        <v>1053</v>
      </c>
      <c r="AA38" s="200"/>
      <c r="AB38" s="200" t="s">
        <v>1097</v>
      </c>
      <c r="AC38" s="200"/>
      <c r="AD38" s="200" t="s">
        <v>1058</v>
      </c>
      <c r="AE38" s="200" t="s">
        <v>1059</v>
      </c>
      <c r="AF38" s="198" t="s">
        <v>284</v>
      </c>
      <c r="AG38" s="200"/>
      <c r="AH38" s="198" t="s">
        <v>1060</v>
      </c>
      <c r="AI38" s="200">
        <v>0</v>
      </c>
      <c r="AJ38" s="200">
        <v>0</v>
      </c>
      <c r="AL38" s="205" t="s">
        <v>932</v>
      </c>
      <c r="AM38" s="205">
        <f t="shared" si="3"/>
        <v>8</v>
      </c>
      <c r="AN38" s="205">
        <f t="shared" si="4"/>
        <v>2021</v>
      </c>
      <c r="AO38" s="205">
        <f t="shared" si="5"/>
        <v>2033</v>
      </c>
      <c r="AP38" s="206">
        <f t="shared" si="6"/>
        <v>2033.6666666666667</v>
      </c>
      <c r="AQ38" s="207">
        <f t="shared" si="7"/>
        <v>54.132986111111109</v>
      </c>
      <c r="AR38" s="207">
        <f t="shared" si="8"/>
        <v>649.5958333333333</v>
      </c>
      <c r="AS38" s="207">
        <f t="shared" si="9"/>
        <v>649.5958333333333</v>
      </c>
      <c r="AT38" s="208">
        <f t="shared" si="1"/>
        <v>0</v>
      </c>
      <c r="AU38" s="207">
        <f t="shared" si="10"/>
        <v>649.5958333333333</v>
      </c>
      <c r="AV38" s="208">
        <f t="shared" si="2"/>
        <v>7145.5541666666668</v>
      </c>
    </row>
    <row r="39" spans="1:48" s="205" customFormat="1" ht="15">
      <c r="A39" s="197"/>
      <c r="B39" s="198">
        <v>2183</v>
      </c>
      <c r="C39" s="199">
        <v>260015</v>
      </c>
      <c r="D39" s="198" t="s">
        <v>1053</v>
      </c>
      <c r="E39" s="200" t="s">
        <v>1100</v>
      </c>
      <c r="F39" s="198">
        <v>10</v>
      </c>
      <c r="G39" s="200"/>
      <c r="H39" s="200"/>
      <c r="I39" s="200"/>
      <c r="J39" s="200">
        <v>0</v>
      </c>
      <c r="K39" s="200" t="s">
        <v>1093</v>
      </c>
      <c r="L39" s="200"/>
      <c r="M39" s="200" t="s">
        <v>1101</v>
      </c>
      <c r="N39" s="201">
        <v>44427</v>
      </c>
      <c r="O39" s="201">
        <v>44427</v>
      </c>
      <c r="P39" s="200" t="s">
        <v>1095</v>
      </c>
      <c r="Q39" s="198">
        <v>1200</v>
      </c>
      <c r="R39" s="198">
        <v>14050</v>
      </c>
      <c r="S39" s="202">
        <v>7328.81</v>
      </c>
      <c r="T39" s="198">
        <v>14056</v>
      </c>
      <c r="U39" s="202">
        <v>152.69</v>
      </c>
      <c r="V39" s="202">
        <f t="shared" si="0"/>
        <v>7176.1200000000008</v>
      </c>
      <c r="W39" s="203">
        <v>152.69</v>
      </c>
      <c r="X39" s="198">
        <v>54260</v>
      </c>
      <c r="Y39" s="202">
        <v>50.9</v>
      </c>
      <c r="Z39" s="200" t="s">
        <v>1053</v>
      </c>
      <c r="AA39" s="200"/>
      <c r="AB39" s="200" t="s">
        <v>1097</v>
      </c>
      <c r="AC39" s="200"/>
      <c r="AD39" s="200" t="s">
        <v>1058</v>
      </c>
      <c r="AE39" s="200" t="s">
        <v>1059</v>
      </c>
      <c r="AF39" s="198" t="s">
        <v>284</v>
      </c>
      <c r="AG39" s="200"/>
      <c r="AH39" s="198" t="s">
        <v>1060</v>
      </c>
      <c r="AI39" s="200">
        <v>0</v>
      </c>
      <c r="AJ39" s="200">
        <v>0</v>
      </c>
      <c r="AL39" s="205" t="s">
        <v>932</v>
      </c>
      <c r="AM39" s="205">
        <f t="shared" si="3"/>
        <v>8</v>
      </c>
      <c r="AN39" s="205">
        <f t="shared" si="4"/>
        <v>2021</v>
      </c>
      <c r="AO39" s="205">
        <f t="shared" si="5"/>
        <v>2033</v>
      </c>
      <c r="AP39" s="206">
        <f t="shared" si="6"/>
        <v>2033.6666666666667</v>
      </c>
      <c r="AQ39" s="207">
        <f t="shared" si="7"/>
        <v>50.894513888888895</v>
      </c>
      <c r="AR39" s="207">
        <f t="shared" si="8"/>
        <v>610.73416666666674</v>
      </c>
      <c r="AS39" s="207">
        <f t="shared" si="9"/>
        <v>610.73416666666674</v>
      </c>
      <c r="AT39" s="208">
        <f t="shared" si="1"/>
        <v>0</v>
      </c>
      <c r="AU39" s="207">
        <f t="shared" si="10"/>
        <v>610.73416666666674</v>
      </c>
      <c r="AV39" s="208">
        <f t="shared" si="2"/>
        <v>6718.0758333333333</v>
      </c>
    </row>
    <row r="40" spans="1:48" s="205" customFormat="1" ht="15">
      <c r="A40" s="197"/>
      <c r="B40" s="198">
        <v>2183</v>
      </c>
      <c r="C40" s="199">
        <v>260014</v>
      </c>
      <c r="D40" s="198" t="s">
        <v>1053</v>
      </c>
      <c r="E40" s="200" t="s">
        <v>1102</v>
      </c>
      <c r="F40" s="198">
        <v>10</v>
      </c>
      <c r="G40" s="200"/>
      <c r="H40" s="200"/>
      <c r="I40" s="200"/>
      <c r="J40" s="200">
        <v>0</v>
      </c>
      <c r="K40" s="200" t="s">
        <v>1093</v>
      </c>
      <c r="L40" s="200"/>
      <c r="M40" s="200" t="s">
        <v>1103</v>
      </c>
      <c r="N40" s="201">
        <v>44427</v>
      </c>
      <c r="O40" s="201">
        <v>44427</v>
      </c>
      <c r="P40" s="200" t="s">
        <v>1095</v>
      </c>
      <c r="Q40" s="198">
        <v>1200</v>
      </c>
      <c r="R40" s="198">
        <v>14050</v>
      </c>
      <c r="S40" s="202">
        <v>6902.15</v>
      </c>
      <c r="T40" s="198">
        <v>14056</v>
      </c>
      <c r="U40" s="202">
        <v>143.80000000000001</v>
      </c>
      <c r="V40" s="202">
        <f t="shared" si="0"/>
        <v>6758.3499999999995</v>
      </c>
      <c r="W40" s="203">
        <v>143.80000000000001</v>
      </c>
      <c r="X40" s="198">
        <v>54260</v>
      </c>
      <c r="Y40" s="202">
        <v>47.93</v>
      </c>
      <c r="Z40" s="200" t="s">
        <v>1053</v>
      </c>
      <c r="AA40" s="200"/>
      <c r="AB40" s="200" t="s">
        <v>1097</v>
      </c>
      <c r="AC40" s="200"/>
      <c r="AD40" s="200" t="s">
        <v>1058</v>
      </c>
      <c r="AE40" s="200" t="s">
        <v>1059</v>
      </c>
      <c r="AF40" s="198" t="s">
        <v>284</v>
      </c>
      <c r="AG40" s="200"/>
      <c r="AH40" s="198" t="s">
        <v>1060</v>
      </c>
      <c r="AI40" s="200">
        <v>0</v>
      </c>
      <c r="AJ40" s="200">
        <v>0</v>
      </c>
      <c r="AL40" s="205" t="s">
        <v>932</v>
      </c>
      <c r="AM40" s="205">
        <f t="shared" si="3"/>
        <v>8</v>
      </c>
      <c r="AN40" s="205">
        <f t="shared" si="4"/>
        <v>2021</v>
      </c>
      <c r="AO40" s="205">
        <f t="shared" si="5"/>
        <v>2033</v>
      </c>
      <c r="AP40" s="206">
        <f t="shared" si="6"/>
        <v>2033.6666666666667</v>
      </c>
      <c r="AQ40" s="207">
        <f t="shared" si="7"/>
        <v>47.931597222222223</v>
      </c>
      <c r="AR40" s="207">
        <f t="shared" si="8"/>
        <v>575.17916666666667</v>
      </c>
      <c r="AS40" s="207">
        <f t="shared" si="9"/>
        <v>575.17916666666667</v>
      </c>
      <c r="AT40" s="208">
        <f t="shared" si="1"/>
        <v>0</v>
      </c>
      <c r="AU40" s="207">
        <f t="shared" si="10"/>
        <v>575.17916666666667</v>
      </c>
      <c r="AV40" s="208">
        <f t="shared" si="2"/>
        <v>6326.9708333333328</v>
      </c>
    </row>
    <row r="41" spans="1:48" s="205" customFormat="1" ht="15">
      <c r="A41" s="197"/>
      <c r="B41" s="198">
        <v>2183</v>
      </c>
      <c r="C41" s="199">
        <v>260013</v>
      </c>
      <c r="D41" s="198" t="s">
        <v>1053</v>
      </c>
      <c r="E41" s="200" t="s">
        <v>1104</v>
      </c>
      <c r="F41" s="198">
        <v>15</v>
      </c>
      <c r="G41" s="200"/>
      <c r="H41" s="200"/>
      <c r="I41" s="200"/>
      <c r="J41" s="200">
        <v>0</v>
      </c>
      <c r="K41" s="200" t="s">
        <v>1093</v>
      </c>
      <c r="L41" s="200"/>
      <c r="M41" s="200" t="s">
        <v>1105</v>
      </c>
      <c r="N41" s="201">
        <v>44427</v>
      </c>
      <c r="O41" s="201">
        <v>44427</v>
      </c>
      <c r="P41" s="200" t="s">
        <v>1095</v>
      </c>
      <c r="Q41" s="198">
        <v>1200</v>
      </c>
      <c r="R41" s="198">
        <v>14050</v>
      </c>
      <c r="S41" s="202">
        <v>9893.7199999999993</v>
      </c>
      <c r="T41" s="198">
        <v>14056</v>
      </c>
      <c r="U41" s="202">
        <v>206.12</v>
      </c>
      <c r="V41" s="202">
        <f t="shared" si="0"/>
        <v>9687.5999999999985</v>
      </c>
      <c r="W41" s="203">
        <v>206.12</v>
      </c>
      <c r="X41" s="198">
        <v>54260</v>
      </c>
      <c r="Y41" s="202">
        <v>68.7</v>
      </c>
      <c r="Z41" s="200" t="s">
        <v>1053</v>
      </c>
      <c r="AA41" s="200"/>
      <c r="AB41" s="200" t="s">
        <v>1097</v>
      </c>
      <c r="AC41" s="200"/>
      <c r="AD41" s="200" t="s">
        <v>1058</v>
      </c>
      <c r="AE41" s="200" t="s">
        <v>1059</v>
      </c>
      <c r="AF41" s="198" t="s">
        <v>284</v>
      </c>
      <c r="AG41" s="200"/>
      <c r="AH41" s="198" t="s">
        <v>1060</v>
      </c>
      <c r="AI41" s="200">
        <v>0</v>
      </c>
      <c r="AJ41" s="200">
        <v>0</v>
      </c>
      <c r="AL41" s="205" t="s">
        <v>932</v>
      </c>
      <c r="AM41" s="205">
        <f t="shared" si="3"/>
        <v>8</v>
      </c>
      <c r="AN41" s="205">
        <f t="shared" si="4"/>
        <v>2021</v>
      </c>
      <c r="AO41" s="205">
        <f t="shared" si="5"/>
        <v>2033</v>
      </c>
      <c r="AP41" s="206">
        <f t="shared" si="6"/>
        <v>2033.6666666666667</v>
      </c>
      <c r="AQ41" s="207">
        <f t="shared" si="7"/>
        <v>68.706388888888881</v>
      </c>
      <c r="AR41" s="207">
        <f t="shared" si="8"/>
        <v>824.47666666666657</v>
      </c>
      <c r="AS41" s="207">
        <f t="shared" si="9"/>
        <v>824.47666666666657</v>
      </c>
      <c r="AT41" s="208">
        <f t="shared" si="1"/>
        <v>0</v>
      </c>
      <c r="AU41" s="207">
        <f t="shared" si="10"/>
        <v>824.47666666666657</v>
      </c>
      <c r="AV41" s="208">
        <f t="shared" si="2"/>
        <v>9069.243333333332</v>
      </c>
    </row>
    <row r="42" spans="1:48" s="205" customFormat="1" ht="15">
      <c r="A42" s="197"/>
      <c r="B42" s="198">
        <v>2183</v>
      </c>
      <c r="C42" s="199">
        <v>259355</v>
      </c>
      <c r="D42" s="198">
        <v>255410</v>
      </c>
      <c r="E42" s="200" t="s">
        <v>1106</v>
      </c>
      <c r="F42" s="198"/>
      <c r="G42" s="200"/>
      <c r="H42" s="200"/>
      <c r="I42" s="200"/>
      <c r="J42" s="200">
        <v>2022</v>
      </c>
      <c r="K42" s="200" t="s">
        <v>1107</v>
      </c>
      <c r="L42" s="200"/>
      <c r="M42" s="200" t="s">
        <v>1108</v>
      </c>
      <c r="N42" s="201">
        <v>44412</v>
      </c>
      <c r="O42" s="201">
        <v>44412</v>
      </c>
      <c r="P42" s="200" t="s">
        <v>1109</v>
      </c>
      <c r="Q42" s="198">
        <v>1000</v>
      </c>
      <c r="R42" s="198">
        <v>14040</v>
      </c>
      <c r="S42" s="202">
        <v>957.25</v>
      </c>
      <c r="T42" s="198">
        <v>14046</v>
      </c>
      <c r="U42" s="202">
        <v>31.91</v>
      </c>
      <c r="V42" s="202">
        <f t="shared" si="0"/>
        <v>925.34</v>
      </c>
      <c r="W42" s="203">
        <v>31.91</v>
      </c>
      <c r="X42" s="198">
        <v>51260</v>
      </c>
      <c r="Y42" s="202">
        <v>7.98</v>
      </c>
      <c r="Z42" s="200" t="s">
        <v>1053</v>
      </c>
      <c r="AA42" s="200"/>
      <c r="AB42" s="200">
        <v>29093</v>
      </c>
      <c r="AC42" s="200"/>
      <c r="AD42" s="200" t="s">
        <v>1058</v>
      </c>
      <c r="AE42" s="200" t="s">
        <v>1059</v>
      </c>
      <c r="AF42" s="198" t="s">
        <v>284</v>
      </c>
      <c r="AG42" s="200"/>
      <c r="AH42" s="198" t="s">
        <v>1060</v>
      </c>
      <c r="AI42" s="200">
        <v>0</v>
      </c>
      <c r="AJ42" s="200">
        <v>0</v>
      </c>
      <c r="AK42" s="205">
        <f>+VLOOKUP($C42,'[22]Asset Addition Form'!$C:$K,3,FALSE)</f>
        <v>3718</v>
      </c>
      <c r="AL42" s="387" t="s">
        <v>2347</v>
      </c>
      <c r="AM42" s="205">
        <f t="shared" si="3"/>
        <v>8</v>
      </c>
      <c r="AN42" s="205">
        <f t="shared" si="4"/>
        <v>2021</v>
      </c>
      <c r="AO42" s="205">
        <f t="shared" si="5"/>
        <v>2031</v>
      </c>
      <c r="AP42" s="206">
        <f t="shared" si="6"/>
        <v>2031.6666666666667</v>
      </c>
      <c r="AQ42" s="207">
        <f t="shared" si="7"/>
        <v>7.9770833333333329</v>
      </c>
      <c r="AR42" s="207">
        <f t="shared" si="8"/>
        <v>95.724999999999994</v>
      </c>
      <c r="AS42" s="207">
        <f t="shared" si="9"/>
        <v>95.724999999999994</v>
      </c>
      <c r="AT42" s="208">
        <f t="shared" si="1"/>
        <v>0</v>
      </c>
      <c r="AU42" s="207">
        <f t="shared" si="10"/>
        <v>95.724999999999994</v>
      </c>
      <c r="AV42" s="208">
        <f t="shared" si="2"/>
        <v>861.52499999999998</v>
      </c>
    </row>
    <row r="43" spans="1:48" s="205" customFormat="1" ht="15">
      <c r="A43" s="197"/>
      <c r="B43" s="198">
        <v>2183</v>
      </c>
      <c r="C43" s="199">
        <v>259331</v>
      </c>
      <c r="D43" s="198">
        <v>255410</v>
      </c>
      <c r="E43" s="200" t="s">
        <v>1110</v>
      </c>
      <c r="F43" s="198"/>
      <c r="G43" s="200"/>
      <c r="H43" s="200"/>
      <c r="I43" s="200"/>
      <c r="J43" s="200">
        <v>0</v>
      </c>
      <c r="K43" s="200" t="s">
        <v>1111</v>
      </c>
      <c r="L43" s="200"/>
      <c r="M43" s="200" t="s">
        <v>1108</v>
      </c>
      <c r="N43" s="201">
        <v>44432</v>
      </c>
      <c r="O43" s="201">
        <v>44432</v>
      </c>
      <c r="P43" s="200" t="s">
        <v>1109</v>
      </c>
      <c r="Q43" s="198">
        <v>1000</v>
      </c>
      <c r="R43" s="198">
        <v>14040</v>
      </c>
      <c r="S43" s="202">
        <v>389.92</v>
      </c>
      <c r="T43" s="198">
        <v>14046</v>
      </c>
      <c r="U43" s="202">
        <v>9.75</v>
      </c>
      <c r="V43" s="202">
        <f t="shared" si="0"/>
        <v>380.17</v>
      </c>
      <c r="W43" s="203">
        <v>9.75</v>
      </c>
      <c r="X43" s="198">
        <v>51260</v>
      </c>
      <c r="Y43" s="202">
        <v>3.25</v>
      </c>
      <c r="Z43" s="200" t="s">
        <v>1053</v>
      </c>
      <c r="AA43" s="200"/>
      <c r="AB43" s="200" t="s">
        <v>1112</v>
      </c>
      <c r="AC43" s="200"/>
      <c r="AD43" s="200" t="s">
        <v>1058</v>
      </c>
      <c r="AE43" s="200" t="s">
        <v>1059</v>
      </c>
      <c r="AF43" s="198" t="s">
        <v>284</v>
      </c>
      <c r="AG43" s="200"/>
      <c r="AH43" s="198" t="s">
        <v>1060</v>
      </c>
      <c r="AI43" s="200">
        <v>0</v>
      </c>
      <c r="AJ43" s="200">
        <v>0</v>
      </c>
      <c r="AK43" s="205">
        <f>+VLOOKUP($C43,'[22]Asset Addition Form'!$C:$K,3,FALSE)</f>
        <v>3718</v>
      </c>
      <c r="AL43" s="387" t="s">
        <v>2347</v>
      </c>
      <c r="AM43" s="205">
        <f t="shared" si="3"/>
        <v>8</v>
      </c>
      <c r="AN43" s="205">
        <f t="shared" si="4"/>
        <v>2021</v>
      </c>
      <c r="AO43" s="205">
        <f t="shared" si="5"/>
        <v>2031</v>
      </c>
      <c r="AP43" s="206">
        <f t="shared" si="6"/>
        <v>2031.6666666666667</v>
      </c>
      <c r="AQ43" s="207">
        <f t="shared" si="7"/>
        <v>3.2493333333333339</v>
      </c>
      <c r="AR43" s="207">
        <f t="shared" si="8"/>
        <v>38.992000000000004</v>
      </c>
      <c r="AS43" s="207">
        <f t="shared" si="9"/>
        <v>38.992000000000004</v>
      </c>
      <c r="AT43" s="208">
        <f t="shared" si="1"/>
        <v>0</v>
      </c>
      <c r="AU43" s="207">
        <f t="shared" si="10"/>
        <v>38.992000000000004</v>
      </c>
      <c r="AV43" s="208">
        <f t="shared" si="2"/>
        <v>350.928</v>
      </c>
    </row>
    <row r="44" spans="1:48" s="205" customFormat="1" ht="15">
      <c r="A44" s="197"/>
      <c r="B44" s="198">
        <v>2183</v>
      </c>
      <c r="C44" s="199">
        <v>259256</v>
      </c>
      <c r="D44" s="198">
        <v>257730</v>
      </c>
      <c r="E44" s="200" t="s">
        <v>1071</v>
      </c>
      <c r="F44" s="198"/>
      <c r="G44" s="200"/>
      <c r="H44" s="200"/>
      <c r="I44" s="200"/>
      <c r="J44" s="200">
        <v>0</v>
      </c>
      <c r="K44" s="200" t="s">
        <v>1113</v>
      </c>
      <c r="L44" s="200"/>
      <c r="M44" s="200"/>
      <c r="N44" s="201">
        <v>44439</v>
      </c>
      <c r="O44" s="201">
        <v>44439</v>
      </c>
      <c r="P44" s="200" t="s">
        <v>946</v>
      </c>
      <c r="Q44" s="198">
        <v>2000</v>
      </c>
      <c r="R44" s="198">
        <v>14080</v>
      </c>
      <c r="S44" s="202">
        <v>975.05</v>
      </c>
      <c r="T44" s="198">
        <v>14086</v>
      </c>
      <c r="U44" s="202">
        <v>12.17</v>
      </c>
      <c r="V44" s="202">
        <f t="shared" si="0"/>
        <v>962.88</v>
      </c>
      <c r="W44" s="203">
        <v>12.17</v>
      </c>
      <c r="X44" s="198">
        <v>57260</v>
      </c>
      <c r="Y44" s="202">
        <v>4.05</v>
      </c>
      <c r="Z44" s="200" t="s">
        <v>1053</v>
      </c>
      <c r="AA44" s="200"/>
      <c r="AB44" s="200">
        <v>90722768</v>
      </c>
      <c r="AC44" s="200"/>
      <c r="AD44" s="200" t="s">
        <v>1058</v>
      </c>
      <c r="AE44" s="200" t="s">
        <v>1059</v>
      </c>
      <c r="AF44" s="198" t="s">
        <v>284</v>
      </c>
      <c r="AG44" s="200"/>
      <c r="AH44" s="198" t="s">
        <v>1060</v>
      </c>
      <c r="AI44" s="200">
        <v>0</v>
      </c>
      <c r="AJ44" s="200">
        <v>0</v>
      </c>
      <c r="AL44" s="205" t="s">
        <v>138</v>
      </c>
      <c r="AM44" s="205">
        <f t="shared" si="3"/>
        <v>8</v>
      </c>
      <c r="AN44" s="205">
        <f t="shared" si="4"/>
        <v>2021</v>
      </c>
      <c r="AO44" s="205">
        <f t="shared" si="5"/>
        <v>2041</v>
      </c>
      <c r="AP44" s="206">
        <f t="shared" si="6"/>
        <v>2041.6666666666667</v>
      </c>
      <c r="AQ44" s="207">
        <f t="shared" si="7"/>
        <v>4.0627083333333331</v>
      </c>
      <c r="AR44" s="207">
        <f t="shared" si="8"/>
        <v>48.752499999999998</v>
      </c>
      <c r="AS44" s="207">
        <f t="shared" si="9"/>
        <v>48.752499999999998</v>
      </c>
      <c r="AT44" s="208">
        <f t="shared" si="1"/>
        <v>0</v>
      </c>
      <c r="AU44" s="207">
        <f t="shared" si="10"/>
        <v>48.752499999999998</v>
      </c>
      <c r="AV44" s="208">
        <f t="shared" si="2"/>
        <v>926.2974999999999</v>
      </c>
    </row>
    <row r="45" spans="1:48" s="205" customFormat="1" ht="15">
      <c r="A45" s="197"/>
      <c r="B45" s="198">
        <v>2183</v>
      </c>
      <c r="C45" s="199">
        <v>259223</v>
      </c>
      <c r="D45" s="198">
        <v>251931</v>
      </c>
      <c r="E45" s="200" t="s">
        <v>1114</v>
      </c>
      <c r="F45" s="198"/>
      <c r="G45" s="200"/>
      <c r="H45" s="200"/>
      <c r="I45" s="200"/>
      <c r="J45" s="200">
        <v>0</v>
      </c>
      <c r="K45" s="200" t="s">
        <v>1115</v>
      </c>
      <c r="L45" s="200"/>
      <c r="M45" s="200" t="s">
        <v>1108</v>
      </c>
      <c r="N45" s="201">
        <v>44317</v>
      </c>
      <c r="O45" s="201">
        <v>44317</v>
      </c>
      <c r="P45" s="200" t="s">
        <v>1116</v>
      </c>
      <c r="Q45" s="198">
        <v>1000</v>
      </c>
      <c r="R45" s="198">
        <v>14040</v>
      </c>
      <c r="S45" s="202">
        <v>4187.6000000000004</v>
      </c>
      <c r="T45" s="198">
        <v>14046</v>
      </c>
      <c r="U45" s="202">
        <v>244.27</v>
      </c>
      <c r="V45" s="202">
        <f t="shared" si="0"/>
        <v>3943.3300000000004</v>
      </c>
      <c r="W45" s="203">
        <v>244.27</v>
      </c>
      <c r="X45" s="198">
        <v>51260</v>
      </c>
      <c r="Y45" s="202">
        <v>34.89</v>
      </c>
      <c r="Z45" s="200" t="s">
        <v>1053</v>
      </c>
      <c r="AA45" s="200"/>
      <c r="AB45" s="200" t="s">
        <v>1117</v>
      </c>
      <c r="AC45" s="200"/>
      <c r="AD45" s="200" t="s">
        <v>1058</v>
      </c>
      <c r="AE45" s="200" t="s">
        <v>1059</v>
      </c>
      <c r="AF45" s="198" t="s">
        <v>284</v>
      </c>
      <c r="AG45" s="200"/>
      <c r="AH45" s="198" t="s">
        <v>1060</v>
      </c>
      <c r="AI45" s="200">
        <v>0</v>
      </c>
      <c r="AJ45" s="200">
        <v>0</v>
      </c>
      <c r="AK45" s="205">
        <f>+VLOOKUP($C45,'[22]Asset Addition Form'!$C:$K,3,FALSE)</f>
        <v>3705</v>
      </c>
      <c r="AL45" s="387" t="s">
        <v>2347</v>
      </c>
      <c r="AM45" s="205">
        <f t="shared" si="3"/>
        <v>5</v>
      </c>
      <c r="AN45" s="205">
        <f t="shared" si="4"/>
        <v>2021</v>
      </c>
      <c r="AO45" s="205">
        <f t="shared" si="5"/>
        <v>2031</v>
      </c>
      <c r="AP45" s="206">
        <f t="shared" si="6"/>
        <v>2031.4166666666667</v>
      </c>
      <c r="AQ45" s="207">
        <f t="shared" si="7"/>
        <v>34.896666666666668</v>
      </c>
      <c r="AR45" s="207">
        <f t="shared" si="8"/>
        <v>418.76</v>
      </c>
      <c r="AS45" s="207">
        <f t="shared" si="9"/>
        <v>418.76</v>
      </c>
      <c r="AT45" s="208">
        <f t="shared" si="1"/>
        <v>0</v>
      </c>
      <c r="AU45" s="207">
        <f t="shared" si="10"/>
        <v>418.76</v>
      </c>
      <c r="AV45" s="208">
        <f t="shared" si="2"/>
        <v>3768.84</v>
      </c>
    </row>
    <row r="46" spans="1:48" s="205" customFormat="1" ht="15">
      <c r="A46" s="197"/>
      <c r="B46" s="198">
        <v>2183</v>
      </c>
      <c r="C46" s="199">
        <v>259140</v>
      </c>
      <c r="D46" s="198">
        <v>257730</v>
      </c>
      <c r="E46" s="200" t="s">
        <v>1071</v>
      </c>
      <c r="F46" s="198"/>
      <c r="G46" s="200"/>
      <c r="H46" s="200"/>
      <c r="I46" s="200"/>
      <c r="J46" s="200">
        <v>0</v>
      </c>
      <c r="K46" s="200" t="s">
        <v>1072</v>
      </c>
      <c r="L46" s="200"/>
      <c r="M46" s="200"/>
      <c r="N46" s="201">
        <v>44439</v>
      </c>
      <c r="O46" s="201">
        <v>44439</v>
      </c>
      <c r="P46" s="200" t="s">
        <v>946</v>
      </c>
      <c r="Q46" s="198">
        <v>2000</v>
      </c>
      <c r="R46" s="198">
        <v>14080</v>
      </c>
      <c r="S46" s="202">
        <v>2893.75</v>
      </c>
      <c r="T46" s="198">
        <v>14086</v>
      </c>
      <c r="U46" s="202">
        <v>36.17</v>
      </c>
      <c r="V46" s="202">
        <f t="shared" si="0"/>
        <v>2857.58</v>
      </c>
      <c r="W46" s="203">
        <v>36.17</v>
      </c>
      <c r="X46" s="198">
        <v>57260</v>
      </c>
      <c r="Y46" s="202">
        <v>12.05</v>
      </c>
      <c r="Z46" s="200" t="s">
        <v>1053</v>
      </c>
      <c r="AA46" s="200"/>
      <c r="AB46" s="200" t="s">
        <v>1118</v>
      </c>
      <c r="AC46" s="200"/>
      <c r="AD46" s="200" t="s">
        <v>1058</v>
      </c>
      <c r="AE46" s="200" t="s">
        <v>1059</v>
      </c>
      <c r="AF46" s="198" t="s">
        <v>284</v>
      </c>
      <c r="AG46" s="200"/>
      <c r="AH46" s="198" t="s">
        <v>1060</v>
      </c>
      <c r="AI46" s="200">
        <v>0</v>
      </c>
      <c r="AJ46" s="200">
        <v>0</v>
      </c>
      <c r="AL46" s="205" t="s">
        <v>138</v>
      </c>
      <c r="AM46" s="205">
        <f t="shared" si="3"/>
        <v>8</v>
      </c>
      <c r="AN46" s="205">
        <f t="shared" si="4"/>
        <v>2021</v>
      </c>
      <c r="AO46" s="205">
        <f t="shared" si="5"/>
        <v>2041</v>
      </c>
      <c r="AP46" s="206">
        <f t="shared" si="6"/>
        <v>2041.6666666666667</v>
      </c>
      <c r="AQ46" s="207">
        <f t="shared" si="7"/>
        <v>12.057291666666666</v>
      </c>
      <c r="AR46" s="207">
        <f t="shared" si="8"/>
        <v>144.6875</v>
      </c>
      <c r="AS46" s="207">
        <f t="shared" si="9"/>
        <v>144.6875</v>
      </c>
      <c r="AT46" s="208">
        <f t="shared" si="1"/>
        <v>0</v>
      </c>
      <c r="AU46" s="207">
        <f t="shared" si="10"/>
        <v>144.6875</v>
      </c>
      <c r="AV46" s="208">
        <f t="shared" si="2"/>
        <v>2749.0625</v>
      </c>
    </row>
    <row r="47" spans="1:48" s="205" customFormat="1" ht="15">
      <c r="A47" s="197"/>
      <c r="B47" s="198">
        <v>2183</v>
      </c>
      <c r="C47" s="199">
        <v>259121</v>
      </c>
      <c r="D47" s="198">
        <v>251931</v>
      </c>
      <c r="E47" s="200" t="s">
        <v>1119</v>
      </c>
      <c r="F47" s="198"/>
      <c r="G47" s="200"/>
      <c r="H47" s="200"/>
      <c r="I47" s="200"/>
      <c r="J47" s="200">
        <v>0</v>
      </c>
      <c r="K47" s="200" t="s">
        <v>1120</v>
      </c>
      <c r="L47" s="200"/>
      <c r="M47" s="200" t="s">
        <v>1108</v>
      </c>
      <c r="N47" s="201">
        <v>44317</v>
      </c>
      <c r="O47" s="201">
        <v>44317</v>
      </c>
      <c r="P47" s="200" t="s">
        <v>1116</v>
      </c>
      <c r="Q47" s="198">
        <v>500</v>
      </c>
      <c r="R47" s="198">
        <v>14040</v>
      </c>
      <c r="S47" s="202">
        <v>792.27</v>
      </c>
      <c r="T47" s="198">
        <v>14046</v>
      </c>
      <c r="U47" s="202">
        <v>92.44</v>
      </c>
      <c r="V47" s="202">
        <f t="shared" si="0"/>
        <v>699.82999999999993</v>
      </c>
      <c r="W47" s="203">
        <v>92.44</v>
      </c>
      <c r="X47" s="198">
        <v>51260</v>
      </c>
      <c r="Y47" s="202">
        <v>13.21</v>
      </c>
      <c r="Z47" s="200" t="s">
        <v>1053</v>
      </c>
      <c r="AA47" s="200"/>
      <c r="AB47" s="200">
        <v>70966</v>
      </c>
      <c r="AC47" s="200"/>
      <c r="AD47" s="200" t="s">
        <v>1058</v>
      </c>
      <c r="AE47" s="200" t="s">
        <v>1059</v>
      </c>
      <c r="AF47" s="198" t="s">
        <v>284</v>
      </c>
      <c r="AG47" s="200"/>
      <c r="AH47" s="198" t="s">
        <v>1060</v>
      </c>
      <c r="AI47" s="200">
        <v>0</v>
      </c>
      <c r="AJ47" s="200">
        <v>0</v>
      </c>
      <c r="AK47" s="205">
        <f>+VLOOKUP($C47,'[22]Asset Addition Form'!$C:$K,3,FALSE)</f>
        <v>3705</v>
      </c>
      <c r="AL47" s="387" t="s">
        <v>2347</v>
      </c>
      <c r="AM47" s="205">
        <f t="shared" si="3"/>
        <v>5</v>
      </c>
      <c r="AN47" s="205">
        <f t="shared" si="4"/>
        <v>2021</v>
      </c>
      <c r="AO47" s="205">
        <f t="shared" si="5"/>
        <v>2026</v>
      </c>
      <c r="AP47" s="206">
        <f t="shared" si="6"/>
        <v>2026.4166666666667</v>
      </c>
      <c r="AQ47" s="207">
        <f t="shared" si="7"/>
        <v>13.204500000000001</v>
      </c>
      <c r="AR47" s="207">
        <f t="shared" si="8"/>
        <v>158.45400000000001</v>
      </c>
      <c r="AS47" s="207">
        <f t="shared" si="9"/>
        <v>158.45400000000001</v>
      </c>
      <c r="AT47" s="208">
        <f t="shared" si="1"/>
        <v>0</v>
      </c>
      <c r="AU47" s="207">
        <f t="shared" si="10"/>
        <v>158.45400000000001</v>
      </c>
      <c r="AV47" s="208">
        <f t="shared" si="2"/>
        <v>633.81600000000003</v>
      </c>
    </row>
    <row r="48" spans="1:48" s="205" customFormat="1" ht="15">
      <c r="A48" s="197"/>
      <c r="B48" s="198">
        <v>2183</v>
      </c>
      <c r="C48" s="199">
        <v>259120</v>
      </c>
      <c r="D48" s="198">
        <v>249940</v>
      </c>
      <c r="E48" s="200" t="s">
        <v>1121</v>
      </c>
      <c r="F48" s="198"/>
      <c r="G48" s="200"/>
      <c r="H48" s="200"/>
      <c r="I48" s="200"/>
      <c r="J48" s="200">
        <v>0</v>
      </c>
      <c r="K48" s="200" t="s">
        <v>1120</v>
      </c>
      <c r="L48" s="200"/>
      <c r="M48" s="200" t="s">
        <v>1108</v>
      </c>
      <c r="N48" s="201">
        <v>44288</v>
      </c>
      <c r="O48" s="201">
        <v>44288</v>
      </c>
      <c r="P48" s="200" t="s">
        <v>1122</v>
      </c>
      <c r="Q48" s="198">
        <v>500</v>
      </c>
      <c r="R48" s="198">
        <v>14040</v>
      </c>
      <c r="S48" s="202">
        <v>792.27</v>
      </c>
      <c r="T48" s="198">
        <v>14046</v>
      </c>
      <c r="U48" s="202">
        <v>105.64</v>
      </c>
      <c r="V48" s="202">
        <f t="shared" si="0"/>
        <v>686.63</v>
      </c>
      <c r="W48" s="203">
        <v>105.64</v>
      </c>
      <c r="X48" s="198">
        <v>51260</v>
      </c>
      <c r="Y48" s="202">
        <v>13.21</v>
      </c>
      <c r="Z48" s="200" t="s">
        <v>1053</v>
      </c>
      <c r="AA48" s="200"/>
      <c r="AB48" s="200">
        <v>70965</v>
      </c>
      <c r="AC48" s="200"/>
      <c r="AD48" s="200" t="s">
        <v>1058</v>
      </c>
      <c r="AE48" s="200" t="s">
        <v>1059</v>
      </c>
      <c r="AF48" s="198" t="s">
        <v>284</v>
      </c>
      <c r="AG48" s="200"/>
      <c r="AH48" s="198" t="s">
        <v>1060</v>
      </c>
      <c r="AI48" s="200">
        <v>0</v>
      </c>
      <c r="AJ48" s="200">
        <v>0</v>
      </c>
      <c r="AK48" s="205">
        <f>+VLOOKUP($C48,'[22]Asset Addition Form'!$C:$K,3,FALSE)</f>
        <v>3704</v>
      </c>
      <c r="AL48" s="387" t="s">
        <v>2347</v>
      </c>
      <c r="AM48" s="205">
        <f t="shared" si="3"/>
        <v>4</v>
      </c>
      <c r="AN48" s="205">
        <f t="shared" si="4"/>
        <v>2021</v>
      </c>
      <c r="AO48" s="205">
        <f t="shared" si="5"/>
        <v>2026</v>
      </c>
      <c r="AP48" s="206">
        <f t="shared" si="6"/>
        <v>2026.3333333333333</v>
      </c>
      <c r="AQ48" s="207">
        <f t="shared" si="7"/>
        <v>13.204500000000001</v>
      </c>
      <c r="AR48" s="207">
        <f t="shared" si="8"/>
        <v>158.45400000000001</v>
      </c>
      <c r="AS48" s="207">
        <f t="shared" si="9"/>
        <v>158.45400000000001</v>
      </c>
      <c r="AT48" s="208">
        <f t="shared" si="1"/>
        <v>0</v>
      </c>
      <c r="AU48" s="207">
        <f t="shared" si="10"/>
        <v>158.45400000000001</v>
      </c>
      <c r="AV48" s="208">
        <f t="shared" si="2"/>
        <v>633.81600000000003</v>
      </c>
    </row>
    <row r="49" spans="1:48" s="205" customFormat="1" ht="15">
      <c r="A49" s="197"/>
      <c r="B49" s="198">
        <v>2183</v>
      </c>
      <c r="C49" s="199">
        <v>258547</v>
      </c>
      <c r="D49" s="198">
        <v>251931</v>
      </c>
      <c r="E49" s="200" t="s">
        <v>1123</v>
      </c>
      <c r="F49" s="198"/>
      <c r="G49" s="200"/>
      <c r="H49" s="200"/>
      <c r="I49" s="200"/>
      <c r="J49" s="200">
        <v>0</v>
      </c>
      <c r="K49" s="200"/>
      <c r="L49" s="200"/>
      <c r="M49" s="200" t="s">
        <v>1108</v>
      </c>
      <c r="N49" s="201">
        <v>44317</v>
      </c>
      <c r="O49" s="201">
        <v>44317</v>
      </c>
      <c r="P49" s="200" t="s">
        <v>1124</v>
      </c>
      <c r="Q49" s="198">
        <v>1000</v>
      </c>
      <c r="R49" s="198">
        <v>14040</v>
      </c>
      <c r="S49" s="202">
        <v>471.74</v>
      </c>
      <c r="T49" s="198">
        <v>14046</v>
      </c>
      <c r="U49" s="202">
        <v>27.52</v>
      </c>
      <c r="V49" s="202">
        <f t="shared" si="0"/>
        <v>444.22</v>
      </c>
      <c r="W49" s="203">
        <v>27.52</v>
      </c>
      <c r="X49" s="198">
        <v>51260</v>
      </c>
      <c r="Y49" s="202">
        <v>3.93</v>
      </c>
      <c r="Z49" s="200" t="s">
        <v>1053</v>
      </c>
      <c r="AA49" s="200"/>
      <c r="AB49" s="200"/>
      <c r="AC49" s="200"/>
      <c r="AD49" s="200" t="s">
        <v>1058</v>
      </c>
      <c r="AE49" s="200" t="s">
        <v>1059</v>
      </c>
      <c r="AF49" s="198" t="s">
        <v>284</v>
      </c>
      <c r="AG49" s="200"/>
      <c r="AH49" s="198" t="s">
        <v>1060</v>
      </c>
      <c r="AI49" s="200">
        <v>0</v>
      </c>
      <c r="AJ49" s="200">
        <v>0</v>
      </c>
      <c r="AK49" s="205">
        <f>+VLOOKUP($C49,'[22]Asset Addition Form'!$C:$K,3,FALSE)</f>
        <v>3705</v>
      </c>
      <c r="AL49" s="387" t="s">
        <v>2347</v>
      </c>
      <c r="AM49" s="205">
        <f t="shared" si="3"/>
        <v>5</v>
      </c>
      <c r="AN49" s="205">
        <f t="shared" si="4"/>
        <v>2021</v>
      </c>
      <c r="AO49" s="205">
        <f t="shared" si="5"/>
        <v>2031</v>
      </c>
      <c r="AP49" s="206">
        <f t="shared" si="6"/>
        <v>2031.4166666666667</v>
      </c>
      <c r="AQ49" s="207">
        <f t="shared" si="7"/>
        <v>3.9311666666666665</v>
      </c>
      <c r="AR49" s="207">
        <f t="shared" si="8"/>
        <v>47.173999999999999</v>
      </c>
      <c r="AS49" s="207">
        <f t="shared" si="9"/>
        <v>47.173999999999999</v>
      </c>
      <c r="AT49" s="208">
        <f t="shared" si="1"/>
        <v>0</v>
      </c>
      <c r="AU49" s="207">
        <f t="shared" si="10"/>
        <v>47.173999999999999</v>
      </c>
      <c r="AV49" s="208">
        <f t="shared" si="2"/>
        <v>424.56600000000003</v>
      </c>
    </row>
    <row r="50" spans="1:48" s="205" customFormat="1" ht="15">
      <c r="A50" s="197"/>
      <c r="B50" s="198">
        <v>2183</v>
      </c>
      <c r="C50" s="199">
        <v>257735</v>
      </c>
      <c r="D50" s="198" t="s">
        <v>1053</v>
      </c>
      <c r="E50" s="200" t="s">
        <v>1125</v>
      </c>
      <c r="F50" s="198"/>
      <c r="G50" s="200"/>
      <c r="H50" s="200"/>
      <c r="I50" s="200"/>
      <c r="J50" s="200">
        <v>0</v>
      </c>
      <c r="K50" s="200"/>
      <c r="L50" s="200"/>
      <c r="M50" s="200"/>
      <c r="N50" s="201">
        <v>44439</v>
      </c>
      <c r="O50" s="201">
        <v>44439</v>
      </c>
      <c r="P50" s="200" t="s">
        <v>943</v>
      </c>
      <c r="Q50" s="198">
        <v>2000</v>
      </c>
      <c r="R50" s="198">
        <v>14080</v>
      </c>
      <c r="S50" s="202">
        <v>82386.27</v>
      </c>
      <c r="T50" s="198">
        <v>14086</v>
      </c>
      <c r="U50" s="202">
        <v>1029.83</v>
      </c>
      <c r="V50" s="202">
        <f t="shared" si="0"/>
        <v>81356.44</v>
      </c>
      <c r="W50" s="203">
        <v>1029.83</v>
      </c>
      <c r="X50" s="198">
        <v>57260</v>
      </c>
      <c r="Y50" s="202">
        <v>343.27</v>
      </c>
      <c r="Z50" s="200" t="s">
        <v>1053</v>
      </c>
      <c r="AA50" s="200"/>
      <c r="AB50" s="200"/>
      <c r="AC50" s="200"/>
      <c r="AD50" s="200" t="s">
        <v>1058</v>
      </c>
      <c r="AE50" s="200" t="s">
        <v>1059</v>
      </c>
      <c r="AF50" s="198" t="s">
        <v>284</v>
      </c>
      <c r="AG50" s="200"/>
      <c r="AH50" s="198" t="s">
        <v>1060</v>
      </c>
      <c r="AI50" s="200">
        <v>0</v>
      </c>
      <c r="AJ50" s="200">
        <v>0</v>
      </c>
      <c r="AL50" s="205" t="s">
        <v>138</v>
      </c>
      <c r="AM50" s="205">
        <f t="shared" si="3"/>
        <v>8</v>
      </c>
      <c r="AN50" s="205">
        <f t="shared" si="4"/>
        <v>2021</v>
      </c>
      <c r="AO50" s="205">
        <f t="shared" si="5"/>
        <v>2041</v>
      </c>
      <c r="AP50" s="206">
        <f t="shared" si="6"/>
        <v>2041.6666666666667</v>
      </c>
      <c r="AQ50" s="207">
        <f t="shared" si="7"/>
        <v>343.27612500000004</v>
      </c>
      <c r="AR50" s="207">
        <f t="shared" si="8"/>
        <v>4119.3135000000002</v>
      </c>
      <c r="AS50" s="207">
        <f t="shared" si="9"/>
        <v>4119.3135000000002</v>
      </c>
      <c r="AT50" s="208">
        <f t="shared" si="1"/>
        <v>0</v>
      </c>
      <c r="AU50" s="207">
        <f t="shared" si="10"/>
        <v>4119.3135000000002</v>
      </c>
      <c r="AV50" s="208">
        <f t="shared" si="2"/>
        <v>78266.9565</v>
      </c>
    </row>
    <row r="51" spans="1:48" s="205" customFormat="1" ht="15">
      <c r="A51" s="197"/>
      <c r="B51" s="198">
        <v>2183</v>
      </c>
      <c r="C51" s="199">
        <v>257734</v>
      </c>
      <c r="D51" s="198" t="s">
        <v>1053</v>
      </c>
      <c r="E51" s="200" t="s">
        <v>1126</v>
      </c>
      <c r="F51" s="198"/>
      <c r="G51" s="200"/>
      <c r="H51" s="200"/>
      <c r="I51" s="200"/>
      <c r="J51" s="200">
        <v>0</v>
      </c>
      <c r="K51" s="200"/>
      <c r="L51" s="200"/>
      <c r="M51" s="200"/>
      <c r="N51" s="201">
        <v>44439</v>
      </c>
      <c r="O51" s="201">
        <v>44439</v>
      </c>
      <c r="P51" s="200" t="s">
        <v>942</v>
      </c>
      <c r="Q51" s="198">
        <v>2000</v>
      </c>
      <c r="R51" s="198">
        <v>14080</v>
      </c>
      <c r="S51" s="202">
        <v>72541.67</v>
      </c>
      <c r="T51" s="198">
        <v>14086</v>
      </c>
      <c r="U51" s="202">
        <v>906.77</v>
      </c>
      <c r="V51" s="202">
        <f t="shared" si="0"/>
        <v>71634.899999999994</v>
      </c>
      <c r="W51" s="203">
        <v>906.77</v>
      </c>
      <c r="X51" s="198">
        <v>57260</v>
      </c>
      <c r="Y51" s="202">
        <v>302.25</v>
      </c>
      <c r="Z51" s="200" t="s">
        <v>1053</v>
      </c>
      <c r="AA51" s="200"/>
      <c r="AB51" s="200"/>
      <c r="AC51" s="200"/>
      <c r="AD51" s="200" t="s">
        <v>1058</v>
      </c>
      <c r="AE51" s="200" t="s">
        <v>1059</v>
      </c>
      <c r="AF51" s="198" t="s">
        <v>284</v>
      </c>
      <c r="AG51" s="200"/>
      <c r="AH51" s="198" t="s">
        <v>1060</v>
      </c>
      <c r="AI51" s="200">
        <v>0</v>
      </c>
      <c r="AJ51" s="200">
        <v>0</v>
      </c>
      <c r="AL51" s="205" t="s">
        <v>138</v>
      </c>
      <c r="AM51" s="205">
        <f t="shared" si="3"/>
        <v>8</v>
      </c>
      <c r="AN51" s="205">
        <f t="shared" si="4"/>
        <v>2021</v>
      </c>
      <c r="AO51" s="205">
        <f t="shared" si="5"/>
        <v>2041</v>
      </c>
      <c r="AP51" s="206">
        <f t="shared" si="6"/>
        <v>2041.6666666666667</v>
      </c>
      <c r="AQ51" s="207">
        <f t="shared" si="7"/>
        <v>302.25695833333333</v>
      </c>
      <c r="AR51" s="207">
        <f t="shared" si="8"/>
        <v>3627.0834999999997</v>
      </c>
      <c r="AS51" s="207">
        <f t="shared" si="9"/>
        <v>3627.0834999999997</v>
      </c>
      <c r="AT51" s="208">
        <f t="shared" si="1"/>
        <v>0</v>
      </c>
      <c r="AU51" s="207">
        <f t="shared" si="10"/>
        <v>3627.0834999999997</v>
      </c>
      <c r="AV51" s="208">
        <f t="shared" si="2"/>
        <v>68914.586500000005</v>
      </c>
    </row>
    <row r="52" spans="1:48" s="205" customFormat="1" ht="15">
      <c r="A52" s="197"/>
      <c r="B52" s="198">
        <v>2183</v>
      </c>
      <c r="C52" s="199">
        <v>257733</v>
      </c>
      <c r="D52" s="198" t="s">
        <v>1053</v>
      </c>
      <c r="E52" s="200" t="s">
        <v>1071</v>
      </c>
      <c r="F52" s="198"/>
      <c r="G52" s="200"/>
      <c r="H52" s="200"/>
      <c r="I52" s="200"/>
      <c r="J52" s="200">
        <v>0</v>
      </c>
      <c r="K52" s="200"/>
      <c r="L52" s="200"/>
      <c r="M52" s="200"/>
      <c r="N52" s="201">
        <v>44439</v>
      </c>
      <c r="O52" s="201">
        <v>44439</v>
      </c>
      <c r="P52" s="200" t="s">
        <v>941</v>
      </c>
      <c r="Q52" s="198">
        <v>2000</v>
      </c>
      <c r="R52" s="198">
        <v>14080</v>
      </c>
      <c r="S52" s="202">
        <v>20782.810000000001</v>
      </c>
      <c r="T52" s="198">
        <v>14086</v>
      </c>
      <c r="U52" s="202">
        <v>259.79000000000002</v>
      </c>
      <c r="V52" s="202">
        <f t="shared" si="0"/>
        <v>20523.02</v>
      </c>
      <c r="W52" s="203">
        <v>259.79000000000002</v>
      </c>
      <c r="X52" s="198">
        <v>57260</v>
      </c>
      <c r="Y52" s="202">
        <v>86.6</v>
      </c>
      <c r="Z52" s="200" t="s">
        <v>1053</v>
      </c>
      <c r="AA52" s="200"/>
      <c r="AB52" s="200"/>
      <c r="AC52" s="200"/>
      <c r="AD52" s="200" t="s">
        <v>1058</v>
      </c>
      <c r="AE52" s="200" t="s">
        <v>1059</v>
      </c>
      <c r="AF52" s="198" t="s">
        <v>284</v>
      </c>
      <c r="AG52" s="200"/>
      <c r="AH52" s="198" t="s">
        <v>1060</v>
      </c>
      <c r="AI52" s="200">
        <v>0</v>
      </c>
      <c r="AJ52" s="200">
        <v>0</v>
      </c>
      <c r="AL52" s="205" t="s">
        <v>138</v>
      </c>
      <c r="AM52" s="205">
        <f t="shared" si="3"/>
        <v>8</v>
      </c>
      <c r="AN52" s="205">
        <f t="shared" si="4"/>
        <v>2021</v>
      </c>
      <c r="AO52" s="205">
        <f t="shared" si="5"/>
        <v>2041</v>
      </c>
      <c r="AP52" s="206">
        <f t="shared" si="6"/>
        <v>2041.6666666666667</v>
      </c>
      <c r="AQ52" s="207">
        <f t="shared" si="7"/>
        <v>86.59504166666666</v>
      </c>
      <c r="AR52" s="207">
        <f t="shared" si="8"/>
        <v>1039.1405</v>
      </c>
      <c r="AS52" s="207">
        <f t="shared" si="9"/>
        <v>1039.1405</v>
      </c>
      <c r="AT52" s="208">
        <f t="shared" si="1"/>
        <v>0</v>
      </c>
      <c r="AU52" s="207">
        <f t="shared" si="10"/>
        <v>1039.1405</v>
      </c>
      <c r="AV52" s="208">
        <f t="shared" si="2"/>
        <v>19743.6695</v>
      </c>
    </row>
    <row r="53" spans="1:48" s="205" customFormat="1" ht="15">
      <c r="A53" s="197"/>
      <c r="B53" s="198">
        <v>2183</v>
      </c>
      <c r="C53" s="199">
        <v>257732</v>
      </c>
      <c r="D53" s="198" t="s">
        <v>1053</v>
      </c>
      <c r="E53" s="200" t="s">
        <v>1127</v>
      </c>
      <c r="F53" s="198"/>
      <c r="G53" s="200"/>
      <c r="H53" s="200"/>
      <c r="I53" s="200"/>
      <c r="J53" s="200">
        <v>0</v>
      </c>
      <c r="K53" s="200"/>
      <c r="L53" s="200"/>
      <c r="M53" s="200"/>
      <c r="N53" s="201">
        <v>44439</v>
      </c>
      <c r="O53" s="201">
        <v>44439</v>
      </c>
      <c r="P53" s="200" t="s">
        <v>940</v>
      </c>
      <c r="Q53" s="198">
        <v>2000</v>
      </c>
      <c r="R53" s="198">
        <v>14080</v>
      </c>
      <c r="S53" s="202">
        <v>43504.53</v>
      </c>
      <c r="T53" s="198">
        <v>14086</v>
      </c>
      <c r="U53" s="202">
        <v>543.80999999999995</v>
      </c>
      <c r="V53" s="202">
        <f t="shared" si="0"/>
        <v>42960.72</v>
      </c>
      <c r="W53" s="203">
        <v>543.80999999999995</v>
      </c>
      <c r="X53" s="198">
        <v>57260</v>
      </c>
      <c r="Y53" s="202">
        <v>181.27</v>
      </c>
      <c r="Z53" s="200" t="s">
        <v>1053</v>
      </c>
      <c r="AA53" s="200"/>
      <c r="AB53" s="200"/>
      <c r="AC53" s="200"/>
      <c r="AD53" s="200" t="s">
        <v>1058</v>
      </c>
      <c r="AE53" s="200" t="s">
        <v>1059</v>
      </c>
      <c r="AF53" s="198" t="s">
        <v>284</v>
      </c>
      <c r="AG53" s="200"/>
      <c r="AH53" s="198" t="s">
        <v>1060</v>
      </c>
      <c r="AI53" s="200">
        <v>0</v>
      </c>
      <c r="AJ53" s="200">
        <v>0</v>
      </c>
      <c r="AL53" s="205" t="s">
        <v>138</v>
      </c>
      <c r="AM53" s="205">
        <f t="shared" si="3"/>
        <v>8</v>
      </c>
      <c r="AN53" s="205">
        <f t="shared" si="4"/>
        <v>2021</v>
      </c>
      <c r="AO53" s="205">
        <f t="shared" si="5"/>
        <v>2041</v>
      </c>
      <c r="AP53" s="206">
        <f t="shared" si="6"/>
        <v>2041.6666666666667</v>
      </c>
      <c r="AQ53" s="207">
        <f t="shared" si="7"/>
        <v>181.26887499999998</v>
      </c>
      <c r="AR53" s="207">
        <f t="shared" si="8"/>
        <v>2175.2264999999998</v>
      </c>
      <c r="AS53" s="207">
        <f t="shared" si="9"/>
        <v>2175.2264999999998</v>
      </c>
      <c r="AT53" s="208">
        <f t="shared" si="1"/>
        <v>0</v>
      </c>
      <c r="AU53" s="207">
        <f t="shared" si="10"/>
        <v>2175.2264999999998</v>
      </c>
      <c r="AV53" s="208">
        <f t="shared" si="2"/>
        <v>41329.303500000002</v>
      </c>
    </row>
    <row r="54" spans="1:48" s="205" customFormat="1" ht="15">
      <c r="A54" s="197"/>
      <c r="B54" s="198">
        <v>2183</v>
      </c>
      <c r="C54" s="199">
        <v>257731</v>
      </c>
      <c r="D54" s="198" t="s">
        <v>1053</v>
      </c>
      <c r="E54" s="200" t="s">
        <v>1071</v>
      </c>
      <c r="F54" s="198"/>
      <c r="G54" s="200"/>
      <c r="H54" s="200"/>
      <c r="I54" s="200"/>
      <c r="J54" s="200">
        <v>0</v>
      </c>
      <c r="K54" s="200"/>
      <c r="L54" s="200"/>
      <c r="M54" s="200"/>
      <c r="N54" s="201">
        <v>44439</v>
      </c>
      <c r="O54" s="201">
        <v>44439</v>
      </c>
      <c r="P54" s="200" t="s">
        <v>944</v>
      </c>
      <c r="Q54" s="198">
        <v>2000</v>
      </c>
      <c r="R54" s="198">
        <v>14080</v>
      </c>
      <c r="S54" s="202">
        <v>612645.63</v>
      </c>
      <c r="T54" s="198">
        <v>14086</v>
      </c>
      <c r="U54" s="202">
        <v>7658.07</v>
      </c>
      <c r="V54" s="202">
        <f t="shared" si="0"/>
        <v>604987.56000000006</v>
      </c>
      <c r="W54" s="203">
        <v>7658.07</v>
      </c>
      <c r="X54" s="198">
        <v>57260</v>
      </c>
      <c r="Y54" s="202">
        <v>2552.69</v>
      </c>
      <c r="Z54" s="200" t="s">
        <v>1053</v>
      </c>
      <c r="AA54" s="200"/>
      <c r="AB54" s="200"/>
      <c r="AC54" s="200"/>
      <c r="AD54" s="200" t="s">
        <v>1058</v>
      </c>
      <c r="AE54" s="200" t="s">
        <v>1059</v>
      </c>
      <c r="AF54" s="198" t="s">
        <v>284</v>
      </c>
      <c r="AG54" s="200"/>
      <c r="AH54" s="198" t="s">
        <v>1060</v>
      </c>
      <c r="AI54" s="200">
        <v>0</v>
      </c>
      <c r="AJ54" s="200">
        <v>0</v>
      </c>
      <c r="AL54" s="205" t="s">
        <v>138</v>
      </c>
      <c r="AM54" s="205">
        <f t="shared" si="3"/>
        <v>8</v>
      </c>
      <c r="AN54" s="205">
        <f t="shared" si="4"/>
        <v>2021</v>
      </c>
      <c r="AO54" s="205">
        <f t="shared" si="5"/>
        <v>2041</v>
      </c>
      <c r="AP54" s="206">
        <f t="shared" si="6"/>
        <v>2041.6666666666667</v>
      </c>
      <c r="AQ54" s="207">
        <f t="shared" si="7"/>
        <v>2552.6901250000001</v>
      </c>
      <c r="AR54" s="207">
        <f t="shared" si="8"/>
        <v>30632.281500000001</v>
      </c>
      <c r="AS54" s="207">
        <f t="shared" si="9"/>
        <v>30632.281500000001</v>
      </c>
      <c r="AT54" s="208">
        <f t="shared" si="1"/>
        <v>0</v>
      </c>
      <c r="AU54" s="207">
        <f t="shared" si="10"/>
        <v>30632.281500000001</v>
      </c>
      <c r="AV54" s="208">
        <f t="shared" si="2"/>
        <v>582013.34849999996</v>
      </c>
    </row>
    <row r="55" spans="1:48" s="205" customFormat="1" ht="15">
      <c r="A55" s="197"/>
      <c r="B55" s="198">
        <v>2183</v>
      </c>
      <c r="C55" s="199">
        <v>257730</v>
      </c>
      <c r="D55" s="198" t="s">
        <v>1053</v>
      </c>
      <c r="E55" s="200" t="s">
        <v>1071</v>
      </c>
      <c r="F55" s="198"/>
      <c r="G55" s="200"/>
      <c r="H55" s="200"/>
      <c r="I55" s="200"/>
      <c r="J55" s="200">
        <v>0</v>
      </c>
      <c r="K55" s="200"/>
      <c r="L55" s="200"/>
      <c r="M55" s="200"/>
      <c r="N55" s="201">
        <v>44439</v>
      </c>
      <c r="O55" s="201">
        <v>44439</v>
      </c>
      <c r="P55" s="200" t="s">
        <v>945</v>
      </c>
      <c r="Q55" s="198">
        <v>2000</v>
      </c>
      <c r="R55" s="198">
        <v>14080</v>
      </c>
      <c r="S55" s="202">
        <v>2795091.88</v>
      </c>
      <c r="T55" s="198">
        <v>14086</v>
      </c>
      <c r="U55" s="202">
        <v>34938.65</v>
      </c>
      <c r="V55" s="202">
        <f t="shared" si="0"/>
        <v>2760153.23</v>
      </c>
      <c r="W55" s="203">
        <v>34938.65</v>
      </c>
      <c r="X55" s="198">
        <v>57260</v>
      </c>
      <c r="Y55" s="202">
        <v>11646.21</v>
      </c>
      <c r="Z55" s="200" t="s">
        <v>1053</v>
      </c>
      <c r="AA55" s="200"/>
      <c r="AB55" s="200"/>
      <c r="AC55" s="200"/>
      <c r="AD55" s="200" t="s">
        <v>1058</v>
      </c>
      <c r="AE55" s="200" t="s">
        <v>1059</v>
      </c>
      <c r="AF55" s="198" t="s">
        <v>284</v>
      </c>
      <c r="AG55" s="200"/>
      <c r="AH55" s="198" t="s">
        <v>1060</v>
      </c>
      <c r="AI55" s="200">
        <v>0</v>
      </c>
      <c r="AJ55" s="200">
        <v>0</v>
      </c>
      <c r="AL55" s="205" t="s">
        <v>138</v>
      </c>
      <c r="AM55" s="205">
        <f t="shared" si="3"/>
        <v>8</v>
      </c>
      <c r="AN55" s="205">
        <f t="shared" si="4"/>
        <v>2021</v>
      </c>
      <c r="AO55" s="205">
        <f t="shared" si="5"/>
        <v>2041</v>
      </c>
      <c r="AP55" s="206">
        <f t="shared" si="6"/>
        <v>2041.6666666666667</v>
      </c>
      <c r="AQ55" s="207">
        <f t="shared" si="7"/>
        <v>11646.216166666665</v>
      </c>
      <c r="AR55" s="207">
        <f t="shared" si="8"/>
        <v>139754.59399999998</v>
      </c>
      <c r="AS55" s="207">
        <f t="shared" si="9"/>
        <v>139754.59399999998</v>
      </c>
      <c r="AT55" s="208">
        <f t="shared" si="1"/>
        <v>0</v>
      </c>
      <c r="AU55" s="207">
        <f t="shared" si="10"/>
        <v>139754.59399999998</v>
      </c>
      <c r="AV55" s="208">
        <f t="shared" si="2"/>
        <v>2655337.2859999998</v>
      </c>
    </row>
    <row r="56" spans="1:48" s="205" customFormat="1" ht="15">
      <c r="A56" s="197"/>
      <c r="B56" s="198">
        <v>2183</v>
      </c>
      <c r="C56" s="199">
        <v>257146</v>
      </c>
      <c r="D56" s="198" t="s">
        <v>1053</v>
      </c>
      <c r="E56" s="200" t="s">
        <v>1128</v>
      </c>
      <c r="F56" s="198">
        <v>57</v>
      </c>
      <c r="G56" s="200"/>
      <c r="H56" s="200"/>
      <c r="I56" s="200"/>
      <c r="J56" s="200">
        <v>0</v>
      </c>
      <c r="K56" s="200"/>
      <c r="L56" s="200"/>
      <c r="M56" s="200" t="s">
        <v>1129</v>
      </c>
      <c r="N56" s="201">
        <v>37196</v>
      </c>
      <c r="O56" s="201">
        <v>37196</v>
      </c>
      <c r="P56" s="200"/>
      <c r="Q56" s="198">
        <v>600</v>
      </c>
      <c r="R56" s="198">
        <v>14050</v>
      </c>
      <c r="S56" s="202">
        <v>1136.3699999999999</v>
      </c>
      <c r="T56" s="198">
        <v>14056</v>
      </c>
      <c r="U56" s="202">
        <v>1136.3699999999999</v>
      </c>
      <c r="V56" s="202">
        <f t="shared" si="0"/>
        <v>0</v>
      </c>
      <c r="W56" s="203">
        <v>0</v>
      </c>
      <c r="X56" s="198">
        <v>54260</v>
      </c>
      <c r="Y56" s="202">
        <v>0</v>
      </c>
      <c r="Z56" s="200" t="s">
        <v>1059</v>
      </c>
      <c r="AA56" s="200" t="s">
        <v>1130</v>
      </c>
      <c r="AB56" s="200"/>
      <c r="AC56" s="200"/>
      <c r="AD56" s="200" t="s">
        <v>1058</v>
      </c>
      <c r="AE56" s="200" t="s">
        <v>1059</v>
      </c>
      <c r="AF56" s="198" t="s">
        <v>284</v>
      </c>
      <c r="AG56" s="204">
        <v>44408</v>
      </c>
      <c r="AH56" s="198" t="s">
        <v>1060</v>
      </c>
      <c r="AI56" s="200">
        <v>0</v>
      </c>
      <c r="AJ56" s="200">
        <v>1136.3699999999999</v>
      </c>
      <c r="AL56" s="205" t="s">
        <v>933</v>
      </c>
      <c r="AM56" s="205">
        <f t="shared" si="3"/>
        <v>11</v>
      </c>
      <c r="AN56" s="205">
        <f t="shared" si="4"/>
        <v>2001</v>
      </c>
      <c r="AO56" s="205">
        <f t="shared" si="5"/>
        <v>2007</v>
      </c>
      <c r="AP56" s="206">
        <f t="shared" si="6"/>
        <v>2007.9166666666667</v>
      </c>
      <c r="AQ56" s="207">
        <f t="shared" si="7"/>
        <v>15.782916666666665</v>
      </c>
      <c r="AR56" s="207">
        <f t="shared" si="8"/>
        <v>189.39499999999998</v>
      </c>
      <c r="AS56" s="207">
        <f t="shared" si="9"/>
        <v>0</v>
      </c>
      <c r="AT56" s="208">
        <f t="shared" si="1"/>
        <v>1136.3699999999999</v>
      </c>
      <c r="AU56" s="207">
        <f t="shared" si="10"/>
        <v>1136.3699999999999</v>
      </c>
      <c r="AV56" s="208">
        <f t="shared" si="2"/>
        <v>0</v>
      </c>
    </row>
    <row r="57" spans="1:48" s="205" customFormat="1" ht="15">
      <c r="A57" s="197"/>
      <c r="B57" s="198">
        <v>2183</v>
      </c>
      <c r="C57" s="199">
        <v>257145</v>
      </c>
      <c r="D57" s="198" t="s">
        <v>1053</v>
      </c>
      <c r="E57" s="200" t="s">
        <v>1131</v>
      </c>
      <c r="F57" s="198">
        <v>1</v>
      </c>
      <c r="G57" s="200"/>
      <c r="H57" s="200">
        <v>0</v>
      </c>
      <c r="I57" s="200"/>
      <c r="J57" s="200">
        <v>0</v>
      </c>
      <c r="K57" s="200" t="s">
        <v>1132</v>
      </c>
      <c r="L57" s="200"/>
      <c r="M57" s="200" t="s">
        <v>1133</v>
      </c>
      <c r="N57" s="201">
        <v>38953</v>
      </c>
      <c r="O57" s="201">
        <v>38953</v>
      </c>
      <c r="P57" s="200" t="s">
        <v>1134</v>
      </c>
      <c r="Q57" s="198">
        <v>1200</v>
      </c>
      <c r="R57" s="198">
        <v>14050</v>
      </c>
      <c r="S57" s="202">
        <v>451.52</v>
      </c>
      <c r="T57" s="198">
        <v>14056</v>
      </c>
      <c r="U57" s="202">
        <v>451.52</v>
      </c>
      <c r="V57" s="202">
        <f t="shared" si="0"/>
        <v>0</v>
      </c>
      <c r="W57" s="203">
        <v>0</v>
      </c>
      <c r="X57" s="198">
        <v>54260</v>
      </c>
      <c r="Y57" s="202">
        <v>0</v>
      </c>
      <c r="Z57" s="200" t="s">
        <v>1053</v>
      </c>
      <c r="AA57" s="200"/>
      <c r="AB57" s="200">
        <v>14574</v>
      </c>
      <c r="AC57" s="200"/>
      <c r="AD57" s="200" t="s">
        <v>1058</v>
      </c>
      <c r="AE57" s="200" t="s">
        <v>1059</v>
      </c>
      <c r="AF57" s="198" t="s">
        <v>284</v>
      </c>
      <c r="AG57" s="204">
        <v>44408</v>
      </c>
      <c r="AH57" s="198" t="s">
        <v>1060</v>
      </c>
      <c r="AI57" s="200">
        <v>0</v>
      </c>
      <c r="AJ57" s="200">
        <v>451.52</v>
      </c>
      <c r="AL57" s="205" t="s">
        <v>933</v>
      </c>
      <c r="AM57" s="205">
        <f t="shared" si="3"/>
        <v>8</v>
      </c>
      <c r="AN57" s="205">
        <f t="shared" si="4"/>
        <v>2006</v>
      </c>
      <c r="AO57" s="205">
        <f t="shared" si="5"/>
        <v>2018</v>
      </c>
      <c r="AP57" s="206">
        <f t="shared" si="6"/>
        <v>2018.6666666666667</v>
      </c>
      <c r="AQ57" s="207">
        <f t="shared" si="7"/>
        <v>3.1355555555555554</v>
      </c>
      <c r="AR57" s="207">
        <f t="shared" si="8"/>
        <v>37.626666666666665</v>
      </c>
      <c r="AS57" s="207">
        <f t="shared" si="9"/>
        <v>0</v>
      </c>
      <c r="AT57" s="208">
        <f t="shared" si="1"/>
        <v>451.52</v>
      </c>
      <c r="AU57" s="207">
        <f t="shared" si="10"/>
        <v>451.52</v>
      </c>
      <c r="AV57" s="208">
        <f t="shared" si="2"/>
        <v>0</v>
      </c>
    </row>
    <row r="58" spans="1:48" s="205" customFormat="1" ht="15">
      <c r="A58" s="197"/>
      <c r="B58" s="198">
        <v>2183</v>
      </c>
      <c r="C58" s="199">
        <v>257144</v>
      </c>
      <c r="D58" s="198" t="s">
        <v>1053</v>
      </c>
      <c r="E58" s="200" t="s">
        <v>1135</v>
      </c>
      <c r="F58" s="198">
        <v>3</v>
      </c>
      <c r="G58" s="200"/>
      <c r="H58" s="200">
        <v>0</v>
      </c>
      <c r="I58" s="200"/>
      <c r="J58" s="200">
        <v>0</v>
      </c>
      <c r="K58" s="200" t="s">
        <v>1132</v>
      </c>
      <c r="L58" s="200"/>
      <c r="M58" s="200" t="s">
        <v>1136</v>
      </c>
      <c r="N58" s="201">
        <v>39310</v>
      </c>
      <c r="O58" s="201">
        <v>39310</v>
      </c>
      <c r="P58" s="200" t="s">
        <v>1137</v>
      </c>
      <c r="Q58" s="198">
        <v>1200</v>
      </c>
      <c r="R58" s="198">
        <v>14050</v>
      </c>
      <c r="S58" s="202">
        <v>1421.15</v>
      </c>
      <c r="T58" s="198">
        <v>14056</v>
      </c>
      <c r="U58" s="202">
        <v>1421.15</v>
      </c>
      <c r="V58" s="202">
        <f t="shared" si="0"/>
        <v>0</v>
      </c>
      <c r="W58" s="203">
        <v>0</v>
      </c>
      <c r="X58" s="198">
        <v>54260</v>
      </c>
      <c r="Y58" s="202">
        <v>0</v>
      </c>
      <c r="Z58" s="200" t="s">
        <v>1053</v>
      </c>
      <c r="AA58" s="200"/>
      <c r="AB58" s="200">
        <v>25786</v>
      </c>
      <c r="AC58" s="200"/>
      <c r="AD58" s="200" t="s">
        <v>1058</v>
      </c>
      <c r="AE58" s="200" t="s">
        <v>1059</v>
      </c>
      <c r="AF58" s="198" t="s">
        <v>284</v>
      </c>
      <c r="AG58" s="204">
        <v>44408</v>
      </c>
      <c r="AH58" s="198" t="s">
        <v>1060</v>
      </c>
      <c r="AI58" s="200">
        <v>0</v>
      </c>
      <c r="AJ58" s="200">
        <v>1421.15</v>
      </c>
      <c r="AL58" s="205" t="s">
        <v>933</v>
      </c>
      <c r="AM58" s="205">
        <f t="shared" si="3"/>
        <v>8</v>
      </c>
      <c r="AN58" s="205">
        <f t="shared" si="4"/>
        <v>2007</v>
      </c>
      <c r="AO58" s="205">
        <f t="shared" si="5"/>
        <v>2019</v>
      </c>
      <c r="AP58" s="206">
        <f t="shared" si="6"/>
        <v>2019.6666666666667</v>
      </c>
      <c r="AQ58" s="207">
        <f t="shared" si="7"/>
        <v>9.8690972222222229</v>
      </c>
      <c r="AR58" s="207">
        <f t="shared" si="8"/>
        <v>118.42916666666667</v>
      </c>
      <c r="AS58" s="207">
        <f t="shared" si="9"/>
        <v>0</v>
      </c>
      <c r="AT58" s="208">
        <f t="shared" si="1"/>
        <v>1421.15</v>
      </c>
      <c r="AU58" s="207">
        <f t="shared" si="10"/>
        <v>1421.15</v>
      </c>
      <c r="AV58" s="208">
        <f t="shared" si="2"/>
        <v>0</v>
      </c>
    </row>
    <row r="59" spans="1:48" s="205" customFormat="1" ht="15">
      <c r="A59" s="197"/>
      <c r="B59" s="198">
        <v>2183</v>
      </c>
      <c r="C59" s="199">
        <v>257143</v>
      </c>
      <c r="D59" s="198" t="s">
        <v>1053</v>
      </c>
      <c r="E59" s="200" t="s">
        <v>1138</v>
      </c>
      <c r="F59" s="198">
        <v>11</v>
      </c>
      <c r="G59" s="200"/>
      <c r="H59" s="200"/>
      <c r="I59" s="200"/>
      <c r="J59" s="200">
        <v>0</v>
      </c>
      <c r="K59" s="200"/>
      <c r="L59" s="200"/>
      <c r="M59" s="200" t="s">
        <v>1139</v>
      </c>
      <c r="N59" s="201">
        <v>39755</v>
      </c>
      <c r="O59" s="201">
        <v>39755</v>
      </c>
      <c r="P59" s="200"/>
      <c r="Q59" s="198">
        <v>700</v>
      </c>
      <c r="R59" s="198">
        <v>14050</v>
      </c>
      <c r="S59" s="202">
        <v>528</v>
      </c>
      <c r="T59" s="198">
        <v>14056</v>
      </c>
      <c r="U59" s="202">
        <v>528</v>
      </c>
      <c r="V59" s="202">
        <f t="shared" si="0"/>
        <v>0</v>
      </c>
      <c r="W59" s="203">
        <v>0</v>
      </c>
      <c r="X59" s="198">
        <v>54260</v>
      </c>
      <c r="Y59" s="202">
        <v>0</v>
      </c>
      <c r="Z59" s="200" t="s">
        <v>1059</v>
      </c>
      <c r="AA59" s="200" t="s">
        <v>1140</v>
      </c>
      <c r="AB59" s="200"/>
      <c r="AC59" s="200"/>
      <c r="AD59" s="200" t="s">
        <v>1058</v>
      </c>
      <c r="AE59" s="200" t="s">
        <v>1059</v>
      </c>
      <c r="AF59" s="198" t="s">
        <v>284</v>
      </c>
      <c r="AG59" s="204">
        <v>44408</v>
      </c>
      <c r="AH59" s="198" t="s">
        <v>1060</v>
      </c>
      <c r="AI59" s="200">
        <v>0</v>
      </c>
      <c r="AJ59" s="200">
        <v>528</v>
      </c>
      <c r="AL59" s="205" t="s">
        <v>933</v>
      </c>
      <c r="AM59" s="205">
        <f t="shared" si="3"/>
        <v>11</v>
      </c>
      <c r="AN59" s="205">
        <f t="shared" si="4"/>
        <v>2008</v>
      </c>
      <c r="AO59" s="205">
        <f t="shared" si="5"/>
        <v>2015</v>
      </c>
      <c r="AP59" s="206">
        <f t="shared" si="6"/>
        <v>2015.9166666666667</v>
      </c>
      <c r="AQ59" s="207">
        <f t="shared" si="7"/>
        <v>6.2857142857142856</v>
      </c>
      <c r="AR59" s="207">
        <f t="shared" si="8"/>
        <v>75.428571428571431</v>
      </c>
      <c r="AS59" s="207">
        <f t="shared" si="9"/>
        <v>0</v>
      </c>
      <c r="AT59" s="208">
        <f t="shared" si="1"/>
        <v>528</v>
      </c>
      <c r="AU59" s="207">
        <f t="shared" si="10"/>
        <v>528</v>
      </c>
      <c r="AV59" s="208">
        <f t="shared" si="2"/>
        <v>0</v>
      </c>
    </row>
    <row r="60" spans="1:48" s="205" customFormat="1" ht="15">
      <c r="A60" s="197"/>
      <c r="B60" s="198">
        <v>2183</v>
      </c>
      <c r="C60" s="199">
        <v>257142</v>
      </c>
      <c r="D60" s="198" t="s">
        <v>1053</v>
      </c>
      <c r="E60" s="200" t="s">
        <v>1141</v>
      </c>
      <c r="F60" s="198">
        <v>37</v>
      </c>
      <c r="G60" s="200"/>
      <c r="H60" s="200"/>
      <c r="I60" s="200"/>
      <c r="J60" s="200">
        <v>0</v>
      </c>
      <c r="K60" s="200"/>
      <c r="L60" s="200"/>
      <c r="M60" s="200" t="s">
        <v>1133</v>
      </c>
      <c r="N60" s="201">
        <v>39755</v>
      </c>
      <c r="O60" s="201">
        <v>39755</v>
      </c>
      <c r="P60" s="200"/>
      <c r="Q60" s="198">
        <v>1200</v>
      </c>
      <c r="R60" s="198">
        <v>14050</v>
      </c>
      <c r="S60" s="202">
        <v>4347.5</v>
      </c>
      <c r="T60" s="198">
        <v>14056</v>
      </c>
      <c r="U60" s="202">
        <v>4347.5</v>
      </c>
      <c r="V60" s="202">
        <f t="shared" si="0"/>
        <v>0</v>
      </c>
      <c r="W60" s="203">
        <v>0</v>
      </c>
      <c r="X60" s="198">
        <v>54260</v>
      </c>
      <c r="Y60" s="202">
        <v>0</v>
      </c>
      <c r="Z60" s="200" t="s">
        <v>1059</v>
      </c>
      <c r="AA60" s="200" t="s">
        <v>1140</v>
      </c>
      <c r="AB60" s="200"/>
      <c r="AC60" s="200"/>
      <c r="AD60" s="200" t="s">
        <v>1058</v>
      </c>
      <c r="AE60" s="200" t="s">
        <v>1059</v>
      </c>
      <c r="AF60" s="198" t="s">
        <v>284</v>
      </c>
      <c r="AG60" s="204">
        <v>44408</v>
      </c>
      <c r="AH60" s="198" t="s">
        <v>1060</v>
      </c>
      <c r="AI60" s="200">
        <v>0</v>
      </c>
      <c r="AJ60" s="200">
        <v>4347.5</v>
      </c>
      <c r="AL60" s="205" t="s">
        <v>933</v>
      </c>
      <c r="AM60" s="205">
        <f t="shared" si="3"/>
        <v>11</v>
      </c>
      <c r="AN60" s="205">
        <f t="shared" si="4"/>
        <v>2008</v>
      </c>
      <c r="AO60" s="205">
        <f t="shared" si="5"/>
        <v>2020</v>
      </c>
      <c r="AP60" s="206">
        <f t="shared" si="6"/>
        <v>2020.9166666666667</v>
      </c>
      <c r="AQ60" s="207">
        <f t="shared" si="7"/>
        <v>30.190972222222225</v>
      </c>
      <c r="AR60" s="207">
        <f t="shared" si="8"/>
        <v>362.29166666666669</v>
      </c>
      <c r="AS60" s="207">
        <f t="shared" si="9"/>
        <v>0</v>
      </c>
      <c r="AT60" s="208">
        <f t="shared" si="1"/>
        <v>4347.5</v>
      </c>
      <c r="AU60" s="207">
        <f t="shared" si="10"/>
        <v>4347.5</v>
      </c>
      <c r="AV60" s="208">
        <f t="shared" si="2"/>
        <v>0</v>
      </c>
    </row>
    <row r="61" spans="1:48" s="205" customFormat="1" ht="15">
      <c r="A61" s="197"/>
      <c r="B61" s="198">
        <v>2183</v>
      </c>
      <c r="C61" s="199">
        <v>257141</v>
      </c>
      <c r="D61" s="198" t="s">
        <v>1053</v>
      </c>
      <c r="E61" s="200" t="s">
        <v>1142</v>
      </c>
      <c r="F61" s="198">
        <v>8</v>
      </c>
      <c r="G61" s="200"/>
      <c r="H61" s="200"/>
      <c r="I61" s="200"/>
      <c r="J61" s="200">
        <v>0</v>
      </c>
      <c r="K61" s="200"/>
      <c r="L61" s="200"/>
      <c r="M61" s="200" t="s">
        <v>1143</v>
      </c>
      <c r="N61" s="201">
        <v>39755</v>
      </c>
      <c r="O61" s="201">
        <v>39755</v>
      </c>
      <c r="P61" s="200"/>
      <c r="Q61" s="198">
        <v>1200</v>
      </c>
      <c r="R61" s="198">
        <v>14050</v>
      </c>
      <c r="S61" s="202">
        <v>1480</v>
      </c>
      <c r="T61" s="198">
        <v>14056</v>
      </c>
      <c r="U61" s="202">
        <v>1480</v>
      </c>
      <c r="V61" s="202">
        <f t="shared" si="0"/>
        <v>0</v>
      </c>
      <c r="W61" s="203">
        <v>0</v>
      </c>
      <c r="X61" s="198">
        <v>54260</v>
      </c>
      <c r="Y61" s="202">
        <v>0</v>
      </c>
      <c r="Z61" s="200" t="s">
        <v>1059</v>
      </c>
      <c r="AA61" s="200" t="s">
        <v>1140</v>
      </c>
      <c r="AB61" s="200"/>
      <c r="AC61" s="200"/>
      <c r="AD61" s="200" t="s">
        <v>1058</v>
      </c>
      <c r="AE61" s="200" t="s">
        <v>1059</v>
      </c>
      <c r="AF61" s="198" t="s">
        <v>284</v>
      </c>
      <c r="AG61" s="204">
        <v>44408</v>
      </c>
      <c r="AH61" s="198" t="s">
        <v>1060</v>
      </c>
      <c r="AI61" s="200">
        <v>0</v>
      </c>
      <c r="AJ61" s="200">
        <v>1480</v>
      </c>
      <c r="AL61" s="205" t="s">
        <v>933</v>
      </c>
      <c r="AM61" s="205">
        <f t="shared" si="3"/>
        <v>11</v>
      </c>
      <c r="AN61" s="205">
        <f t="shared" si="4"/>
        <v>2008</v>
      </c>
      <c r="AO61" s="205">
        <f t="shared" si="5"/>
        <v>2020</v>
      </c>
      <c r="AP61" s="206">
        <f t="shared" si="6"/>
        <v>2020.9166666666667</v>
      </c>
      <c r="AQ61" s="207">
        <f t="shared" si="7"/>
        <v>10.277777777777777</v>
      </c>
      <c r="AR61" s="207">
        <f t="shared" si="8"/>
        <v>123.33333333333331</v>
      </c>
      <c r="AS61" s="207">
        <f t="shared" si="9"/>
        <v>0</v>
      </c>
      <c r="AT61" s="208">
        <f t="shared" si="1"/>
        <v>1480</v>
      </c>
      <c r="AU61" s="207">
        <f t="shared" si="10"/>
        <v>1480</v>
      </c>
      <c r="AV61" s="208">
        <f t="shared" si="2"/>
        <v>0</v>
      </c>
    </row>
    <row r="62" spans="1:48" s="205" customFormat="1" ht="15">
      <c r="A62" s="197"/>
      <c r="B62" s="198">
        <v>2183</v>
      </c>
      <c r="C62" s="199">
        <v>257140</v>
      </c>
      <c r="D62" s="198" t="s">
        <v>1053</v>
      </c>
      <c r="E62" s="200" t="s">
        <v>1144</v>
      </c>
      <c r="F62" s="198">
        <v>3</v>
      </c>
      <c r="G62" s="200"/>
      <c r="H62" s="200"/>
      <c r="I62" s="200"/>
      <c r="J62" s="200">
        <v>0</v>
      </c>
      <c r="K62" s="200"/>
      <c r="L62" s="200"/>
      <c r="M62" s="200" t="s">
        <v>1129</v>
      </c>
      <c r="N62" s="201">
        <v>39755</v>
      </c>
      <c r="O62" s="201">
        <v>39755</v>
      </c>
      <c r="P62" s="200"/>
      <c r="Q62" s="198">
        <v>700</v>
      </c>
      <c r="R62" s="198">
        <v>14050</v>
      </c>
      <c r="S62" s="202">
        <v>144</v>
      </c>
      <c r="T62" s="198">
        <v>14056</v>
      </c>
      <c r="U62" s="202">
        <v>144</v>
      </c>
      <c r="V62" s="202">
        <f t="shared" si="0"/>
        <v>0</v>
      </c>
      <c r="W62" s="203">
        <v>0</v>
      </c>
      <c r="X62" s="198">
        <v>54260</v>
      </c>
      <c r="Y62" s="202">
        <v>0</v>
      </c>
      <c r="Z62" s="200" t="s">
        <v>1059</v>
      </c>
      <c r="AA62" s="200" t="s">
        <v>1140</v>
      </c>
      <c r="AB62" s="200"/>
      <c r="AC62" s="200"/>
      <c r="AD62" s="200" t="s">
        <v>1058</v>
      </c>
      <c r="AE62" s="200" t="s">
        <v>1059</v>
      </c>
      <c r="AF62" s="198" t="s">
        <v>284</v>
      </c>
      <c r="AG62" s="204">
        <v>44408</v>
      </c>
      <c r="AH62" s="198" t="s">
        <v>1060</v>
      </c>
      <c r="AI62" s="200">
        <v>0</v>
      </c>
      <c r="AJ62" s="200">
        <v>144</v>
      </c>
      <c r="AL62" s="205" t="s">
        <v>933</v>
      </c>
      <c r="AM62" s="205">
        <f t="shared" si="3"/>
        <v>11</v>
      </c>
      <c r="AN62" s="205">
        <f t="shared" si="4"/>
        <v>2008</v>
      </c>
      <c r="AO62" s="205">
        <f t="shared" si="5"/>
        <v>2015</v>
      </c>
      <c r="AP62" s="206">
        <f t="shared" si="6"/>
        <v>2015.9166666666667</v>
      </c>
      <c r="AQ62" s="207">
        <f t="shared" si="7"/>
        <v>1.7142857142857144</v>
      </c>
      <c r="AR62" s="207">
        <f t="shared" si="8"/>
        <v>20.571428571428573</v>
      </c>
      <c r="AS62" s="207">
        <f t="shared" si="9"/>
        <v>0</v>
      </c>
      <c r="AT62" s="208">
        <f t="shared" si="1"/>
        <v>144</v>
      </c>
      <c r="AU62" s="207">
        <f t="shared" si="10"/>
        <v>144</v>
      </c>
      <c r="AV62" s="208">
        <f t="shared" si="2"/>
        <v>0</v>
      </c>
    </row>
    <row r="63" spans="1:48" s="205" customFormat="1" ht="15">
      <c r="A63" s="197"/>
      <c r="B63" s="198">
        <v>2183</v>
      </c>
      <c r="C63" s="199">
        <v>257139</v>
      </c>
      <c r="D63" s="198" t="s">
        <v>1053</v>
      </c>
      <c r="E63" s="200" t="s">
        <v>906</v>
      </c>
      <c r="F63" s="198">
        <v>5</v>
      </c>
      <c r="G63" s="200"/>
      <c r="H63" s="200"/>
      <c r="I63" s="200"/>
      <c r="J63" s="200">
        <v>0</v>
      </c>
      <c r="K63" s="200"/>
      <c r="L63" s="200"/>
      <c r="M63" s="200" t="s">
        <v>1145</v>
      </c>
      <c r="N63" s="201">
        <v>39755</v>
      </c>
      <c r="O63" s="201">
        <v>39755</v>
      </c>
      <c r="P63" s="200"/>
      <c r="Q63" s="198">
        <v>700</v>
      </c>
      <c r="R63" s="198">
        <v>14050</v>
      </c>
      <c r="S63" s="202">
        <v>701.55</v>
      </c>
      <c r="T63" s="198">
        <v>14056</v>
      </c>
      <c r="U63" s="202">
        <v>701.55</v>
      </c>
      <c r="V63" s="202">
        <f t="shared" si="0"/>
        <v>0</v>
      </c>
      <c r="W63" s="203">
        <v>0</v>
      </c>
      <c r="X63" s="198">
        <v>54260</v>
      </c>
      <c r="Y63" s="202">
        <v>0</v>
      </c>
      <c r="Z63" s="200" t="s">
        <v>1059</v>
      </c>
      <c r="AA63" s="200" t="s">
        <v>1140</v>
      </c>
      <c r="AB63" s="200"/>
      <c r="AC63" s="200"/>
      <c r="AD63" s="200" t="s">
        <v>1058</v>
      </c>
      <c r="AE63" s="200" t="s">
        <v>1059</v>
      </c>
      <c r="AF63" s="198" t="s">
        <v>284</v>
      </c>
      <c r="AG63" s="204">
        <v>44408</v>
      </c>
      <c r="AH63" s="198" t="s">
        <v>1060</v>
      </c>
      <c r="AI63" s="200">
        <v>0</v>
      </c>
      <c r="AJ63" s="200">
        <v>701.55</v>
      </c>
      <c r="AL63" s="205" t="s">
        <v>933</v>
      </c>
      <c r="AM63" s="205">
        <f t="shared" si="3"/>
        <v>11</v>
      </c>
      <c r="AN63" s="205">
        <f t="shared" si="4"/>
        <v>2008</v>
      </c>
      <c r="AO63" s="205">
        <f t="shared" si="5"/>
        <v>2015</v>
      </c>
      <c r="AP63" s="206">
        <f t="shared" si="6"/>
        <v>2015.9166666666667</v>
      </c>
      <c r="AQ63" s="207">
        <f t="shared" si="7"/>
        <v>8.3517857142857128</v>
      </c>
      <c r="AR63" s="207">
        <f t="shared" si="8"/>
        <v>100.22142857142856</v>
      </c>
      <c r="AS63" s="207">
        <f t="shared" si="9"/>
        <v>0</v>
      </c>
      <c r="AT63" s="208">
        <f t="shared" si="1"/>
        <v>701.55</v>
      </c>
      <c r="AU63" s="207">
        <f t="shared" si="10"/>
        <v>701.55</v>
      </c>
      <c r="AV63" s="208">
        <f t="shared" si="2"/>
        <v>0</v>
      </c>
    </row>
    <row r="64" spans="1:48" s="205" customFormat="1" ht="15">
      <c r="A64" s="197"/>
      <c r="B64" s="198">
        <v>2183</v>
      </c>
      <c r="C64" s="199">
        <v>257138</v>
      </c>
      <c r="D64" s="198" t="s">
        <v>1053</v>
      </c>
      <c r="E64" s="200" t="s">
        <v>1144</v>
      </c>
      <c r="F64" s="198">
        <v>6</v>
      </c>
      <c r="G64" s="200"/>
      <c r="H64" s="200"/>
      <c r="I64" s="200"/>
      <c r="J64" s="200">
        <v>0</v>
      </c>
      <c r="K64" s="200"/>
      <c r="L64" s="200"/>
      <c r="M64" s="200" t="s">
        <v>1129</v>
      </c>
      <c r="N64" s="201">
        <v>39755</v>
      </c>
      <c r="O64" s="201">
        <v>39755</v>
      </c>
      <c r="P64" s="200"/>
      <c r="Q64" s="198">
        <v>700</v>
      </c>
      <c r="R64" s="198">
        <v>14050</v>
      </c>
      <c r="S64" s="202">
        <v>411.72</v>
      </c>
      <c r="T64" s="198">
        <v>14056</v>
      </c>
      <c r="U64" s="202">
        <v>411.72</v>
      </c>
      <c r="V64" s="202">
        <f t="shared" si="0"/>
        <v>0</v>
      </c>
      <c r="W64" s="203">
        <v>0</v>
      </c>
      <c r="X64" s="198">
        <v>54260</v>
      </c>
      <c r="Y64" s="202">
        <v>0</v>
      </c>
      <c r="Z64" s="200" t="s">
        <v>1059</v>
      </c>
      <c r="AA64" s="200" t="s">
        <v>1140</v>
      </c>
      <c r="AB64" s="200"/>
      <c r="AC64" s="200"/>
      <c r="AD64" s="200" t="s">
        <v>1058</v>
      </c>
      <c r="AE64" s="200" t="s">
        <v>1059</v>
      </c>
      <c r="AF64" s="198" t="s">
        <v>284</v>
      </c>
      <c r="AG64" s="204">
        <v>44408</v>
      </c>
      <c r="AH64" s="198" t="s">
        <v>1060</v>
      </c>
      <c r="AI64" s="200">
        <v>0</v>
      </c>
      <c r="AJ64" s="200">
        <v>411.72</v>
      </c>
      <c r="AL64" s="205" t="s">
        <v>933</v>
      </c>
      <c r="AM64" s="205">
        <f t="shared" si="3"/>
        <v>11</v>
      </c>
      <c r="AN64" s="205">
        <f t="shared" si="4"/>
        <v>2008</v>
      </c>
      <c r="AO64" s="205">
        <f t="shared" si="5"/>
        <v>2015</v>
      </c>
      <c r="AP64" s="206">
        <f t="shared" si="6"/>
        <v>2015.9166666666667</v>
      </c>
      <c r="AQ64" s="207">
        <f t="shared" si="7"/>
        <v>4.9014285714285721</v>
      </c>
      <c r="AR64" s="207">
        <f t="shared" si="8"/>
        <v>58.817142857142869</v>
      </c>
      <c r="AS64" s="207">
        <f t="shared" si="9"/>
        <v>0</v>
      </c>
      <c r="AT64" s="208">
        <f t="shared" si="1"/>
        <v>411.72</v>
      </c>
      <c r="AU64" s="207">
        <f t="shared" si="10"/>
        <v>411.72</v>
      </c>
      <c r="AV64" s="208">
        <f t="shared" si="2"/>
        <v>0</v>
      </c>
    </row>
    <row r="65" spans="1:48" s="205" customFormat="1" ht="15">
      <c r="A65" s="197"/>
      <c r="B65" s="198">
        <v>2183</v>
      </c>
      <c r="C65" s="199">
        <v>256603</v>
      </c>
      <c r="D65" s="198" t="s">
        <v>1053</v>
      </c>
      <c r="E65" s="200" t="s">
        <v>1146</v>
      </c>
      <c r="F65" s="198">
        <v>34</v>
      </c>
      <c r="G65" s="200"/>
      <c r="H65" s="200"/>
      <c r="I65" s="200"/>
      <c r="J65" s="200">
        <v>0</v>
      </c>
      <c r="K65" s="200"/>
      <c r="L65" s="200"/>
      <c r="M65" s="200" t="s">
        <v>1129</v>
      </c>
      <c r="N65" s="201">
        <v>39755</v>
      </c>
      <c r="O65" s="201">
        <v>39755</v>
      </c>
      <c r="P65" s="200"/>
      <c r="Q65" s="198">
        <v>1200</v>
      </c>
      <c r="R65" s="198">
        <v>14050</v>
      </c>
      <c r="S65" s="202">
        <v>3230</v>
      </c>
      <c r="T65" s="198">
        <v>14056</v>
      </c>
      <c r="U65" s="202">
        <v>3230</v>
      </c>
      <c r="V65" s="202">
        <f t="shared" si="0"/>
        <v>0</v>
      </c>
      <c r="W65" s="203">
        <v>0</v>
      </c>
      <c r="X65" s="198">
        <v>54260</v>
      </c>
      <c r="Y65" s="202">
        <v>0</v>
      </c>
      <c r="Z65" s="200" t="s">
        <v>1059</v>
      </c>
      <c r="AA65" s="200" t="s">
        <v>1140</v>
      </c>
      <c r="AB65" s="200"/>
      <c r="AC65" s="200"/>
      <c r="AD65" s="200" t="s">
        <v>1058</v>
      </c>
      <c r="AE65" s="200" t="s">
        <v>1059</v>
      </c>
      <c r="AF65" s="198" t="s">
        <v>284</v>
      </c>
      <c r="AG65" s="204">
        <v>44408</v>
      </c>
      <c r="AH65" s="198" t="s">
        <v>1060</v>
      </c>
      <c r="AI65" s="200">
        <v>0</v>
      </c>
      <c r="AJ65" s="200">
        <v>3230</v>
      </c>
      <c r="AL65" s="205" t="s">
        <v>933</v>
      </c>
      <c r="AM65" s="205">
        <f t="shared" si="3"/>
        <v>11</v>
      </c>
      <c r="AN65" s="205">
        <f t="shared" si="4"/>
        <v>2008</v>
      </c>
      <c r="AO65" s="205">
        <f t="shared" si="5"/>
        <v>2020</v>
      </c>
      <c r="AP65" s="206">
        <f t="shared" si="6"/>
        <v>2020.9166666666667</v>
      </c>
      <c r="AQ65" s="207">
        <f t="shared" si="7"/>
        <v>22.430555555555557</v>
      </c>
      <c r="AR65" s="207">
        <f t="shared" si="8"/>
        <v>269.16666666666669</v>
      </c>
      <c r="AS65" s="207">
        <f t="shared" si="9"/>
        <v>0</v>
      </c>
      <c r="AT65" s="208">
        <f t="shared" si="1"/>
        <v>3230</v>
      </c>
      <c r="AU65" s="207">
        <f t="shared" si="10"/>
        <v>3230</v>
      </c>
      <c r="AV65" s="208">
        <f t="shared" si="2"/>
        <v>0</v>
      </c>
    </row>
    <row r="66" spans="1:48" s="205" customFormat="1" ht="15">
      <c r="A66" s="197"/>
      <c r="B66" s="198">
        <v>2183</v>
      </c>
      <c r="C66" s="199">
        <v>256602</v>
      </c>
      <c r="D66" s="198" t="s">
        <v>1053</v>
      </c>
      <c r="E66" s="200" t="s">
        <v>1146</v>
      </c>
      <c r="F66" s="198">
        <v>7</v>
      </c>
      <c r="G66" s="200"/>
      <c r="H66" s="200"/>
      <c r="I66" s="200"/>
      <c r="J66" s="200">
        <v>0</v>
      </c>
      <c r="K66" s="200"/>
      <c r="L66" s="200"/>
      <c r="M66" s="200" t="s">
        <v>1129</v>
      </c>
      <c r="N66" s="201">
        <v>39755</v>
      </c>
      <c r="O66" s="201">
        <v>39755</v>
      </c>
      <c r="P66" s="200"/>
      <c r="Q66" s="198">
        <v>1200</v>
      </c>
      <c r="R66" s="198">
        <v>14050</v>
      </c>
      <c r="S66" s="202">
        <v>665</v>
      </c>
      <c r="T66" s="198">
        <v>14056</v>
      </c>
      <c r="U66" s="202">
        <v>665</v>
      </c>
      <c r="V66" s="202">
        <f t="shared" si="0"/>
        <v>0</v>
      </c>
      <c r="W66" s="203">
        <v>0</v>
      </c>
      <c r="X66" s="198">
        <v>54260</v>
      </c>
      <c r="Y66" s="202">
        <v>0</v>
      </c>
      <c r="Z66" s="200" t="s">
        <v>1059</v>
      </c>
      <c r="AA66" s="200" t="s">
        <v>1140</v>
      </c>
      <c r="AB66" s="200"/>
      <c r="AC66" s="200"/>
      <c r="AD66" s="200" t="s">
        <v>1058</v>
      </c>
      <c r="AE66" s="200" t="s">
        <v>1059</v>
      </c>
      <c r="AF66" s="198" t="s">
        <v>284</v>
      </c>
      <c r="AG66" s="204">
        <v>44408</v>
      </c>
      <c r="AH66" s="198" t="s">
        <v>1060</v>
      </c>
      <c r="AI66" s="200">
        <v>0</v>
      </c>
      <c r="AJ66" s="200">
        <v>665</v>
      </c>
      <c r="AL66" s="205" t="s">
        <v>933</v>
      </c>
      <c r="AM66" s="205">
        <f t="shared" si="3"/>
        <v>11</v>
      </c>
      <c r="AN66" s="205">
        <f t="shared" si="4"/>
        <v>2008</v>
      </c>
      <c r="AO66" s="205">
        <f t="shared" si="5"/>
        <v>2020</v>
      </c>
      <c r="AP66" s="206">
        <f t="shared" si="6"/>
        <v>2020.9166666666667</v>
      </c>
      <c r="AQ66" s="207">
        <f t="shared" si="7"/>
        <v>4.6180555555555554</v>
      </c>
      <c r="AR66" s="207">
        <f t="shared" si="8"/>
        <v>55.416666666666664</v>
      </c>
      <c r="AS66" s="207">
        <f t="shared" si="9"/>
        <v>0</v>
      </c>
      <c r="AT66" s="208">
        <f t="shared" si="1"/>
        <v>665</v>
      </c>
      <c r="AU66" s="207">
        <f t="shared" si="10"/>
        <v>665</v>
      </c>
      <c r="AV66" s="208">
        <f t="shared" si="2"/>
        <v>0</v>
      </c>
    </row>
    <row r="67" spans="1:48" s="205" customFormat="1" ht="15">
      <c r="A67" s="197"/>
      <c r="B67" s="198">
        <v>2183</v>
      </c>
      <c r="C67" s="199">
        <v>256601</v>
      </c>
      <c r="D67" s="198" t="s">
        <v>1053</v>
      </c>
      <c r="E67" s="200" t="s">
        <v>1135</v>
      </c>
      <c r="F67" s="198">
        <v>4</v>
      </c>
      <c r="G67" s="200"/>
      <c r="H67" s="200">
        <v>0</v>
      </c>
      <c r="I67" s="200"/>
      <c r="J67" s="200">
        <v>0</v>
      </c>
      <c r="K67" s="200" t="s">
        <v>1132</v>
      </c>
      <c r="L67" s="200"/>
      <c r="M67" s="200" t="s">
        <v>1136</v>
      </c>
      <c r="N67" s="201">
        <v>39310</v>
      </c>
      <c r="O67" s="201">
        <v>39310</v>
      </c>
      <c r="P67" s="200" t="s">
        <v>1137</v>
      </c>
      <c r="Q67" s="198">
        <v>1200</v>
      </c>
      <c r="R67" s="198">
        <v>14050</v>
      </c>
      <c r="S67" s="202">
        <v>1894.86</v>
      </c>
      <c r="T67" s="198">
        <v>14056</v>
      </c>
      <c r="U67" s="202">
        <v>1894.86</v>
      </c>
      <c r="V67" s="202">
        <f t="shared" si="0"/>
        <v>0</v>
      </c>
      <c r="W67" s="203">
        <v>0</v>
      </c>
      <c r="X67" s="198">
        <v>54260</v>
      </c>
      <c r="Y67" s="202">
        <v>0</v>
      </c>
      <c r="Z67" s="200" t="s">
        <v>1053</v>
      </c>
      <c r="AA67" s="200"/>
      <c r="AB67" s="200">
        <v>25785</v>
      </c>
      <c r="AC67" s="200"/>
      <c r="AD67" s="200" t="s">
        <v>1058</v>
      </c>
      <c r="AE67" s="200" t="s">
        <v>1059</v>
      </c>
      <c r="AF67" s="198" t="s">
        <v>284</v>
      </c>
      <c r="AG67" s="204">
        <v>44408</v>
      </c>
      <c r="AH67" s="198" t="s">
        <v>1060</v>
      </c>
      <c r="AI67" s="200">
        <v>0</v>
      </c>
      <c r="AJ67" s="200">
        <v>1894.86</v>
      </c>
      <c r="AL67" s="205" t="s">
        <v>933</v>
      </c>
      <c r="AM67" s="205">
        <f t="shared" si="3"/>
        <v>8</v>
      </c>
      <c r="AN67" s="205">
        <f t="shared" si="4"/>
        <v>2007</v>
      </c>
      <c r="AO67" s="205">
        <f t="shared" si="5"/>
        <v>2019</v>
      </c>
      <c r="AP67" s="206">
        <f t="shared" si="6"/>
        <v>2019.6666666666667</v>
      </c>
      <c r="AQ67" s="207">
        <f t="shared" si="7"/>
        <v>13.15875</v>
      </c>
      <c r="AR67" s="207">
        <f t="shared" si="8"/>
        <v>157.905</v>
      </c>
      <c r="AS67" s="207">
        <f t="shared" si="9"/>
        <v>0</v>
      </c>
      <c r="AT67" s="208">
        <f t="shared" si="1"/>
        <v>1894.86</v>
      </c>
      <c r="AU67" s="207">
        <f t="shared" si="10"/>
        <v>1894.86</v>
      </c>
      <c r="AV67" s="208">
        <f t="shared" si="2"/>
        <v>0</v>
      </c>
    </row>
    <row r="68" spans="1:48" s="205" customFormat="1" ht="15">
      <c r="A68" s="197"/>
      <c r="B68" s="198">
        <v>2183</v>
      </c>
      <c r="C68" s="199">
        <v>256600</v>
      </c>
      <c r="D68" s="198" t="s">
        <v>1053</v>
      </c>
      <c r="E68" s="200" t="s">
        <v>1135</v>
      </c>
      <c r="F68" s="198">
        <v>12</v>
      </c>
      <c r="G68" s="200"/>
      <c r="H68" s="200">
        <v>0</v>
      </c>
      <c r="I68" s="200"/>
      <c r="J68" s="200">
        <v>0</v>
      </c>
      <c r="K68" s="200" t="s">
        <v>1132</v>
      </c>
      <c r="L68" s="200"/>
      <c r="M68" s="200" t="s">
        <v>1136</v>
      </c>
      <c r="N68" s="201">
        <v>39310</v>
      </c>
      <c r="O68" s="201">
        <v>39310</v>
      </c>
      <c r="P68" s="200" t="s">
        <v>1137</v>
      </c>
      <c r="Q68" s="198">
        <v>1200</v>
      </c>
      <c r="R68" s="198">
        <v>14050</v>
      </c>
      <c r="S68" s="202">
        <v>5684.58</v>
      </c>
      <c r="T68" s="198">
        <v>14056</v>
      </c>
      <c r="U68" s="202">
        <v>5684.58</v>
      </c>
      <c r="V68" s="202">
        <f t="shared" si="0"/>
        <v>0</v>
      </c>
      <c r="W68" s="203">
        <v>0</v>
      </c>
      <c r="X68" s="198">
        <v>54260</v>
      </c>
      <c r="Y68" s="202">
        <v>0</v>
      </c>
      <c r="Z68" s="200" t="s">
        <v>1053</v>
      </c>
      <c r="AA68" s="200"/>
      <c r="AB68" s="200">
        <v>25765</v>
      </c>
      <c r="AC68" s="200"/>
      <c r="AD68" s="200" t="s">
        <v>1058</v>
      </c>
      <c r="AE68" s="200" t="s">
        <v>1059</v>
      </c>
      <c r="AF68" s="198" t="s">
        <v>284</v>
      </c>
      <c r="AG68" s="204">
        <v>44408</v>
      </c>
      <c r="AH68" s="198" t="s">
        <v>1060</v>
      </c>
      <c r="AI68" s="200">
        <v>0</v>
      </c>
      <c r="AJ68" s="200">
        <v>5684.58</v>
      </c>
      <c r="AL68" s="205" t="s">
        <v>933</v>
      </c>
      <c r="AM68" s="205">
        <f t="shared" si="3"/>
        <v>8</v>
      </c>
      <c r="AN68" s="205">
        <f t="shared" si="4"/>
        <v>2007</v>
      </c>
      <c r="AO68" s="205">
        <f t="shared" si="5"/>
        <v>2019</v>
      </c>
      <c r="AP68" s="206">
        <f t="shared" si="6"/>
        <v>2019.6666666666667</v>
      </c>
      <c r="AQ68" s="207">
        <f t="shared" si="7"/>
        <v>39.47625</v>
      </c>
      <c r="AR68" s="207">
        <f t="shared" si="8"/>
        <v>473.71500000000003</v>
      </c>
      <c r="AS68" s="207">
        <f t="shared" si="9"/>
        <v>0</v>
      </c>
      <c r="AT68" s="208">
        <f t="shared" si="1"/>
        <v>5684.58</v>
      </c>
      <c r="AU68" s="207">
        <f t="shared" si="10"/>
        <v>5684.58</v>
      </c>
      <c r="AV68" s="208">
        <f t="shared" si="2"/>
        <v>0</v>
      </c>
    </row>
    <row r="69" spans="1:48" s="205" customFormat="1" ht="15">
      <c r="A69" s="197"/>
      <c r="B69" s="198">
        <v>2183</v>
      </c>
      <c r="C69" s="199">
        <v>256599</v>
      </c>
      <c r="D69" s="198" t="s">
        <v>1053</v>
      </c>
      <c r="E69" s="200" t="s">
        <v>1131</v>
      </c>
      <c r="F69" s="198">
        <v>10</v>
      </c>
      <c r="G69" s="200"/>
      <c r="H69" s="200">
        <v>0</v>
      </c>
      <c r="I69" s="200"/>
      <c r="J69" s="200">
        <v>0</v>
      </c>
      <c r="K69" s="200" t="s">
        <v>1132</v>
      </c>
      <c r="L69" s="200"/>
      <c r="M69" s="200" t="s">
        <v>1133</v>
      </c>
      <c r="N69" s="201">
        <v>38953</v>
      </c>
      <c r="O69" s="201">
        <v>38953</v>
      </c>
      <c r="P69" s="200" t="s">
        <v>1134</v>
      </c>
      <c r="Q69" s="198">
        <v>1200</v>
      </c>
      <c r="R69" s="198">
        <v>14050</v>
      </c>
      <c r="S69" s="202">
        <v>4515.2</v>
      </c>
      <c r="T69" s="198">
        <v>14056</v>
      </c>
      <c r="U69" s="202">
        <v>4515.2</v>
      </c>
      <c r="V69" s="202">
        <f t="shared" si="0"/>
        <v>0</v>
      </c>
      <c r="W69" s="203">
        <v>0</v>
      </c>
      <c r="X69" s="198">
        <v>54260</v>
      </c>
      <c r="Y69" s="202">
        <v>0</v>
      </c>
      <c r="Z69" s="200" t="s">
        <v>1053</v>
      </c>
      <c r="AA69" s="200"/>
      <c r="AB69" s="200">
        <v>14556</v>
      </c>
      <c r="AC69" s="200"/>
      <c r="AD69" s="200" t="s">
        <v>1058</v>
      </c>
      <c r="AE69" s="200" t="s">
        <v>1059</v>
      </c>
      <c r="AF69" s="198" t="s">
        <v>284</v>
      </c>
      <c r="AG69" s="204">
        <v>44408</v>
      </c>
      <c r="AH69" s="198" t="s">
        <v>1060</v>
      </c>
      <c r="AI69" s="200">
        <v>0</v>
      </c>
      <c r="AJ69" s="200">
        <v>4515.2</v>
      </c>
      <c r="AL69" s="205" t="s">
        <v>933</v>
      </c>
      <c r="AM69" s="205">
        <f t="shared" si="3"/>
        <v>8</v>
      </c>
      <c r="AN69" s="205">
        <f t="shared" si="4"/>
        <v>2006</v>
      </c>
      <c r="AO69" s="205">
        <f t="shared" si="5"/>
        <v>2018</v>
      </c>
      <c r="AP69" s="206">
        <f t="shared" si="6"/>
        <v>2018.6666666666667</v>
      </c>
      <c r="AQ69" s="207">
        <f t="shared" si="7"/>
        <v>31.355555555555554</v>
      </c>
      <c r="AR69" s="207">
        <f t="shared" si="8"/>
        <v>376.26666666666665</v>
      </c>
      <c r="AS69" s="207">
        <f t="shared" si="9"/>
        <v>0</v>
      </c>
      <c r="AT69" s="208">
        <f t="shared" si="1"/>
        <v>4515.2</v>
      </c>
      <c r="AU69" s="207">
        <f t="shared" si="10"/>
        <v>4515.2</v>
      </c>
      <c r="AV69" s="208">
        <f t="shared" si="2"/>
        <v>0</v>
      </c>
    </row>
    <row r="70" spans="1:48" s="205" customFormat="1" ht="15">
      <c r="A70" s="197"/>
      <c r="B70" s="198">
        <v>2183</v>
      </c>
      <c r="C70" s="199">
        <v>256598</v>
      </c>
      <c r="D70" s="198" t="s">
        <v>1053</v>
      </c>
      <c r="E70" s="200" t="s">
        <v>1147</v>
      </c>
      <c r="F70" s="198">
        <v>12</v>
      </c>
      <c r="G70" s="200"/>
      <c r="H70" s="200"/>
      <c r="I70" s="200"/>
      <c r="J70" s="200">
        <v>0</v>
      </c>
      <c r="K70" s="200" t="s">
        <v>1148</v>
      </c>
      <c r="L70" s="200"/>
      <c r="M70" s="200" t="s">
        <v>1133</v>
      </c>
      <c r="N70" s="201">
        <v>38595</v>
      </c>
      <c r="O70" s="201">
        <v>38595</v>
      </c>
      <c r="P70" s="200">
        <v>52144002</v>
      </c>
      <c r="Q70" s="198">
        <v>1200</v>
      </c>
      <c r="R70" s="198">
        <v>14050</v>
      </c>
      <c r="S70" s="202">
        <v>6780</v>
      </c>
      <c r="T70" s="198">
        <v>14056</v>
      </c>
      <c r="U70" s="202">
        <v>6780</v>
      </c>
      <c r="V70" s="202">
        <f t="shared" si="0"/>
        <v>0</v>
      </c>
      <c r="W70" s="203">
        <v>0</v>
      </c>
      <c r="X70" s="198">
        <v>54260</v>
      </c>
      <c r="Y70" s="202">
        <v>0</v>
      </c>
      <c r="Z70" s="200" t="s">
        <v>1053</v>
      </c>
      <c r="AA70" s="200">
        <v>0</v>
      </c>
      <c r="AB70" s="200">
        <v>2038</v>
      </c>
      <c r="AC70" s="200"/>
      <c r="AD70" s="200" t="s">
        <v>1058</v>
      </c>
      <c r="AE70" s="200" t="s">
        <v>1059</v>
      </c>
      <c r="AF70" s="198" t="s">
        <v>284</v>
      </c>
      <c r="AG70" s="204">
        <v>44408</v>
      </c>
      <c r="AH70" s="198" t="s">
        <v>1060</v>
      </c>
      <c r="AI70" s="200">
        <v>0</v>
      </c>
      <c r="AJ70" s="200">
        <v>6780</v>
      </c>
      <c r="AL70" s="205" t="s">
        <v>933</v>
      </c>
      <c r="AM70" s="205">
        <f t="shared" si="3"/>
        <v>8</v>
      </c>
      <c r="AN70" s="205">
        <f t="shared" si="4"/>
        <v>2005</v>
      </c>
      <c r="AO70" s="205">
        <f t="shared" si="5"/>
        <v>2017</v>
      </c>
      <c r="AP70" s="206">
        <f t="shared" si="6"/>
        <v>2017.6666666666667</v>
      </c>
      <c r="AQ70" s="207">
        <f t="shared" si="7"/>
        <v>47.083333333333336</v>
      </c>
      <c r="AR70" s="207">
        <f t="shared" si="8"/>
        <v>565</v>
      </c>
      <c r="AS70" s="207">
        <f t="shared" si="9"/>
        <v>0</v>
      </c>
      <c r="AT70" s="208">
        <f t="shared" si="1"/>
        <v>6780</v>
      </c>
      <c r="AU70" s="207">
        <f t="shared" si="10"/>
        <v>6780</v>
      </c>
      <c r="AV70" s="208">
        <f t="shared" si="2"/>
        <v>0</v>
      </c>
    </row>
    <row r="71" spans="1:48" s="205" customFormat="1" ht="15">
      <c r="A71" s="197"/>
      <c r="B71" s="198">
        <v>2183</v>
      </c>
      <c r="C71" s="199">
        <v>255878</v>
      </c>
      <c r="D71" s="198" t="s">
        <v>1053</v>
      </c>
      <c r="E71" s="200" t="s">
        <v>1149</v>
      </c>
      <c r="F71" s="198">
        <v>702</v>
      </c>
      <c r="G71" s="200"/>
      <c r="H71" s="200"/>
      <c r="I71" s="200"/>
      <c r="J71" s="200">
        <v>0</v>
      </c>
      <c r="K71" s="200" t="s">
        <v>1068</v>
      </c>
      <c r="L71" s="200"/>
      <c r="M71" s="200" t="s">
        <v>1069</v>
      </c>
      <c r="N71" s="201">
        <v>44389</v>
      </c>
      <c r="O71" s="201">
        <v>44389</v>
      </c>
      <c r="P71" s="200" t="s">
        <v>1070</v>
      </c>
      <c r="Q71" s="198">
        <v>700</v>
      </c>
      <c r="R71" s="198">
        <v>14050</v>
      </c>
      <c r="S71" s="202">
        <v>40388.49</v>
      </c>
      <c r="T71" s="198">
        <v>14056</v>
      </c>
      <c r="U71" s="202">
        <v>2404.08</v>
      </c>
      <c r="V71" s="202">
        <f t="shared" si="0"/>
        <v>37984.409999999996</v>
      </c>
      <c r="W71" s="203">
        <v>2404.08</v>
      </c>
      <c r="X71" s="198">
        <v>54260</v>
      </c>
      <c r="Y71" s="202">
        <v>480.82</v>
      </c>
      <c r="Z71" s="200" t="s">
        <v>1053</v>
      </c>
      <c r="AA71" s="200"/>
      <c r="AB71" s="200">
        <v>50180289</v>
      </c>
      <c r="AC71" s="200"/>
      <c r="AD71" s="200" t="s">
        <v>1058</v>
      </c>
      <c r="AE71" s="200" t="s">
        <v>1059</v>
      </c>
      <c r="AF71" s="198" t="s">
        <v>284</v>
      </c>
      <c r="AG71" s="200"/>
      <c r="AH71" s="198" t="s">
        <v>1060</v>
      </c>
      <c r="AI71" s="200">
        <v>0</v>
      </c>
      <c r="AJ71" s="200">
        <v>0</v>
      </c>
      <c r="AL71" s="205" t="s">
        <v>931</v>
      </c>
      <c r="AM71" s="205">
        <f t="shared" si="3"/>
        <v>7</v>
      </c>
      <c r="AN71" s="205">
        <f t="shared" si="4"/>
        <v>2021</v>
      </c>
      <c r="AO71" s="205">
        <f t="shared" si="5"/>
        <v>2028</v>
      </c>
      <c r="AP71" s="206">
        <f t="shared" si="6"/>
        <v>2028.5833333333333</v>
      </c>
      <c r="AQ71" s="207">
        <f t="shared" si="7"/>
        <v>480.81535714285707</v>
      </c>
      <c r="AR71" s="207">
        <f t="shared" si="8"/>
        <v>5769.784285714285</v>
      </c>
      <c r="AS71" s="207">
        <f t="shared" si="9"/>
        <v>5769.784285714285</v>
      </c>
      <c r="AT71" s="208">
        <f t="shared" si="1"/>
        <v>0</v>
      </c>
      <c r="AU71" s="207">
        <f t="shared" si="10"/>
        <v>5769.784285714285</v>
      </c>
      <c r="AV71" s="208">
        <f t="shared" si="2"/>
        <v>34618.705714285716</v>
      </c>
    </row>
    <row r="72" spans="1:48" s="205" customFormat="1" ht="15">
      <c r="A72" s="197"/>
      <c r="B72" s="198">
        <v>2183</v>
      </c>
      <c r="C72" s="199">
        <v>255410</v>
      </c>
      <c r="D72" s="198" t="s">
        <v>1053</v>
      </c>
      <c r="E72" s="200" t="s">
        <v>1150</v>
      </c>
      <c r="F72" s="198"/>
      <c r="G72" s="200"/>
      <c r="H72" s="200" t="s">
        <v>1151</v>
      </c>
      <c r="I72" s="200"/>
      <c r="J72" s="200">
        <v>2022</v>
      </c>
      <c r="K72" s="200"/>
      <c r="L72" s="200"/>
      <c r="M72" s="200" t="s">
        <v>1152</v>
      </c>
      <c r="N72" s="201">
        <v>44397</v>
      </c>
      <c r="O72" s="201">
        <v>44397</v>
      </c>
      <c r="P72" s="200" t="s">
        <v>1153</v>
      </c>
      <c r="Q72" s="198">
        <v>1000</v>
      </c>
      <c r="R72" s="198">
        <v>14040</v>
      </c>
      <c r="S72" s="202">
        <v>369905.83</v>
      </c>
      <c r="T72" s="198">
        <v>14046</v>
      </c>
      <c r="U72" s="202">
        <v>12330.19</v>
      </c>
      <c r="V72" s="202">
        <f t="shared" si="0"/>
        <v>357575.64</v>
      </c>
      <c r="W72" s="203">
        <v>12330.19</v>
      </c>
      <c r="X72" s="198">
        <v>51260</v>
      </c>
      <c r="Y72" s="202">
        <v>3082.55</v>
      </c>
      <c r="Z72" s="200" t="s">
        <v>1053</v>
      </c>
      <c r="AA72" s="200"/>
      <c r="AB72" s="200"/>
      <c r="AC72" s="200"/>
      <c r="AD72" s="200" t="s">
        <v>1058</v>
      </c>
      <c r="AE72" s="200" t="s">
        <v>1059</v>
      </c>
      <c r="AF72" s="198" t="s">
        <v>284</v>
      </c>
      <c r="AG72" s="200"/>
      <c r="AH72" s="198" t="s">
        <v>1060</v>
      </c>
      <c r="AI72" s="200">
        <v>0</v>
      </c>
      <c r="AJ72" s="200">
        <v>0</v>
      </c>
      <c r="AK72" s="205">
        <f>+VLOOKUP($C72,'[22]Asset Addition Form'!$C:$K,3,FALSE)</f>
        <v>3718</v>
      </c>
      <c r="AL72" s="387" t="s">
        <v>2347</v>
      </c>
      <c r="AM72" s="205">
        <f t="shared" si="3"/>
        <v>7</v>
      </c>
      <c r="AN72" s="205">
        <f t="shared" si="4"/>
        <v>2021</v>
      </c>
      <c r="AO72" s="205">
        <f t="shared" si="5"/>
        <v>2031</v>
      </c>
      <c r="AP72" s="206">
        <f t="shared" si="6"/>
        <v>2031.5833333333333</v>
      </c>
      <c r="AQ72" s="207">
        <f t="shared" si="7"/>
        <v>3082.5485833333332</v>
      </c>
      <c r="AR72" s="207">
        <f t="shared" si="8"/>
        <v>36990.582999999999</v>
      </c>
      <c r="AS72" s="207">
        <f t="shared" si="9"/>
        <v>36990.582999999999</v>
      </c>
      <c r="AT72" s="208">
        <f t="shared" si="1"/>
        <v>0</v>
      </c>
      <c r="AU72" s="207">
        <f t="shared" si="10"/>
        <v>36990.582999999999</v>
      </c>
      <c r="AV72" s="208">
        <f t="shared" si="2"/>
        <v>332915.24700000003</v>
      </c>
    </row>
    <row r="73" spans="1:48" s="205" customFormat="1" ht="15">
      <c r="A73" s="197"/>
      <c r="B73" s="198">
        <v>2183</v>
      </c>
      <c r="C73" s="199">
        <v>255160</v>
      </c>
      <c r="D73" s="198" t="s">
        <v>1053</v>
      </c>
      <c r="E73" s="200" t="s">
        <v>1086</v>
      </c>
      <c r="F73" s="198">
        <v>702</v>
      </c>
      <c r="G73" s="200"/>
      <c r="H73" s="200"/>
      <c r="I73" s="200"/>
      <c r="J73" s="200">
        <v>0</v>
      </c>
      <c r="K73" s="200" t="s">
        <v>1068</v>
      </c>
      <c r="L73" s="200"/>
      <c r="M73" s="200" t="s">
        <v>1069</v>
      </c>
      <c r="N73" s="201">
        <v>44386</v>
      </c>
      <c r="O73" s="201">
        <v>44386</v>
      </c>
      <c r="P73" s="200" t="s">
        <v>1070</v>
      </c>
      <c r="Q73" s="198">
        <v>700</v>
      </c>
      <c r="R73" s="198">
        <v>14050</v>
      </c>
      <c r="S73" s="202">
        <v>40388.49</v>
      </c>
      <c r="T73" s="198">
        <v>14056</v>
      </c>
      <c r="U73" s="202">
        <v>2404.08</v>
      </c>
      <c r="V73" s="202">
        <f t="shared" si="0"/>
        <v>37984.409999999996</v>
      </c>
      <c r="W73" s="203">
        <v>2404.08</v>
      </c>
      <c r="X73" s="198">
        <v>54260</v>
      </c>
      <c r="Y73" s="202">
        <v>480.82</v>
      </c>
      <c r="Z73" s="200" t="s">
        <v>1053</v>
      </c>
      <c r="AA73" s="200"/>
      <c r="AB73" s="200">
        <v>50180462</v>
      </c>
      <c r="AC73" s="200"/>
      <c r="AD73" s="200" t="s">
        <v>1058</v>
      </c>
      <c r="AE73" s="200" t="s">
        <v>1059</v>
      </c>
      <c r="AF73" s="198" t="s">
        <v>284</v>
      </c>
      <c r="AG73" s="200"/>
      <c r="AH73" s="198" t="s">
        <v>1060</v>
      </c>
      <c r="AI73" s="200">
        <v>0</v>
      </c>
      <c r="AJ73" s="200">
        <v>0</v>
      </c>
      <c r="AL73" s="205" t="s">
        <v>935</v>
      </c>
      <c r="AM73" s="205">
        <f t="shared" si="3"/>
        <v>7</v>
      </c>
      <c r="AN73" s="205">
        <f t="shared" si="4"/>
        <v>2021</v>
      </c>
      <c r="AO73" s="205">
        <f t="shared" si="5"/>
        <v>2028</v>
      </c>
      <c r="AP73" s="206">
        <f t="shared" si="6"/>
        <v>2028.5833333333333</v>
      </c>
      <c r="AQ73" s="207">
        <f t="shared" si="7"/>
        <v>480.81535714285707</v>
      </c>
      <c r="AR73" s="207">
        <f t="shared" si="8"/>
        <v>5769.784285714285</v>
      </c>
      <c r="AS73" s="207">
        <f t="shared" si="9"/>
        <v>5769.784285714285</v>
      </c>
      <c r="AT73" s="208">
        <f t="shared" si="1"/>
        <v>0</v>
      </c>
      <c r="AU73" s="207">
        <f t="shared" si="10"/>
        <v>5769.784285714285</v>
      </c>
      <c r="AV73" s="208">
        <f t="shared" si="2"/>
        <v>34618.705714285716</v>
      </c>
    </row>
    <row r="74" spans="1:48" s="205" customFormat="1" ht="15">
      <c r="A74" s="197"/>
      <c r="B74" s="198">
        <v>2183</v>
      </c>
      <c r="C74" s="199">
        <v>254292</v>
      </c>
      <c r="D74" s="198" t="s">
        <v>1053</v>
      </c>
      <c r="E74" s="200" t="s">
        <v>1154</v>
      </c>
      <c r="F74" s="198">
        <v>25</v>
      </c>
      <c r="G74" s="200"/>
      <c r="H74" s="200"/>
      <c r="I74" s="200"/>
      <c r="J74" s="200">
        <v>0</v>
      </c>
      <c r="K74" s="200" t="s">
        <v>1155</v>
      </c>
      <c r="L74" s="200"/>
      <c r="M74" s="200" t="s">
        <v>1156</v>
      </c>
      <c r="N74" s="201">
        <v>44357</v>
      </c>
      <c r="O74" s="201">
        <v>44357</v>
      </c>
      <c r="P74" s="200" t="s">
        <v>1157</v>
      </c>
      <c r="Q74" s="198">
        <v>1200</v>
      </c>
      <c r="R74" s="198">
        <v>14050</v>
      </c>
      <c r="S74" s="202">
        <v>17777.5</v>
      </c>
      <c r="T74" s="198">
        <v>14056</v>
      </c>
      <c r="U74" s="202">
        <v>740.73</v>
      </c>
      <c r="V74" s="202">
        <f t="shared" si="0"/>
        <v>17036.77</v>
      </c>
      <c r="W74" s="203">
        <v>740.73</v>
      </c>
      <c r="X74" s="198">
        <v>54260</v>
      </c>
      <c r="Y74" s="202">
        <v>123.46</v>
      </c>
      <c r="Z74" s="200" t="s">
        <v>1053</v>
      </c>
      <c r="AA74" s="200"/>
      <c r="AB74" s="200">
        <v>167089</v>
      </c>
      <c r="AC74" s="200"/>
      <c r="AD74" s="200" t="s">
        <v>1058</v>
      </c>
      <c r="AE74" s="200" t="s">
        <v>1059</v>
      </c>
      <c r="AF74" s="198" t="s">
        <v>284</v>
      </c>
      <c r="AG74" s="200"/>
      <c r="AH74" s="198" t="s">
        <v>1060</v>
      </c>
      <c r="AI74" s="200">
        <v>0</v>
      </c>
      <c r="AJ74" s="200">
        <v>0</v>
      </c>
      <c r="AL74" s="205" t="s">
        <v>932</v>
      </c>
      <c r="AM74" s="205">
        <f t="shared" si="3"/>
        <v>6</v>
      </c>
      <c r="AN74" s="205">
        <f t="shared" si="4"/>
        <v>2021</v>
      </c>
      <c r="AO74" s="205">
        <f t="shared" si="5"/>
        <v>2033</v>
      </c>
      <c r="AP74" s="206">
        <f t="shared" si="6"/>
        <v>2033.5</v>
      </c>
      <c r="AQ74" s="207">
        <f t="shared" si="7"/>
        <v>123.4548611111111</v>
      </c>
      <c r="AR74" s="207">
        <f t="shared" si="8"/>
        <v>1481.4583333333333</v>
      </c>
      <c r="AS74" s="207">
        <f t="shared" si="9"/>
        <v>1481.4583333333333</v>
      </c>
      <c r="AT74" s="208">
        <f t="shared" si="1"/>
        <v>0</v>
      </c>
      <c r="AU74" s="207">
        <f t="shared" si="10"/>
        <v>1481.4583333333333</v>
      </c>
      <c r="AV74" s="208">
        <f t="shared" si="2"/>
        <v>16296.041666666666</v>
      </c>
    </row>
    <row r="75" spans="1:48" s="205" customFormat="1" ht="15">
      <c r="A75" s="197"/>
      <c r="B75" s="198">
        <v>2183</v>
      </c>
      <c r="C75" s="199">
        <v>254291</v>
      </c>
      <c r="D75" s="198" t="s">
        <v>1053</v>
      </c>
      <c r="E75" s="200" t="s">
        <v>1158</v>
      </c>
      <c r="F75" s="198">
        <v>1</v>
      </c>
      <c r="G75" s="200"/>
      <c r="H75" s="200"/>
      <c r="I75" s="200"/>
      <c r="J75" s="200">
        <v>0</v>
      </c>
      <c r="K75" s="200" t="s">
        <v>1155</v>
      </c>
      <c r="L75" s="200"/>
      <c r="M75" s="200" t="s">
        <v>1159</v>
      </c>
      <c r="N75" s="201">
        <v>44357</v>
      </c>
      <c r="O75" s="201">
        <v>44357</v>
      </c>
      <c r="P75" s="200" t="s">
        <v>1157</v>
      </c>
      <c r="Q75" s="198">
        <v>1200</v>
      </c>
      <c r="R75" s="198">
        <v>14050</v>
      </c>
      <c r="S75" s="202">
        <v>667.34</v>
      </c>
      <c r="T75" s="198">
        <v>14056</v>
      </c>
      <c r="U75" s="202">
        <v>27.81</v>
      </c>
      <c r="V75" s="202">
        <f t="shared" si="0"/>
        <v>639.53000000000009</v>
      </c>
      <c r="W75" s="203">
        <v>27.81</v>
      </c>
      <c r="X75" s="198">
        <v>54260</v>
      </c>
      <c r="Y75" s="202">
        <v>4.6399999999999997</v>
      </c>
      <c r="Z75" s="200" t="s">
        <v>1053</v>
      </c>
      <c r="AA75" s="200"/>
      <c r="AB75" s="200">
        <v>167130</v>
      </c>
      <c r="AC75" s="200"/>
      <c r="AD75" s="200" t="s">
        <v>1058</v>
      </c>
      <c r="AE75" s="200" t="s">
        <v>1059</v>
      </c>
      <c r="AF75" s="198" t="s">
        <v>284</v>
      </c>
      <c r="AG75" s="200"/>
      <c r="AH75" s="198" t="s">
        <v>1060</v>
      </c>
      <c r="AI75" s="200">
        <v>0</v>
      </c>
      <c r="AJ75" s="200">
        <v>0</v>
      </c>
      <c r="AL75" s="205" t="s">
        <v>932</v>
      </c>
      <c r="AM75" s="205">
        <f t="shared" si="3"/>
        <v>6</v>
      </c>
      <c r="AN75" s="205">
        <f t="shared" si="4"/>
        <v>2021</v>
      </c>
      <c r="AO75" s="205">
        <f t="shared" si="5"/>
        <v>2033</v>
      </c>
      <c r="AP75" s="206">
        <f t="shared" si="6"/>
        <v>2033.5</v>
      </c>
      <c r="AQ75" s="207">
        <f t="shared" si="7"/>
        <v>4.6343055555555557</v>
      </c>
      <c r="AR75" s="207">
        <f t="shared" si="8"/>
        <v>55.611666666666665</v>
      </c>
      <c r="AS75" s="207">
        <f t="shared" si="9"/>
        <v>55.611666666666665</v>
      </c>
      <c r="AT75" s="208">
        <f t="shared" si="1"/>
        <v>0</v>
      </c>
      <c r="AU75" s="207">
        <f t="shared" si="10"/>
        <v>55.611666666666665</v>
      </c>
      <c r="AV75" s="208">
        <f t="shared" si="2"/>
        <v>611.72833333333335</v>
      </c>
    </row>
    <row r="76" spans="1:48" s="205" customFormat="1" ht="15">
      <c r="A76" s="197"/>
      <c r="B76" s="198">
        <v>2183</v>
      </c>
      <c r="C76" s="199">
        <v>254290</v>
      </c>
      <c r="D76" s="198" t="s">
        <v>1053</v>
      </c>
      <c r="E76" s="200" t="s">
        <v>1158</v>
      </c>
      <c r="F76" s="198">
        <v>24</v>
      </c>
      <c r="G76" s="200"/>
      <c r="H76" s="200"/>
      <c r="I76" s="200"/>
      <c r="J76" s="200">
        <v>0</v>
      </c>
      <c r="K76" s="200" t="s">
        <v>1155</v>
      </c>
      <c r="L76" s="200"/>
      <c r="M76" s="200" t="s">
        <v>1159</v>
      </c>
      <c r="N76" s="201">
        <v>44354</v>
      </c>
      <c r="O76" s="201">
        <v>44354</v>
      </c>
      <c r="P76" s="200" t="s">
        <v>1157</v>
      </c>
      <c r="Q76" s="198">
        <v>1200</v>
      </c>
      <c r="R76" s="198">
        <v>14050</v>
      </c>
      <c r="S76" s="202">
        <v>16016.16</v>
      </c>
      <c r="T76" s="198">
        <v>14056</v>
      </c>
      <c r="U76" s="202">
        <v>667.34</v>
      </c>
      <c r="V76" s="202">
        <f t="shared" si="0"/>
        <v>15348.82</v>
      </c>
      <c r="W76" s="203">
        <v>667.34</v>
      </c>
      <c r="X76" s="198">
        <v>54260</v>
      </c>
      <c r="Y76" s="202">
        <v>111.23</v>
      </c>
      <c r="Z76" s="200" t="s">
        <v>1053</v>
      </c>
      <c r="AA76" s="200"/>
      <c r="AB76" s="200">
        <v>167123</v>
      </c>
      <c r="AC76" s="200"/>
      <c r="AD76" s="200" t="s">
        <v>1058</v>
      </c>
      <c r="AE76" s="200" t="s">
        <v>1059</v>
      </c>
      <c r="AF76" s="198" t="s">
        <v>284</v>
      </c>
      <c r="AG76" s="200"/>
      <c r="AH76" s="198" t="s">
        <v>1060</v>
      </c>
      <c r="AI76" s="200">
        <v>0</v>
      </c>
      <c r="AJ76" s="200">
        <v>0</v>
      </c>
      <c r="AL76" s="205" t="s">
        <v>932</v>
      </c>
      <c r="AM76" s="205">
        <f t="shared" si="3"/>
        <v>6</v>
      </c>
      <c r="AN76" s="205">
        <f t="shared" si="4"/>
        <v>2021</v>
      </c>
      <c r="AO76" s="205">
        <f t="shared" si="5"/>
        <v>2033</v>
      </c>
      <c r="AP76" s="206">
        <f t="shared" si="6"/>
        <v>2033.5</v>
      </c>
      <c r="AQ76" s="207">
        <f t="shared" si="7"/>
        <v>111.22333333333334</v>
      </c>
      <c r="AR76" s="207">
        <f t="shared" si="8"/>
        <v>1334.68</v>
      </c>
      <c r="AS76" s="207">
        <f t="shared" si="9"/>
        <v>1334.68</v>
      </c>
      <c r="AT76" s="208">
        <f t="shared" si="1"/>
        <v>0</v>
      </c>
      <c r="AU76" s="207">
        <f t="shared" si="10"/>
        <v>1334.68</v>
      </c>
      <c r="AV76" s="208">
        <f t="shared" si="2"/>
        <v>14681.48</v>
      </c>
    </row>
    <row r="77" spans="1:48" s="205" customFormat="1" ht="15">
      <c r="A77" s="197"/>
      <c r="B77" s="198">
        <v>2183</v>
      </c>
      <c r="C77" s="199">
        <v>254289</v>
      </c>
      <c r="D77" s="198" t="s">
        <v>1053</v>
      </c>
      <c r="E77" s="200" t="s">
        <v>1160</v>
      </c>
      <c r="F77" s="198">
        <v>20</v>
      </c>
      <c r="G77" s="200"/>
      <c r="H77" s="200"/>
      <c r="I77" s="200"/>
      <c r="J77" s="200">
        <v>0</v>
      </c>
      <c r="K77" s="200" t="s">
        <v>1155</v>
      </c>
      <c r="L77" s="200"/>
      <c r="M77" s="200" t="s">
        <v>1161</v>
      </c>
      <c r="N77" s="201">
        <v>44357</v>
      </c>
      <c r="O77" s="201">
        <v>44357</v>
      </c>
      <c r="P77" s="200" t="s">
        <v>1157</v>
      </c>
      <c r="Q77" s="198">
        <v>1200</v>
      </c>
      <c r="R77" s="198">
        <v>14050</v>
      </c>
      <c r="S77" s="202">
        <v>13675</v>
      </c>
      <c r="T77" s="198">
        <v>14056</v>
      </c>
      <c r="U77" s="202">
        <v>569.79</v>
      </c>
      <c r="V77" s="202">
        <f t="shared" si="0"/>
        <v>13105.21</v>
      </c>
      <c r="W77" s="203">
        <v>569.79</v>
      </c>
      <c r="X77" s="198">
        <v>54260</v>
      </c>
      <c r="Y77" s="202">
        <v>94.96</v>
      </c>
      <c r="Z77" s="200" t="s">
        <v>1053</v>
      </c>
      <c r="AA77" s="200"/>
      <c r="AB77" s="200">
        <v>167088</v>
      </c>
      <c r="AC77" s="200"/>
      <c r="AD77" s="200" t="s">
        <v>1058</v>
      </c>
      <c r="AE77" s="200" t="s">
        <v>1059</v>
      </c>
      <c r="AF77" s="198" t="s">
        <v>284</v>
      </c>
      <c r="AG77" s="200"/>
      <c r="AH77" s="198" t="s">
        <v>1060</v>
      </c>
      <c r="AI77" s="200">
        <v>0</v>
      </c>
      <c r="AJ77" s="200">
        <v>0</v>
      </c>
      <c r="AL77" s="205" t="s">
        <v>932</v>
      </c>
      <c r="AM77" s="205">
        <f t="shared" si="3"/>
        <v>6</v>
      </c>
      <c r="AN77" s="205">
        <f t="shared" si="4"/>
        <v>2021</v>
      </c>
      <c r="AO77" s="205">
        <f t="shared" si="5"/>
        <v>2033</v>
      </c>
      <c r="AP77" s="206">
        <f t="shared" si="6"/>
        <v>2033.5</v>
      </c>
      <c r="AQ77" s="207">
        <f t="shared" si="7"/>
        <v>94.965277777777771</v>
      </c>
      <c r="AR77" s="207">
        <f t="shared" si="8"/>
        <v>1139.5833333333333</v>
      </c>
      <c r="AS77" s="207">
        <f t="shared" si="9"/>
        <v>1139.5833333333333</v>
      </c>
      <c r="AT77" s="208">
        <f t="shared" si="1"/>
        <v>0</v>
      </c>
      <c r="AU77" s="207">
        <f t="shared" si="10"/>
        <v>1139.5833333333333</v>
      </c>
      <c r="AV77" s="208">
        <f t="shared" si="2"/>
        <v>12535.416666666666</v>
      </c>
    </row>
    <row r="78" spans="1:48" s="205" customFormat="1" ht="15">
      <c r="A78" s="197"/>
      <c r="B78" s="198">
        <v>2183</v>
      </c>
      <c r="C78" s="199">
        <v>253972</v>
      </c>
      <c r="D78" s="198">
        <v>249940</v>
      </c>
      <c r="E78" s="200" t="s">
        <v>1162</v>
      </c>
      <c r="F78" s="198"/>
      <c r="G78" s="200"/>
      <c r="H78" s="200"/>
      <c r="I78" s="200"/>
      <c r="J78" s="200">
        <v>2021</v>
      </c>
      <c r="K78" s="200"/>
      <c r="L78" s="200"/>
      <c r="M78" s="200" t="s">
        <v>1108</v>
      </c>
      <c r="N78" s="201">
        <v>44288</v>
      </c>
      <c r="O78" s="201">
        <v>44288</v>
      </c>
      <c r="P78" s="200" t="s">
        <v>1163</v>
      </c>
      <c r="Q78" s="198">
        <v>1000</v>
      </c>
      <c r="R78" s="198">
        <v>14040</v>
      </c>
      <c r="S78" s="202">
        <v>1595.85</v>
      </c>
      <c r="T78" s="198">
        <v>14046</v>
      </c>
      <c r="U78" s="202">
        <v>106.39</v>
      </c>
      <c r="V78" s="202">
        <f t="shared" ref="V78:V141" si="11">S78-U78</f>
        <v>1489.4599999999998</v>
      </c>
      <c r="W78" s="203">
        <v>106.39</v>
      </c>
      <c r="X78" s="198">
        <v>51260</v>
      </c>
      <c r="Y78" s="202">
        <v>13.3</v>
      </c>
      <c r="Z78" s="200" t="s">
        <v>1053</v>
      </c>
      <c r="AA78" s="200"/>
      <c r="AB78" s="200"/>
      <c r="AC78" s="200"/>
      <c r="AD78" s="200" t="s">
        <v>1058</v>
      </c>
      <c r="AE78" s="200" t="s">
        <v>1059</v>
      </c>
      <c r="AF78" s="198" t="s">
        <v>284</v>
      </c>
      <c r="AG78" s="200"/>
      <c r="AH78" s="198" t="s">
        <v>1060</v>
      </c>
      <c r="AI78" s="200">
        <v>0</v>
      </c>
      <c r="AJ78" s="200">
        <v>0</v>
      </c>
      <c r="AK78" s="205">
        <f>+VLOOKUP($C78,'[22]Asset Addition Form'!$C:$K,3,FALSE)</f>
        <v>3704</v>
      </c>
      <c r="AL78" s="387" t="s">
        <v>2347</v>
      </c>
      <c r="AM78" s="205">
        <f t="shared" si="3"/>
        <v>4</v>
      </c>
      <c r="AN78" s="205">
        <f t="shared" si="4"/>
        <v>2021</v>
      </c>
      <c r="AO78" s="205">
        <f t="shared" si="5"/>
        <v>2031</v>
      </c>
      <c r="AP78" s="206">
        <f t="shared" si="6"/>
        <v>2031.3333333333333</v>
      </c>
      <c r="AQ78" s="207">
        <f t="shared" si="7"/>
        <v>13.298749999999998</v>
      </c>
      <c r="AR78" s="207">
        <f t="shared" si="8"/>
        <v>159.58499999999998</v>
      </c>
      <c r="AS78" s="207">
        <f t="shared" si="9"/>
        <v>159.58499999999998</v>
      </c>
      <c r="AT78" s="208">
        <f t="shared" ref="AT78:AT102" si="12">IF($AS78=0,$S78,IF($AK$6-AN78&lt;1,0,(($AK$6-$AN78)*AR78)))</f>
        <v>0</v>
      </c>
      <c r="AU78" s="207">
        <f t="shared" si="10"/>
        <v>159.58499999999998</v>
      </c>
      <c r="AV78" s="208">
        <f t="shared" ref="AV78:AV102" si="13">$S78-$AU78</f>
        <v>1436.2649999999999</v>
      </c>
    </row>
    <row r="79" spans="1:48" s="205" customFormat="1" ht="15">
      <c r="A79" s="197"/>
      <c r="B79" s="198">
        <v>2183</v>
      </c>
      <c r="C79" s="199">
        <v>253467</v>
      </c>
      <c r="D79" s="198" t="s">
        <v>1053</v>
      </c>
      <c r="E79" s="200" t="s">
        <v>1164</v>
      </c>
      <c r="F79" s="198">
        <v>258</v>
      </c>
      <c r="G79" s="200"/>
      <c r="H79" s="200"/>
      <c r="I79" s="200"/>
      <c r="J79" s="200">
        <v>0</v>
      </c>
      <c r="K79" s="200"/>
      <c r="L79" s="200"/>
      <c r="M79" s="200"/>
      <c r="N79" s="201">
        <v>39755</v>
      </c>
      <c r="O79" s="201">
        <v>39755</v>
      </c>
      <c r="P79" s="200"/>
      <c r="Q79" s="198">
        <v>700</v>
      </c>
      <c r="R79" s="198">
        <v>14050</v>
      </c>
      <c r="S79" s="202">
        <v>25800</v>
      </c>
      <c r="T79" s="198">
        <v>14056</v>
      </c>
      <c r="U79" s="202">
        <v>25800</v>
      </c>
      <c r="V79" s="202">
        <f t="shared" si="11"/>
        <v>0</v>
      </c>
      <c r="W79" s="203">
        <v>0</v>
      </c>
      <c r="X79" s="198">
        <v>54260</v>
      </c>
      <c r="Y79" s="202">
        <v>0</v>
      </c>
      <c r="Z79" s="200" t="s">
        <v>1059</v>
      </c>
      <c r="AA79" s="200" t="s">
        <v>1140</v>
      </c>
      <c r="AB79" s="200"/>
      <c r="AC79" s="200"/>
      <c r="AD79" s="200" t="s">
        <v>1058</v>
      </c>
      <c r="AE79" s="200" t="s">
        <v>1059</v>
      </c>
      <c r="AF79" s="198" t="s">
        <v>284</v>
      </c>
      <c r="AG79" s="204">
        <v>44347</v>
      </c>
      <c r="AH79" s="198" t="s">
        <v>1060</v>
      </c>
      <c r="AI79" s="200">
        <v>0</v>
      </c>
      <c r="AJ79" s="200">
        <v>25800</v>
      </c>
      <c r="AL79" s="205" t="s">
        <v>933</v>
      </c>
      <c r="AM79" s="205">
        <f t="shared" ref="AM79:AM102" si="14">+MONTH(N79)</f>
        <v>11</v>
      </c>
      <c r="AN79" s="205">
        <f t="shared" ref="AN79:AN102" si="15">+YEAR(N79)</f>
        <v>2008</v>
      </c>
      <c r="AO79" s="205">
        <f t="shared" ref="AO79:AO102" si="16">+AN79+(Q79/100)</f>
        <v>2015</v>
      </c>
      <c r="AP79" s="206">
        <f t="shared" ref="AP79:AP102" si="17">+AO79+(AM79/12)</f>
        <v>2015.9166666666667</v>
      </c>
      <c r="AQ79" s="207">
        <f t="shared" ref="AQ79:AQ102" si="18">+IFERROR($S79/($Q79/100)/12,0)</f>
        <v>307.14285714285717</v>
      </c>
      <c r="AR79" s="207">
        <f t="shared" ref="AR79:AR102" si="19">+AQ79*12</f>
        <v>3685.7142857142862</v>
      </c>
      <c r="AS79" s="207">
        <f t="shared" ref="AS79:AS102" si="20">IF($AP79&lt;=$AK$8,0,IF($AO79=$AK$7,($AQ79*$AM79),AR79))</f>
        <v>0</v>
      </c>
      <c r="AT79" s="208">
        <f t="shared" si="12"/>
        <v>25800</v>
      </c>
      <c r="AU79" s="207">
        <f t="shared" ref="AU79:AU102" si="21">IF($AT79=0,$AS79,($AT79+$AS79))</f>
        <v>25800</v>
      </c>
      <c r="AV79" s="208">
        <f t="shared" si="13"/>
        <v>0</v>
      </c>
    </row>
    <row r="80" spans="1:48" s="205" customFormat="1" ht="15">
      <c r="A80" s="197"/>
      <c r="B80" s="198">
        <v>2183</v>
      </c>
      <c r="C80" s="199">
        <v>253466</v>
      </c>
      <c r="D80" s="198" t="s">
        <v>1053</v>
      </c>
      <c r="E80" s="200" t="s">
        <v>1165</v>
      </c>
      <c r="F80" s="198">
        <v>97</v>
      </c>
      <c r="G80" s="200"/>
      <c r="H80" s="200"/>
      <c r="I80" s="200"/>
      <c r="J80" s="200">
        <v>0</v>
      </c>
      <c r="K80" s="200"/>
      <c r="L80" s="200"/>
      <c r="M80" s="200"/>
      <c r="N80" s="201">
        <v>39755</v>
      </c>
      <c r="O80" s="201">
        <v>39755</v>
      </c>
      <c r="P80" s="200"/>
      <c r="Q80" s="198">
        <v>700</v>
      </c>
      <c r="R80" s="198">
        <v>14050</v>
      </c>
      <c r="S80" s="202">
        <v>9700</v>
      </c>
      <c r="T80" s="198">
        <v>14056</v>
      </c>
      <c r="U80" s="202">
        <v>9700</v>
      </c>
      <c r="V80" s="202">
        <f t="shared" si="11"/>
        <v>0</v>
      </c>
      <c r="W80" s="203">
        <v>0</v>
      </c>
      <c r="X80" s="198">
        <v>54260</v>
      </c>
      <c r="Y80" s="202">
        <v>0</v>
      </c>
      <c r="Z80" s="200" t="s">
        <v>1059</v>
      </c>
      <c r="AA80" s="200" t="s">
        <v>1140</v>
      </c>
      <c r="AB80" s="200"/>
      <c r="AC80" s="200"/>
      <c r="AD80" s="200" t="s">
        <v>1058</v>
      </c>
      <c r="AE80" s="200" t="s">
        <v>1059</v>
      </c>
      <c r="AF80" s="198" t="s">
        <v>284</v>
      </c>
      <c r="AG80" s="204">
        <v>44347</v>
      </c>
      <c r="AH80" s="198" t="s">
        <v>1060</v>
      </c>
      <c r="AI80" s="200">
        <v>0</v>
      </c>
      <c r="AJ80" s="200">
        <v>9700</v>
      </c>
      <c r="AL80" s="205" t="s">
        <v>933</v>
      </c>
      <c r="AM80" s="205">
        <f t="shared" si="14"/>
        <v>11</v>
      </c>
      <c r="AN80" s="205">
        <f t="shared" si="15"/>
        <v>2008</v>
      </c>
      <c r="AO80" s="205">
        <f t="shared" si="16"/>
        <v>2015</v>
      </c>
      <c r="AP80" s="206">
        <f t="shared" si="17"/>
        <v>2015.9166666666667</v>
      </c>
      <c r="AQ80" s="207">
        <f t="shared" si="18"/>
        <v>115.47619047619048</v>
      </c>
      <c r="AR80" s="207">
        <f t="shared" si="19"/>
        <v>1385.7142857142858</v>
      </c>
      <c r="AS80" s="207">
        <f t="shared" si="20"/>
        <v>0</v>
      </c>
      <c r="AT80" s="208">
        <f t="shared" si="12"/>
        <v>9700</v>
      </c>
      <c r="AU80" s="207">
        <f t="shared" si="21"/>
        <v>9700</v>
      </c>
      <c r="AV80" s="208">
        <f t="shared" si="13"/>
        <v>0</v>
      </c>
    </row>
    <row r="81" spans="1:48" s="205" customFormat="1" ht="15">
      <c r="A81" s="197"/>
      <c r="B81" s="198">
        <v>2183</v>
      </c>
      <c r="C81" s="199">
        <v>253465</v>
      </c>
      <c r="D81" s="198" t="s">
        <v>1053</v>
      </c>
      <c r="E81" s="200" t="s">
        <v>1166</v>
      </c>
      <c r="F81" s="198">
        <v>209</v>
      </c>
      <c r="G81" s="200"/>
      <c r="H81" s="200"/>
      <c r="I81" s="200"/>
      <c r="J81" s="200">
        <v>0</v>
      </c>
      <c r="K81" s="200"/>
      <c r="L81" s="200"/>
      <c r="M81" s="200"/>
      <c r="N81" s="201">
        <v>39755</v>
      </c>
      <c r="O81" s="201">
        <v>39755</v>
      </c>
      <c r="P81" s="200"/>
      <c r="Q81" s="198">
        <v>700</v>
      </c>
      <c r="R81" s="198">
        <v>14050</v>
      </c>
      <c r="S81" s="202">
        <v>20900</v>
      </c>
      <c r="T81" s="198">
        <v>14056</v>
      </c>
      <c r="U81" s="202">
        <v>20900</v>
      </c>
      <c r="V81" s="202">
        <f t="shared" si="11"/>
        <v>0</v>
      </c>
      <c r="W81" s="203">
        <v>0</v>
      </c>
      <c r="X81" s="198">
        <v>54260</v>
      </c>
      <c r="Y81" s="202">
        <v>0</v>
      </c>
      <c r="Z81" s="200" t="s">
        <v>1059</v>
      </c>
      <c r="AA81" s="200" t="s">
        <v>1140</v>
      </c>
      <c r="AB81" s="200"/>
      <c r="AC81" s="200"/>
      <c r="AD81" s="200" t="s">
        <v>1058</v>
      </c>
      <c r="AE81" s="200" t="s">
        <v>1059</v>
      </c>
      <c r="AF81" s="198" t="s">
        <v>284</v>
      </c>
      <c r="AG81" s="204">
        <v>44347</v>
      </c>
      <c r="AH81" s="198" t="s">
        <v>1060</v>
      </c>
      <c r="AI81" s="200">
        <v>0</v>
      </c>
      <c r="AJ81" s="200">
        <v>20900</v>
      </c>
      <c r="AL81" s="205" t="s">
        <v>933</v>
      </c>
      <c r="AM81" s="205">
        <f t="shared" si="14"/>
        <v>11</v>
      </c>
      <c r="AN81" s="205">
        <f t="shared" si="15"/>
        <v>2008</v>
      </c>
      <c r="AO81" s="205">
        <f t="shared" si="16"/>
        <v>2015</v>
      </c>
      <c r="AP81" s="206">
        <f t="shared" si="17"/>
        <v>2015.9166666666667</v>
      </c>
      <c r="AQ81" s="207">
        <f t="shared" si="18"/>
        <v>248.80952380952382</v>
      </c>
      <c r="AR81" s="207">
        <f t="shared" si="19"/>
        <v>2985.7142857142858</v>
      </c>
      <c r="AS81" s="207">
        <f t="shared" si="20"/>
        <v>0</v>
      </c>
      <c r="AT81" s="208">
        <f t="shared" si="12"/>
        <v>20900</v>
      </c>
      <c r="AU81" s="207">
        <f t="shared" si="21"/>
        <v>20900</v>
      </c>
      <c r="AV81" s="208">
        <f t="shared" si="13"/>
        <v>0</v>
      </c>
    </row>
    <row r="82" spans="1:48" s="205" customFormat="1" ht="15">
      <c r="A82" s="197"/>
      <c r="B82" s="198">
        <v>2183</v>
      </c>
      <c r="C82" s="199">
        <v>253464</v>
      </c>
      <c r="D82" s="198" t="s">
        <v>1053</v>
      </c>
      <c r="E82" s="200" t="s">
        <v>1167</v>
      </c>
      <c r="F82" s="198">
        <v>7</v>
      </c>
      <c r="G82" s="200"/>
      <c r="H82" s="200"/>
      <c r="I82" s="200"/>
      <c r="J82" s="200">
        <v>0</v>
      </c>
      <c r="K82" s="200"/>
      <c r="L82" s="200"/>
      <c r="M82" s="200"/>
      <c r="N82" s="201">
        <v>39755</v>
      </c>
      <c r="O82" s="201">
        <v>39755</v>
      </c>
      <c r="P82" s="200"/>
      <c r="Q82" s="198">
        <v>700</v>
      </c>
      <c r="R82" s="198">
        <v>14050</v>
      </c>
      <c r="S82" s="202">
        <v>700</v>
      </c>
      <c r="T82" s="198">
        <v>14056</v>
      </c>
      <c r="U82" s="202">
        <v>700</v>
      </c>
      <c r="V82" s="202">
        <f t="shared" si="11"/>
        <v>0</v>
      </c>
      <c r="W82" s="203">
        <v>0</v>
      </c>
      <c r="X82" s="198">
        <v>54260</v>
      </c>
      <c r="Y82" s="202">
        <v>0</v>
      </c>
      <c r="Z82" s="200" t="s">
        <v>1059</v>
      </c>
      <c r="AA82" s="200" t="s">
        <v>1140</v>
      </c>
      <c r="AB82" s="200"/>
      <c r="AC82" s="200"/>
      <c r="AD82" s="200" t="s">
        <v>1058</v>
      </c>
      <c r="AE82" s="200" t="s">
        <v>1059</v>
      </c>
      <c r="AF82" s="198" t="s">
        <v>284</v>
      </c>
      <c r="AG82" s="204">
        <v>44347</v>
      </c>
      <c r="AH82" s="198" t="s">
        <v>1060</v>
      </c>
      <c r="AI82" s="200">
        <v>0</v>
      </c>
      <c r="AJ82" s="200">
        <v>700</v>
      </c>
      <c r="AL82" s="205" t="s">
        <v>933</v>
      </c>
      <c r="AM82" s="205">
        <f t="shared" si="14"/>
        <v>11</v>
      </c>
      <c r="AN82" s="205">
        <f t="shared" si="15"/>
        <v>2008</v>
      </c>
      <c r="AO82" s="205">
        <f t="shared" si="16"/>
        <v>2015</v>
      </c>
      <c r="AP82" s="206">
        <f t="shared" si="17"/>
        <v>2015.9166666666667</v>
      </c>
      <c r="AQ82" s="207">
        <f t="shared" si="18"/>
        <v>8.3333333333333339</v>
      </c>
      <c r="AR82" s="207">
        <f t="shared" si="19"/>
        <v>100</v>
      </c>
      <c r="AS82" s="207">
        <f t="shared" si="20"/>
        <v>0</v>
      </c>
      <c r="AT82" s="208">
        <f t="shared" si="12"/>
        <v>700</v>
      </c>
      <c r="AU82" s="207">
        <f t="shared" si="21"/>
        <v>700</v>
      </c>
      <c r="AV82" s="208">
        <f t="shared" si="13"/>
        <v>0</v>
      </c>
    </row>
    <row r="83" spans="1:48" s="205" customFormat="1" ht="15">
      <c r="A83" s="197"/>
      <c r="B83" s="198">
        <v>2183</v>
      </c>
      <c r="C83" s="199">
        <v>253463</v>
      </c>
      <c r="D83" s="198" t="s">
        <v>1053</v>
      </c>
      <c r="E83" s="200" t="s">
        <v>1168</v>
      </c>
      <c r="F83" s="198">
        <v>680</v>
      </c>
      <c r="G83" s="200"/>
      <c r="H83" s="200"/>
      <c r="I83" s="200"/>
      <c r="J83" s="200">
        <v>0</v>
      </c>
      <c r="K83" s="200"/>
      <c r="L83" s="200"/>
      <c r="M83" s="200"/>
      <c r="N83" s="201">
        <v>39755</v>
      </c>
      <c r="O83" s="201">
        <v>39755</v>
      </c>
      <c r="P83" s="200"/>
      <c r="Q83" s="198">
        <v>700</v>
      </c>
      <c r="R83" s="198">
        <v>14050</v>
      </c>
      <c r="S83" s="202">
        <v>68000</v>
      </c>
      <c r="T83" s="198">
        <v>14056</v>
      </c>
      <c r="U83" s="202">
        <v>68000</v>
      </c>
      <c r="V83" s="202">
        <f t="shared" si="11"/>
        <v>0</v>
      </c>
      <c r="W83" s="203">
        <v>0</v>
      </c>
      <c r="X83" s="198">
        <v>54260</v>
      </c>
      <c r="Y83" s="202">
        <v>0</v>
      </c>
      <c r="Z83" s="200" t="s">
        <v>1059</v>
      </c>
      <c r="AA83" s="200" t="s">
        <v>1140</v>
      </c>
      <c r="AB83" s="200"/>
      <c r="AC83" s="200"/>
      <c r="AD83" s="200" t="s">
        <v>1058</v>
      </c>
      <c r="AE83" s="200" t="s">
        <v>1059</v>
      </c>
      <c r="AF83" s="198" t="s">
        <v>284</v>
      </c>
      <c r="AG83" s="204">
        <v>44347</v>
      </c>
      <c r="AH83" s="198" t="s">
        <v>1060</v>
      </c>
      <c r="AI83" s="200">
        <v>0</v>
      </c>
      <c r="AJ83" s="200">
        <v>68000</v>
      </c>
      <c r="AL83" s="205" t="s">
        <v>933</v>
      </c>
      <c r="AM83" s="205">
        <f t="shared" si="14"/>
        <v>11</v>
      </c>
      <c r="AN83" s="205">
        <f t="shared" si="15"/>
        <v>2008</v>
      </c>
      <c r="AO83" s="205">
        <f t="shared" si="16"/>
        <v>2015</v>
      </c>
      <c r="AP83" s="206">
        <f t="shared" si="17"/>
        <v>2015.9166666666667</v>
      </c>
      <c r="AQ83" s="207">
        <f t="shared" si="18"/>
        <v>809.52380952380952</v>
      </c>
      <c r="AR83" s="207">
        <f t="shared" si="19"/>
        <v>9714.2857142857138</v>
      </c>
      <c r="AS83" s="207">
        <f t="shared" si="20"/>
        <v>0</v>
      </c>
      <c r="AT83" s="208">
        <f t="shared" si="12"/>
        <v>68000</v>
      </c>
      <c r="AU83" s="207">
        <f t="shared" si="21"/>
        <v>68000</v>
      </c>
      <c r="AV83" s="208">
        <f t="shared" si="13"/>
        <v>0</v>
      </c>
    </row>
    <row r="84" spans="1:48" s="205" customFormat="1" ht="15">
      <c r="A84" s="197"/>
      <c r="B84" s="198">
        <v>2183</v>
      </c>
      <c r="C84" s="199">
        <v>253462</v>
      </c>
      <c r="D84" s="198" t="s">
        <v>1053</v>
      </c>
      <c r="E84" s="200" t="s">
        <v>1169</v>
      </c>
      <c r="F84" s="198">
        <v>2</v>
      </c>
      <c r="G84" s="200"/>
      <c r="H84" s="200"/>
      <c r="I84" s="200"/>
      <c r="J84" s="200">
        <v>0</v>
      </c>
      <c r="K84" s="200"/>
      <c r="L84" s="200"/>
      <c r="M84" s="200"/>
      <c r="N84" s="201">
        <v>39755</v>
      </c>
      <c r="O84" s="201">
        <v>39755</v>
      </c>
      <c r="P84" s="200"/>
      <c r="Q84" s="198">
        <v>700</v>
      </c>
      <c r="R84" s="198">
        <v>14050</v>
      </c>
      <c r="S84" s="202">
        <v>200</v>
      </c>
      <c r="T84" s="198">
        <v>14056</v>
      </c>
      <c r="U84" s="202">
        <v>200</v>
      </c>
      <c r="V84" s="202">
        <f t="shared" si="11"/>
        <v>0</v>
      </c>
      <c r="W84" s="203">
        <v>0</v>
      </c>
      <c r="X84" s="198">
        <v>54260</v>
      </c>
      <c r="Y84" s="202">
        <v>0</v>
      </c>
      <c r="Z84" s="200" t="s">
        <v>1059</v>
      </c>
      <c r="AA84" s="200" t="s">
        <v>1140</v>
      </c>
      <c r="AB84" s="200"/>
      <c r="AC84" s="200"/>
      <c r="AD84" s="200" t="s">
        <v>1058</v>
      </c>
      <c r="AE84" s="200" t="s">
        <v>1059</v>
      </c>
      <c r="AF84" s="198" t="s">
        <v>284</v>
      </c>
      <c r="AG84" s="204">
        <v>44347</v>
      </c>
      <c r="AH84" s="198" t="s">
        <v>1060</v>
      </c>
      <c r="AI84" s="200">
        <v>0</v>
      </c>
      <c r="AJ84" s="200">
        <v>200</v>
      </c>
      <c r="AL84" s="205" t="s">
        <v>933</v>
      </c>
      <c r="AM84" s="205">
        <f t="shared" si="14"/>
        <v>11</v>
      </c>
      <c r="AN84" s="205">
        <f t="shared" si="15"/>
        <v>2008</v>
      </c>
      <c r="AO84" s="205">
        <f t="shared" si="16"/>
        <v>2015</v>
      </c>
      <c r="AP84" s="206">
        <f t="shared" si="17"/>
        <v>2015.9166666666667</v>
      </c>
      <c r="AQ84" s="207">
        <f t="shared" si="18"/>
        <v>2.3809523809523809</v>
      </c>
      <c r="AR84" s="207">
        <f t="shared" si="19"/>
        <v>28.571428571428569</v>
      </c>
      <c r="AS84" s="207">
        <f t="shared" si="20"/>
        <v>0</v>
      </c>
      <c r="AT84" s="208">
        <f t="shared" si="12"/>
        <v>200</v>
      </c>
      <c r="AU84" s="207">
        <f t="shared" si="21"/>
        <v>200</v>
      </c>
      <c r="AV84" s="208">
        <f t="shared" si="13"/>
        <v>0</v>
      </c>
    </row>
    <row r="85" spans="1:48" s="205" customFormat="1" ht="15">
      <c r="A85" s="197"/>
      <c r="B85" s="198">
        <v>2183</v>
      </c>
      <c r="C85" s="199">
        <v>253461</v>
      </c>
      <c r="D85" s="198" t="s">
        <v>1053</v>
      </c>
      <c r="E85" s="200" t="s">
        <v>1170</v>
      </c>
      <c r="F85" s="198">
        <v>121</v>
      </c>
      <c r="G85" s="200"/>
      <c r="H85" s="200"/>
      <c r="I85" s="200"/>
      <c r="J85" s="200">
        <v>0</v>
      </c>
      <c r="K85" s="200"/>
      <c r="L85" s="200"/>
      <c r="M85" s="200"/>
      <c r="N85" s="201">
        <v>39755</v>
      </c>
      <c r="O85" s="201">
        <v>39755</v>
      </c>
      <c r="P85" s="200"/>
      <c r="Q85" s="198">
        <v>700</v>
      </c>
      <c r="R85" s="198">
        <v>14050</v>
      </c>
      <c r="S85" s="202">
        <v>12100</v>
      </c>
      <c r="T85" s="198">
        <v>14056</v>
      </c>
      <c r="U85" s="202">
        <v>12100</v>
      </c>
      <c r="V85" s="202">
        <f t="shared" si="11"/>
        <v>0</v>
      </c>
      <c r="W85" s="203">
        <v>0</v>
      </c>
      <c r="X85" s="198">
        <v>54260</v>
      </c>
      <c r="Y85" s="202">
        <v>0</v>
      </c>
      <c r="Z85" s="200" t="s">
        <v>1059</v>
      </c>
      <c r="AA85" s="200" t="s">
        <v>1140</v>
      </c>
      <c r="AB85" s="200"/>
      <c r="AC85" s="200"/>
      <c r="AD85" s="200" t="s">
        <v>1058</v>
      </c>
      <c r="AE85" s="200" t="s">
        <v>1059</v>
      </c>
      <c r="AF85" s="198" t="s">
        <v>284</v>
      </c>
      <c r="AG85" s="204">
        <v>44347</v>
      </c>
      <c r="AH85" s="198" t="s">
        <v>1060</v>
      </c>
      <c r="AI85" s="200">
        <v>0</v>
      </c>
      <c r="AJ85" s="200">
        <v>12100</v>
      </c>
      <c r="AL85" s="205" t="s">
        <v>933</v>
      </c>
      <c r="AM85" s="205">
        <f t="shared" si="14"/>
        <v>11</v>
      </c>
      <c r="AN85" s="205">
        <f t="shared" si="15"/>
        <v>2008</v>
      </c>
      <c r="AO85" s="205">
        <f t="shared" si="16"/>
        <v>2015</v>
      </c>
      <c r="AP85" s="206">
        <f t="shared" si="17"/>
        <v>2015.9166666666667</v>
      </c>
      <c r="AQ85" s="207">
        <f t="shared" si="18"/>
        <v>144.04761904761907</v>
      </c>
      <c r="AR85" s="207">
        <f t="shared" si="19"/>
        <v>1728.5714285714289</v>
      </c>
      <c r="AS85" s="207">
        <f t="shared" si="20"/>
        <v>0</v>
      </c>
      <c r="AT85" s="208">
        <f t="shared" si="12"/>
        <v>12100</v>
      </c>
      <c r="AU85" s="207">
        <f t="shared" si="21"/>
        <v>12100</v>
      </c>
      <c r="AV85" s="208">
        <f t="shared" si="13"/>
        <v>0</v>
      </c>
    </row>
    <row r="86" spans="1:48" s="205" customFormat="1" ht="15">
      <c r="A86" s="197"/>
      <c r="B86" s="198">
        <v>2183</v>
      </c>
      <c r="C86" s="199">
        <v>253460</v>
      </c>
      <c r="D86" s="198" t="s">
        <v>1053</v>
      </c>
      <c r="E86" s="200" t="s">
        <v>1171</v>
      </c>
      <c r="F86" s="198">
        <v>429</v>
      </c>
      <c r="G86" s="200"/>
      <c r="H86" s="200"/>
      <c r="I86" s="200"/>
      <c r="J86" s="200">
        <v>0</v>
      </c>
      <c r="K86" s="200"/>
      <c r="L86" s="200"/>
      <c r="M86" s="200"/>
      <c r="N86" s="201">
        <v>39755</v>
      </c>
      <c r="O86" s="201">
        <v>39755</v>
      </c>
      <c r="P86" s="200"/>
      <c r="Q86" s="198">
        <v>700</v>
      </c>
      <c r="R86" s="198">
        <v>14050</v>
      </c>
      <c r="S86" s="202">
        <v>42900</v>
      </c>
      <c r="T86" s="198">
        <v>14056</v>
      </c>
      <c r="U86" s="202">
        <v>42900</v>
      </c>
      <c r="V86" s="202">
        <f t="shared" si="11"/>
        <v>0</v>
      </c>
      <c r="W86" s="203">
        <v>0</v>
      </c>
      <c r="X86" s="198">
        <v>54260</v>
      </c>
      <c r="Y86" s="202">
        <v>0</v>
      </c>
      <c r="Z86" s="200" t="s">
        <v>1059</v>
      </c>
      <c r="AA86" s="200" t="s">
        <v>1140</v>
      </c>
      <c r="AB86" s="200"/>
      <c r="AC86" s="200"/>
      <c r="AD86" s="200" t="s">
        <v>1058</v>
      </c>
      <c r="AE86" s="200" t="s">
        <v>1059</v>
      </c>
      <c r="AF86" s="198" t="s">
        <v>284</v>
      </c>
      <c r="AG86" s="204">
        <v>44347</v>
      </c>
      <c r="AH86" s="198" t="s">
        <v>1060</v>
      </c>
      <c r="AI86" s="200">
        <v>0</v>
      </c>
      <c r="AJ86" s="200">
        <v>42900</v>
      </c>
      <c r="AL86" s="205" t="s">
        <v>933</v>
      </c>
      <c r="AM86" s="205">
        <f t="shared" si="14"/>
        <v>11</v>
      </c>
      <c r="AN86" s="205">
        <f t="shared" si="15"/>
        <v>2008</v>
      </c>
      <c r="AO86" s="205">
        <f t="shared" si="16"/>
        <v>2015</v>
      </c>
      <c r="AP86" s="206">
        <f t="shared" si="17"/>
        <v>2015.9166666666667</v>
      </c>
      <c r="AQ86" s="207">
        <f t="shared" si="18"/>
        <v>510.71428571428572</v>
      </c>
      <c r="AR86" s="207">
        <f t="shared" si="19"/>
        <v>6128.5714285714284</v>
      </c>
      <c r="AS86" s="207">
        <f t="shared" si="20"/>
        <v>0</v>
      </c>
      <c r="AT86" s="208">
        <f t="shared" si="12"/>
        <v>42900</v>
      </c>
      <c r="AU86" s="207">
        <f t="shared" si="21"/>
        <v>42900</v>
      </c>
      <c r="AV86" s="208">
        <f t="shared" si="13"/>
        <v>0</v>
      </c>
    </row>
    <row r="87" spans="1:48" s="205" customFormat="1" ht="15">
      <c r="A87" s="197"/>
      <c r="B87" s="198">
        <v>2183</v>
      </c>
      <c r="C87" s="199">
        <v>253161</v>
      </c>
      <c r="D87" s="198" t="s">
        <v>1053</v>
      </c>
      <c r="E87" s="200" t="s">
        <v>882</v>
      </c>
      <c r="F87" s="198">
        <v>702</v>
      </c>
      <c r="G87" s="200"/>
      <c r="H87" s="200"/>
      <c r="I87" s="200" t="s">
        <v>1172</v>
      </c>
      <c r="J87" s="200">
        <v>0</v>
      </c>
      <c r="K87" s="200" t="s">
        <v>1068</v>
      </c>
      <c r="L87" s="200"/>
      <c r="M87" s="200" t="s">
        <v>1069</v>
      </c>
      <c r="N87" s="201">
        <v>44354</v>
      </c>
      <c r="O87" s="201">
        <v>44354</v>
      </c>
      <c r="P87" s="200" t="s">
        <v>1173</v>
      </c>
      <c r="Q87" s="198">
        <v>700</v>
      </c>
      <c r="R87" s="198">
        <v>14050</v>
      </c>
      <c r="S87" s="202">
        <v>42116.46</v>
      </c>
      <c r="T87" s="198">
        <v>14056</v>
      </c>
      <c r="U87" s="202">
        <v>3008.32</v>
      </c>
      <c r="V87" s="202">
        <f t="shared" si="11"/>
        <v>39108.14</v>
      </c>
      <c r="W87" s="203">
        <v>3008.32</v>
      </c>
      <c r="X87" s="198">
        <v>54260</v>
      </c>
      <c r="Y87" s="202">
        <v>501.38</v>
      </c>
      <c r="Z87" s="200" t="s">
        <v>1053</v>
      </c>
      <c r="AA87" s="200"/>
      <c r="AB87" s="200">
        <v>501737572</v>
      </c>
      <c r="AC87" s="200"/>
      <c r="AD87" s="200" t="s">
        <v>1058</v>
      </c>
      <c r="AE87" s="200" t="s">
        <v>1059</v>
      </c>
      <c r="AF87" s="198" t="s">
        <v>284</v>
      </c>
      <c r="AG87" s="200"/>
      <c r="AH87" s="198" t="s">
        <v>1060</v>
      </c>
      <c r="AI87" s="200">
        <v>0</v>
      </c>
      <c r="AJ87" s="200">
        <v>0</v>
      </c>
      <c r="AL87" s="205" t="s">
        <v>424</v>
      </c>
      <c r="AM87" s="205">
        <f t="shared" si="14"/>
        <v>6</v>
      </c>
      <c r="AN87" s="205">
        <f t="shared" si="15"/>
        <v>2021</v>
      </c>
      <c r="AO87" s="205">
        <f t="shared" si="16"/>
        <v>2028</v>
      </c>
      <c r="AP87" s="206">
        <f t="shared" si="17"/>
        <v>2028.5</v>
      </c>
      <c r="AQ87" s="207">
        <f t="shared" si="18"/>
        <v>501.38642857142855</v>
      </c>
      <c r="AR87" s="207">
        <f t="shared" si="19"/>
        <v>6016.6371428571429</v>
      </c>
      <c r="AS87" s="207">
        <f t="shared" si="20"/>
        <v>6016.6371428571429</v>
      </c>
      <c r="AT87" s="208">
        <f t="shared" si="12"/>
        <v>0</v>
      </c>
      <c r="AU87" s="207">
        <f t="shared" si="21"/>
        <v>6016.6371428571429</v>
      </c>
      <c r="AV87" s="208">
        <f t="shared" si="13"/>
        <v>36099.822857142855</v>
      </c>
    </row>
    <row r="88" spans="1:48" s="205" customFormat="1" ht="15">
      <c r="A88" s="197"/>
      <c r="B88" s="198">
        <v>2183</v>
      </c>
      <c r="C88" s="199">
        <v>253110</v>
      </c>
      <c r="D88" s="198">
        <v>251931</v>
      </c>
      <c r="E88" s="200" t="s">
        <v>1174</v>
      </c>
      <c r="F88" s="198"/>
      <c r="G88" s="200"/>
      <c r="H88" s="200"/>
      <c r="I88" s="200"/>
      <c r="J88" s="200">
        <v>2021</v>
      </c>
      <c r="K88" s="200"/>
      <c r="L88" s="200"/>
      <c r="M88" s="200" t="s">
        <v>1108</v>
      </c>
      <c r="N88" s="201">
        <v>44317</v>
      </c>
      <c r="O88" s="201">
        <v>44317</v>
      </c>
      <c r="P88" s="200" t="s">
        <v>1124</v>
      </c>
      <c r="Q88" s="198">
        <v>1000</v>
      </c>
      <c r="R88" s="198">
        <v>14040</v>
      </c>
      <c r="S88" s="202">
        <v>869.73</v>
      </c>
      <c r="T88" s="198">
        <v>14046</v>
      </c>
      <c r="U88" s="202">
        <v>50.73</v>
      </c>
      <c r="V88" s="202">
        <f t="shared" si="11"/>
        <v>819</v>
      </c>
      <c r="W88" s="203">
        <v>50.73</v>
      </c>
      <c r="X88" s="198">
        <v>51260</v>
      </c>
      <c r="Y88" s="202">
        <v>7.24</v>
      </c>
      <c r="Z88" s="200" t="s">
        <v>1053</v>
      </c>
      <c r="AA88" s="200"/>
      <c r="AB88" s="200"/>
      <c r="AC88" s="200"/>
      <c r="AD88" s="200" t="s">
        <v>1058</v>
      </c>
      <c r="AE88" s="200" t="s">
        <v>1059</v>
      </c>
      <c r="AF88" s="198" t="s">
        <v>284</v>
      </c>
      <c r="AG88" s="200"/>
      <c r="AH88" s="198" t="s">
        <v>1060</v>
      </c>
      <c r="AI88" s="200">
        <v>0</v>
      </c>
      <c r="AJ88" s="200">
        <v>0</v>
      </c>
      <c r="AK88" s="205">
        <f>+VLOOKUP($C88,'[22]Asset Addition Form'!$C:$K,3,FALSE)</f>
        <v>3705</v>
      </c>
      <c r="AL88" s="387" t="s">
        <v>2347</v>
      </c>
      <c r="AM88" s="205">
        <f t="shared" si="14"/>
        <v>5</v>
      </c>
      <c r="AN88" s="205">
        <f t="shared" si="15"/>
        <v>2021</v>
      </c>
      <c r="AO88" s="205">
        <f t="shared" si="16"/>
        <v>2031</v>
      </c>
      <c r="AP88" s="206">
        <f t="shared" si="17"/>
        <v>2031.4166666666667</v>
      </c>
      <c r="AQ88" s="207">
        <f t="shared" si="18"/>
        <v>7.2477499999999999</v>
      </c>
      <c r="AR88" s="207">
        <f t="shared" si="19"/>
        <v>86.972999999999999</v>
      </c>
      <c r="AS88" s="207">
        <f t="shared" si="20"/>
        <v>86.972999999999999</v>
      </c>
      <c r="AT88" s="208">
        <f t="shared" si="12"/>
        <v>0</v>
      </c>
      <c r="AU88" s="207">
        <f t="shared" si="21"/>
        <v>86.972999999999999</v>
      </c>
      <c r="AV88" s="208">
        <f t="shared" si="13"/>
        <v>782.75700000000006</v>
      </c>
    </row>
    <row r="89" spans="1:48" s="205" customFormat="1" ht="15">
      <c r="A89" s="197"/>
      <c r="B89" s="198">
        <v>2183</v>
      </c>
      <c r="C89" s="199">
        <v>252620</v>
      </c>
      <c r="D89" s="198" t="s">
        <v>1053</v>
      </c>
      <c r="E89" s="200" t="s">
        <v>1175</v>
      </c>
      <c r="F89" s="198">
        <v>936</v>
      </c>
      <c r="G89" s="200"/>
      <c r="H89" s="200"/>
      <c r="I89" s="200"/>
      <c r="J89" s="200">
        <v>0</v>
      </c>
      <c r="K89" s="200" t="s">
        <v>1068</v>
      </c>
      <c r="L89" s="200"/>
      <c r="M89" s="200" t="s">
        <v>1069</v>
      </c>
      <c r="N89" s="201">
        <v>44333</v>
      </c>
      <c r="O89" s="201">
        <v>44333</v>
      </c>
      <c r="P89" s="200" t="s">
        <v>1173</v>
      </c>
      <c r="Q89" s="198">
        <v>700</v>
      </c>
      <c r="R89" s="198">
        <v>14050</v>
      </c>
      <c r="S89" s="202">
        <v>50349.29</v>
      </c>
      <c r="T89" s="198">
        <v>14056</v>
      </c>
      <c r="U89" s="202">
        <v>3596.38</v>
      </c>
      <c r="V89" s="202">
        <f t="shared" si="11"/>
        <v>46752.91</v>
      </c>
      <c r="W89" s="203">
        <v>3596.38</v>
      </c>
      <c r="X89" s="198">
        <v>54260</v>
      </c>
      <c r="Y89" s="202">
        <v>599.39</v>
      </c>
      <c r="Z89" s="200" t="s">
        <v>1053</v>
      </c>
      <c r="AA89" s="200"/>
      <c r="AB89" s="200">
        <v>50169726</v>
      </c>
      <c r="AC89" s="200"/>
      <c r="AD89" s="200" t="s">
        <v>1058</v>
      </c>
      <c r="AE89" s="200" t="s">
        <v>1059</v>
      </c>
      <c r="AF89" s="198" t="s">
        <v>284</v>
      </c>
      <c r="AG89" s="200"/>
      <c r="AH89" s="198" t="s">
        <v>1060</v>
      </c>
      <c r="AI89" s="200">
        <v>0</v>
      </c>
      <c r="AJ89" s="200">
        <v>0</v>
      </c>
      <c r="AL89" s="205" t="s">
        <v>931</v>
      </c>
      <c r="AM89" s="205">
        <f t="shared" si="14"/>
        <v>5</v>
      </c>
      <c r="AN89" s="205">
        <f t="shared" si="15"/>
        <v>2021</v>
      </c>
      <c r="AO89" s="205">
        <f t="shared" si="16"/>
        <v>2028</v>
      </c>
      <c r="AP89" s="206">
        <f t="shared" si="17"/>
        <v>2028.4166666666667</v>
      </c>
      <c r="AQ89" s="207">
        <f t="shared" si="18"/>
        <v>599.39630952380946</v>
      </c>
      <c r="AR89" s="207">
        <f t="shared" si="19"/>
        <v>7192.7557142857131</v>
      </c>
      <c r="AS89" s="207">
        <f t="shared" si="20"/>
        <v>7192.7557142857131</v>
      </c>
      <c r="AT89" s="208">
        <f t="shared" si="12"/>
        <v>0</v>
      </c>
      <c r="AU89" s="207">
        <f t="shared" si="21"/>
        <v>7192.7557142857131</v>
      </c>
      <c r="AV89" s="208">
        <f t="shared" si="13"/>
        <v>43156.53428571429</v>
      </c>
    </row>
    <row r="90" spans="1:48" s="205" customFormat="1" ht="15">
      <c r="A90" s="197"/>
      <c r="B90" s="198">
        <v>2183</v>
      </c>
      <c r="C90" s="199">
        <v>252491</v>
      </c>
      <c r="D90" s="198">
        <v>249940</v>
      </c>
      <c r="E90" s="200" t="s">
        <v>790</v>
      </c>
      <c r="F90" s="198"/>
      <c r="G90" s="200"/>
      <c r="H90" s="200"/>
      <c r="I90" s="200"/>
      <c r="J90" s="200">
        <v>2021</v>
      </c>
      <c r="K90" s="200"/>
      <c r="L90" s="200"/>
      <c r="M90" s="200" t="s">
        <v>1108</v>
      </c>
      <c r="N90" s="201">
        <v>44288</v>
      </c>
      <c r="O90" s="201">
        <v>44288</v>
      </c>
      <c r="P90" s="200" t="s">
        <v>1163</v>
      </c>
      <c r="Q90" s="198">
        <v>500</v>
      </c>
      <c r="R90" s="198">
        <v>14040</v>
      </c>
      <c r="S90" s="202">
        <v>596.24</v>
      </c>
      <c r="T90" s="198">
        <v>14046</v>
      </c>
      <c r="U90" s="202">
        <v>79.5</v>
      </c>
      <c r="V90" s="202">
        <f t="shared" si="11"/>
        <v>516.74</v>
      </c>
      <c r="W90" s="203">
        <v>79.5</v>
      </c>
      <c r="X90" s="198">
        <v>51260</v>
      </c>
      <c r="Y90" s="202">
        <v>9.94</v>
      </c>
      <c r="Z90" s="200" t="s">
        <v>1053</v>
      </c>
      <c r="AA90" s="200"/>
      <c r="AB90" s="200"/>
      <c r="AC90" s="200"/>
      <c r="AD90" s="200" t="s">
        <v>1058</v>
      </c>
      <c r="AE90" s="200" t="s">
        <v>1059</v>
      </c>
      <c r="AF90" s="198" t="s">
        <v>284</v>
      </c>
      <c r="AG90" s="200"/>
      <c r="AH90" s="198" t="s">
        <v>1060</v>
      </c>
      <c r="AI90" s="200">
        <v>0</v>
      </c>
      <c r="AJ90" s="200">
        <v>0</v>
      </c>
      <c r="AK90" s="205">
        <f>+VLOOKUP($C90,'[22]Asset Addition Form'!$C:$K,3,FALSE)</f>
        <v>3704</v>
      </c>
      <c r="AL90" s="387" t="s">
        <v>2347</v>
      </c>
      <c r="AM90" s="205">
        <f t="shared" si="14"/>
        <v>4</v>
      </c>
      <c r="AN90" s="205">
        <f t="shared" si="15"/>
        <v>2021</v>
      </c>
      <c r="AO90" s="205">
        <f t="shared" si="16"/>
        <v>2026</v>
      </c>
      <c r="AP90" s="206">
        <f t="shared" si="17"/>
        <v>2026.3333333333333</v>
      </c>
      <c r="AQ90" s="207">
        <f t="shared" si="18"/>
        <v>9.9373333333333331</v>
      </c>
      <c r="AR90" s="207">
        <f t="shared" si="19"/>
        <v>119.24799999999999</v>
      </c>
      <c r="AS90" s="207">
        <f t="shared" si="20"/>
        <v>119.24799999999999</v>
      </c>
      <c r="AT90" s="208">
        <f t="shared" si="12"/>
        <v>0</v>
      </c>
      <c r="AU90" s="207">
        <f t="shared" si="21"/>
        <v>119.24799999999999</v>
      </c>
      <c r="AV90" s="208">
        <f t="shared" si="13"/>
        <v>476.99200000000002</v>
      </c>
    </row>
    <row r="91" spans="1:48" s="205" customFormat="1" ht="15">
      <c r="A91" s="197"/>
      <c r="B91" s="198">
        <v>2183</v>
      </c>
      <c r="C91" s="199">
        <v>251932</v>
      </c>
      <c r="D91" s="198">
        <v>251931</v>
      </c>
      <c r="E91" s="200" t="s">
        <v>1176</v>
      </c>
      <c r="F91" s="198"/>
      <c r="G91" s="200"/>
      <c r="H91" s="200" t="s">
        <v>1177</v>
      </c>
      <c r="I91" s="200"/>
      <c r="J91" s="200">
        <v>2021</v>
      </c>
      <c r="K91" s="200"/>
      <c r="L91" s="200"/>
      <c r="M91" s="200" t="s">
        <v>1108</v>
      </c>
      <c r="N91" s="201">
        <v>44317</v>
      </c>
      <c r="O91" s="201">
        <v>44317</v>
      </c>
      <c r="P91" s="200" t="s">
        <v>1124</v>
      </c>
      <c r="Q91" s="198">
        <v>1000</v>
      </c>
      <c r="R91" s="198">
        <v>14040</v>
      </c>
      <c r="S91" s="202">
        <v>180547</v>
      </c>
      <c r="T91" s="198">
        <v>14046</v>
      </c>
      <c r="U91" s="202">
        <v>10531.91</v>
      </c>
      <c r="V91" s="202">
        <f t="shared" si="11"/>
        <v>170015.09</v>
      </c>
      <c r="W91" s="203">
        <v>10531.91</v>
      </c>
      <c r="X91" s="198">
        <v>51260</v>
      </c>
      <c r="Y91" s="202">
        <v>1504.56</v>
      </c>
      <c r="Z91" s="200" t="s">
        <v>1053</v>
      </c>
      <c r="AA91" s="200"/>
      <c r="AB91" s="200"/>
      <c r="AC91" s="200"/>
      <c r="AD91" s="200" t="s">
        <v>1058</v>
      </c>
      <c r="AE91" s="200" t="s">
        <v>1059</v>
      </c>
      <c r="AF91" s="198" t="s">
        <v>284</v>
      </c>
      <c r="AG91" s="200"/>
      <c r="AH91" s="198" t="s">
        <v>1060</v>
      </c>
      <c r="AI91" s="200">
        <v>0</v>
      </c>
      <c r="AJ91" s="200">
        <v>0</v>
      </c>
      <c r="AK91" s="205">
        <f>+VLOOKUP($C91,'[22]Asset Addition Form'!$C:$K,3,FALSE)</f>
        <v>3705</v>
      </c>
      <c r="AL91" s="387" t="s">
        <v>2347</v>
      </c>
      <c r="AM91" s="205">
        <f t="shared" si="14"/>
        <v>5</v>
      </c>
      <c r="AN91" s="205">
        <f t="shared" si="15"/>
        <v>2021</v>
      </c>
      <c r="AO91" s="205">
        <f t="shared" si="16"/>
        <v>2031</v>
      </c>
      <c r="AP91" s="206">
        <f t="shared" si="17"/>
        <v>2031.4166666666667</v>
      </c>
      <c r="AQ91" s="207">
        <f t="shared" si="18"/>
        <v>1504.5583333333334</v>
      </c>
      <c r="AR91" s="207">
        <f t="shared" si="19"/>
        <v>18054.7</v>
      </c>
      <c r="AS91" s="207">
        <f t="shared" si="20"/>
        <v>18054.7</v>
      </c>
      <c r="AT91" s="208">
        <f t="shared" si="12"/>
        <v>0</v>
      </c>
      <c r="AU91" s="207">
        <f t="shared" si="21"/>
        <v>18054.7</v>
      </c>
      <c r="AV91" s="208">
        <f t="shared" si="13"/>
        <v>162492.29999999999</v>
      </c>
    </row>
    <row r="92" spans="1:48" s="205" customFormat="1" ht="15">
      <c r="A92" s="197"/>
      <c r="B92" s="198">
        <v>2183</v>
      </c>
      <c r="C92" s="199">
        <v>251931</v>
      </c>
      <c r="D92" s="198" t="s">
        <v>1053</v>
      </c>
      <c r="E92" s="200" t="s">
        <v>1178</v>
      </c>
      <c r="F92" s="198"/>
      <c r="G92" s="200"/>
      <c r="H92" s="200" t="s">
        <v>1177</v>
      </c>
      <c r="I92" s="200"/>
      <c r="J92" s="200">
        <v>2021</v>
      </c>
      <c r="K92" s="200"/>
      <c r="L92" s="200"/>
      <c r="M92" s="200" t="s">
        <v>1152</v>
      </c>
      <c r="N92" s="201">
        <v>44317</v>
      </c>
      <c r="O92" s="201">
        <v>44317</v>
      </c>
      <c r="P92" s="200" t="s">
        <v>1179</v>
      </c>
      <c r="Q92" s="198">
        <v>1000</v>
      </c>
      <c r="R92" s="198">
        <v>14040</v>
      </c>
      <c r="S92" s="202">
        <v>184139.1</v>
      </c>
      <c r="T92" s="198">
        <v>14046</v>
      </c>
      <c r="U92" s="202">
        <v>10741.44</v>
      </c>
      <c r="V92" s="202">
        <f t="shared" si="11"/>
        <v>173397.66</v>
      </c>
      <c r="W92" s="203">
        <v>10741.44</v>
      </c>
      <c r="X92" s="198">
        <v>51260</v>
      </c>
      <c r="Y92" s="202">
        <v>1534.49</v>
      </c>
      <c r="Z92" s="200" t="s">
        <v>1053</v>
      </c>
      <c r="AA92" s="200"/>
      <c r="AB92" s="200"/>
      <c r="AC92" s="200"/>
      <c r="AD92" s="200" t="s">
        <v>1058</v>
      </c>
      <c r="AE92" s="200" t="s">
        <v>1059</v>
      </c>
      <c r="AF92" s="198" t="s">
        <v>284</v>
      </c>
      <c r="AG92" s="200"/>
      <c r="AH92" s="198" t="s">
        <v>1060</v>
      </c>
      <c r="AI92" s="200">
        <v>0</v>
      </c>
      <c r="AJ92" s="200">
        <v>0</v>
      </c>
      <c r="AK92" s="205">
        <f>+VLOOKUP($C92,'[22]Asset Addition Form'!$C:$K,3,FALSE)</f>
        <v>3705</v>
      </c>
      <c r="AL92" s="387" t="s">
        <v>2347</v>
      </c>
      <c r="AM92" s="205">
        <f t="shared" si="14"/>
        <v>5</v>
      </c>
      <c r="AN92" s="205">
        <f t="shared" si="15"/>
        <v>2021</v>
      </c>
      <c r="AO92" s="205">
        <f t="shared" si="16"/>
        <v>2031</v>
      </c>
      <c r="AP92" s="206">
        <f t="shared" si="17"/>
        <v>2031.4166666666667</v>
      </c>
      <c r="AQ92" s="207">
        <f t="shared" si="18"/>
        <v>1534.4925000000001</v>
      </c>
      <c r="AR92" s="207">
        <f t="shared" si="19"/>
        <v>18413.91</v>
      </c>
      <c r="AS92" s="207">
        <f t="shared" si="20"/>
        <v>18413.91</v>
      </c>
      <c r="AT92" s="208">
        <f t="shared" si="12"/>
        <v>0</v>
      </c>
      <c r="AU92" s="207">
        <f t="shared" si="21"/>
        <v>18413.91</v>
      </c>
      <c r="AV92" s="208">
        <f t="shared" si="13"/>
        <v>165725.19</v>
      </c>
    </row>
    <row r="93" spans="1:48" s="205" customFormat="1" ht="15">
      <c r="A93" s="197"/>
      <c r="B93" s="198">
        <v>2183</v>
      </c>
      <c r="C93" s="199">
        <v>250273</v>
      </c>
      <c r="D93" s="198" t="s">
        <v>1053</v>
      </c>
      <c r="E93" s="200" t="s">
        <v>883</v>
      </c>
      <c r="F93" s="198">
        <v>702</v>
      </c>
      <c r="G93" s="200"/>
      <c r="H93" s="200"/>
      <c r="I93" s="200"/>
      <c r="J93" s="200">
        <v>0</v>
      </c>
      <c r="K93" s="200" t="s">
        <v>1068</v>
      </c>
      <c r="L93" s="200"/>
      <c r="M93" s="200" t="s">
        <v>1069</v>
      </c>
      <c r="N93" s="201">
        <v>44286</v>
      </c>
      <c r="O93" s="201">
        <v>44286</v>
      </c>
      <c r="P93" s="200" t="s">
        <v>1173</v>
      </c>
      <c r="Q93" s="198">
        <v>700</v>
      </c>
      <c r="R93" s="198">
        <v>14050</v>
      </c>
      <c r="S93" s="202">
        <v>36924.870000000003</v>
      </c>
      <c r="T93" s="198">
        <v>14056</v>
      </c>
      <c r="U93" s="202">
        <v>3516.66</v>
      </c>
      <c r="V93" s="202">
        <f t="shared" si="11"/>
        <v>33408.210000000006</v>
      </c>
      <c r="W93" s="203">
        <v>3516.66</v>
      </c>
      <c r="X93" s="198">
        <v>54260</v>
      </c>
      <c r="Y93" s="202">
        <v>439.58</v>
      </c>
      <c r="Z93" s="200" t="s">
        <v>1053</v>
      </c>
      <c r="AA93" s="200"/>
      <c r="AB93" s="200">
        <v>50160569</v>
      </c>
      <c r="AC93" s="200"/>
      <c r="AD93" s="200" t="s">
        <v>1058</v>
      </c>
      <c r="AE93" s="200" t="s">
        <v>1059</v>
      </c>
      <c r="AF93" s="198" t="s">
        <v>284</v>
      </c>
      <c r="AG93" s="200"/>
      <c r="AH93" s="198" t="s">
        <v>1060</v>
      </c>
      <c r="AI93" s="200">
        <v>0</v>
      </c>
      <c r="AJ93" s="200">
        <v>0</v>
      </c>
      <c r="AL93" s="205" t="s">
        <v>935</v>
      </c>
      <c r="AM93" s="205">
        <f t="shared" si="14"/>
        <v>3</v>
      </c>
      <c r="AN93" s="205">
        <f t="shared" si="15"/>
        <v>2021</v>
      </c>
      <c r="AO93" s="205">
        <f t="shared" si="16"/>
        <v>2028</v>
      </c>
      <c r="AP93" s="206">
        <f t="shared" si="17"/>
        <v>2028.25</v>
      </c>
      <c r="AQ93" s="207">
        <f t="shared" si="18"/>
        <v>439.58178571428579</v>
      </c>
      <c r="AR93" s="207">
        <f t="shared" si="19"/>
        <v>5274.9814285714292</v>
      </c>
      <c r="AS93" s="207">
        <f t="shared" si="20"/>
        <v>5274.9814285714292</v>
      </c>
      <c r="AT93" s="208">
        <f t="shared" si="12"/>
        <v>0</v>
      </c>
      <c r="AU93" s="207">
        <f t="shared" si="21"/>
        <v>5274.9814285714292</v>
      </c>
      <c r="AV93" s="208">
        <f t="shared" si="13"/>
        <v>31649.888571428572</v>
      </c>
    </row>
    <row r="94" spans="1:48" s="205" customFormat="1" ht="15">
      <c r="A94" s="197"/>
      <c r="B94" s="198">
        <v>2183</v>
      </c>
      <c r="C94" s="199">
        <v>250272</v>
      </c>
      <c r="D94" s="198" t="s">
        <v>1053</v>
      </c>
      <c r="E94" s="200" t="s">
        <v>1180</v>
      </c>
      <c r="F94" s="198">
        <v>702</v>
      </c>
      <c r="G94" s="200"/>
      <c r="H94" s="200"/>
      <c r="I94" s="200"/>
      <c r="J94" s="200">
        <v>0</v>
      </c>
      <c r="K94" s="200" t="s">
        <v>1068</v>
      </c>
      <c r="L94" s="200"/>
      <c r="M94" s="200" t="s">
        <v>1069</v>
      </c>
      <c r="N94" s="201">
        <v>44286</v>
      </c>
      <c r="O94" s="201">
        <v>44286</v>
      </c>
      <c r="P94" s="200" t="s">
        <v>1173</v>
      </c>
      <c r="Q94" s="198">
        <v>700</v>
      </c>
      <c r="R94" s="198">
        <v>14050</v>
      </c>
      <c r="S94" s="202">
        <v>36924.86</v>
      </c>
      <c r="T94" s="198">
        <v>14056</v>
      </c>
      <c r="U94" s="202">
        <v>3516.66</v>
      </c>
      <c r="V94" s="202">
        <f t="shared" si="11"/>
        <v>33408.199999999997</v>
      </c>
      <c r="W94" s="203">
        <v>3516.66</v>
      </c>
      <c r="X94" s="198">
        <v>54260</v>
      </c>
      <c r="Y94" s="202">
        <v>439.58</v>
      </c>
      <c r="Z94" s="200" t="s">
        <v>1053</v>
      </c>
      <c r="AA94" s="200"/>
      <c r="AB94" s="200">
        <v>50160569</v>
      </c>
      <c r="AC94" s="200"/>
      <c r="AD94" s="200" t="s">
        <v>1058</v>
      </c>
      <c r="AE94" s="200" t="s">
        <v>1059</v>
      </c>
      <c r="AF94" s="198" t="s">
        <v>284</v>
      </c>
      <c r="AG94" s="200"/>
      <c r="AH94" s="198" t="s">
        <v>1060</v>
      </c>
      <c r="AI94" s="200">
        <v>0</v>
      </c>
      <c r="AJ94" s="200">
        <v>0</v>
      </c>
      <c r="AL94" s="205" t="s">
        <v>931</v>
      </c>
      <c r="AM94" s="205">
        <f t="shared" si="14"/>
        <v>3</v>
      </c>
      <c r="AN94" s="205">
        <f t="shared" si="15"/>
        <v>2021</v>
      </c>
      <c r="AO94" s="205">
        <f t="shared" si="16"/>
        <v>2028</v>
      </c>
      <c r="AP94" s="206">
        <f t="shared" si="17"/>
        <v>2028.25</v>
      </c>
      <c r="AQ94" s="207">
        <f t="shared" si="18"/>
        <v>439.58166666666671</v>
      </c>
      <c r="AR94" s="207">
        <f t="shared" si="19"/>
        <v>5274.9800000000005</v>
      </c>
      <c r="AS94" s="207">
        <f t="shared" si="20"/>
        <v>5274.9800000000005</v>
      </c>
      <c r="AT94" s="208">
        <f t="shared" si="12"/>
        <v>0</v>
      </c>
      <c r="AU94" s="207">
        <f t="shared" si="21"/>
        <v>5274.9800000000005</v>
      </c>
      <c r="AV94" s="208">
        <f t="shared" si="13"/>
        <v>31649.88</v>
      </c>
    </row>
    <row r="95" spans="1:48" s="205" customFormat="1" ht="15">
      <c r="A95" s="197"/>
      <c r="B95" s="198">
        <v>2183</v>
      </c>
      <c r="C95" s="199">
        <v>249941</v>
      </c>
      <c r="D95" s="198">
        <v>249940</v>
      </c>
      <c r="E95" s="200" t="s">
        <v>1176</v>
      </c>
      <c r="F95" s="198"/>
      <c r="G95" s="200"/>
      <c r="H95" s="200" t="s">
        <v>1181</v>
      </c>
      <c r="I95" s="200"/>
      <c r="J95" s="200">
        <v>2021</v>
      </c>
      <c r="K95" s="200"/>
      <c r="L95" s="200"/>
      <c r="M95" s="200" t="s">
        <v>1108</v>
      </c>
      <c r="N95" s="201">
        <v>44288</v>
      </c>
      <c r="O95" s="201">
        <v>44288</v>
      </c>
      <c r="P95" s="200" t="s">
        <v>1163</v>
      </c>
      <c r="Q95" s="198">
        <v>1000</v>
      </c>
      <c r="R95" s="198">
        <v>14040</v>
      </c>
      <c r="S95" s="202">
        <v>184138.36</v>
      </c>
      <c r="T95" s="198">
        <v>14046</v>
      </c>
      <c r="U95" s="202">
        <v>12275.89</v>
      </c>
      <c r="V95" s="202">
        <f t="shared" si="11"/>
        <v>171862.46999999997</v>
      </c>
      <c r="W95" s="203">
        <v>12275.89</v>
      </c>
      <c r="X95" s="198">
        <v>51260</v>
      </c>
      <c r="Y95" s="202">
        <v>1534.48</v>
      </c>
      <c r="Z95" s="200" t="s">
        <v>1053</v>
      </c>
      <c r="AA95" s="200"/>
      <c r="AB95" s="200"/>
      <c r="AC95" s="200"/>
      <c r="AD95" s="200" t="s">
        <v>1058</v>
      </c>
      <c r="AE95" s="200" t="s">
        <v>1059</v>
      </c>
      <c r="AF95" s="198" t="s">
        <v>284</v>
      </c>
      <c r="AG95" s="200"/>
      <c r="AH95" s="198" t="s">
        <v>1060</v>
      </c>
      <c r="AI95" s="200">
        <v>0</v>
      </c>
      <c r="AJ95" s="200">
        <v>0</v>
      </c>
      <c r="AK95" s="205">
        <f>+VLOOKUP($C95,'[22]Asset Addition Form'!$C:$K,3,FALSE)</f>
        <v>3704</v>
      </c>
      <c r="AL95" s="387" t="s">
        <v>2347</v>
      </c>
      <c r="AM95" s="205">
        <f t="shared" si="14"/>
        <v>4</v>
      </c>
      <c r="AN95" s="205">
        <f t="shared" si="15"/>
        <v>2021</v>
      </c>
      <c r="AO95" s="205">
        <f t="shared" si="16"/>
        <v>2031</v>
      </c>
      <c r="AP95" s="206">
        <f t="shared" si="17"/>
        <v>2031.3333333333333</v>
      </c>
      <c r="AQ95" s="207">
        <f t="shared" si="18"/>
        <v>1534.4863333333333</v>
      </c>
      <c r="AR95" s="207">
        <f t="shared" si="19"/>
        <v>18413.835999999999</v>
      </c>
      <c r="AS95" s="207">
        <f t="shared" si="20"/>
        <v>18413.835999999999</v>
      </c>
      <c r="AT95" s="208">
        <f t="shared" si="12"/>
        <v>0</v>
      </c>
      <c r="AU95" s="207">
        <f t="shared" si="21"/>
        <v>18413.835999999999</v>
      </c>
      <c r="AV95" s="208">
        <f t="shared" si="13"/>
        <v>165724.52399999998</v>
      </c>
    </row>
    <row r="96" spans="1:48" s="205" customFormat="1" ht="15">
      <c r="A96" s="197"/>
      <c r="B96" s="198">
        <v>2183</v>
      </c>
      <c r="C96" s="199">
        <v>249940</v>
      </c>
      <c r="D96" s="198" t="s">
        <v>1053</v>
      </c>
      <c r="E96" s="200" t="s">
        <v>1178</v>
      </c>
      <c r="F96" s="198"/>
      <c r="G96" s="200"/>
      <c r="H96" s="200" t="s">
        <v>1181</v>
      </c>
      <c r="I96" s="200"/>
      <c r="J96" s="200">
        <v>2021</v>
      </c>
      <c r="K96" s="200"/>
      <c r="L96" s="200"/>
      <c r="M96" s="200" t="s">
        <v>1152</v>
      </c>
      <c r="N96" s="201">
        <v>44288</v>
      </c>
      <c r="O96" s="201">
        <v>44288</v>
      </c>
      <c r="P96" s="200" t="s">
        <v>1182</v>
      </c>
      <c r="Q96" s="198">
        <v>1000</v>
      </c>
      <c r="R96" s="198">
        <v>14040</v>
      </c>
      <c r="S96" s="202">
        <v>184139.1</v>
      </c>
      <c r="T96" s="198">
        <v>14046</v>
      </c>
      <c r="U96" s="202">
        <v>12275.93</v>
      </c>
      <c r="V96" s="202">
        <f t="shared" si="11"/>
        <v>171863.17</v>
      </c>
      <c r="W96" s="203">
        <v>12275.93</v>
      </c>
      <c r="X96" s="198">
        <v>51260</v>
      </c>
      <c r="Y96" s="202">
        <v>1534.49</v>
      </c>
      <c r="Z96" s="200" t="s">
        <v>1053</v>
      </c>
      <c r="AA96" s="200"/>
      <c r="AB96" s="200"/>
      <c r="AC96" s="200"/>
      <c r="AD96" s="200" t="s">
        <v>1058</v>
      </c>
      <c r="AE96" s="200" t="s">
        <v>1059</v>
      </c>
      <c r="AF96" s="198" t="s">
        <v>284</v>
      </c>
      <c r="AG96" s="200"/>
      <c r="AH96" s="198" t="s">
        <v>1060</v>
      </c>
      <c r="AI96" s="200">
        <v>0</v>
      </c>
      <c r="AJ96" s="200">
        <v>0</v>
      </c>
      <c r="AK96" s="205">
        <f>+VLOOKUP($C96,'[22]Asset Addition Form'!$C:$K,3,FALSE)</f>
        <v>3704</v>
      </c>
      <c r="AL96" s="387" t="s">
        <v>2347</v>
      </c>
      <c r="AM96" s="205">
        <f t="shared" si="14"/>
        <v>4</v>
      </c>
      <c r="AN96" s="205">
        <f t="shared" si="15"/>
        <v>2021</v>
      </c>
      <c r="AO96" s="205">
        <f t="shared" si="16"/>
        <v>2031</v>
      </c>
      <c r="AP96" s="206">
        <f t="shared" si="17"/>
        <v>2031.3333333333333</v>
      </c>
      <c r="AQ96" s="207">
        <f t="shared" si="18"/>
        <v>1534.4925000000001</v>
      </c>
      <c r="AR96" s="207">
        <f t="shared" si="19"/>
        <v>18413.91</v>
      </c>
      <c r="AS96" s="207">
        <f t="shared" si="20"/>
        <v>18413.91</v>
      </c>
      <c r="AT96" s="208">
        <f t="shared" si="12"/>
        <v>0</v>
      </c>
      <c r="AU96" s="207">
        <f t="shared" si="21"/>
        <v>18413.91</v>
      </c>
      <c r="AV96" s="208">
        <f t="shared" si="13"/>
        <v>165725.19</v>
      </c>
    </row>
    <row r="97" spans="1:48" s="205" customFormat="1" ht="15">
      <c r="A97" s="197"/>
      <c r="B97" s="198">
        <v>2183</v>
      </c>
      <c r="C97" s="199">
        <v>249589</v>
      </c>
      <c r="D97" s="198">
        <v>243666</v>
      </c>
      <c r="E97" s="200" t="s">
        <v>1183</v>
      </c>
      <c r="F97" s="198"/>
      <c r="G97" s="200"/>
      <c r="H97" s="200"/>
      <c r="I97" s="200"/>
      <c r="J97" s="200">
        <v>0</v>
      </c>
      <c r="K97" s="200" t="s">
        <v>1184</v>
      </c>
      <c r="L97" s="200"/>
      <c r="M97" s="200" t="s">
        <v>1108</v>
      </c>
      <c r="N97" s="201">
        <v>44197</v>
      </c>
      <c r="O97" s="201">
        <v>44197</v>
      </c>
      <c r="P97" s="200" t="s">
        <v>1185</v>
      </c>
      <c r="Q97" s="198">
        <v>1000</v>
      </c>
      <c r="R97" s="198">
        <v>14040</v>
      </c>
      <c r="S97" s="202">
        <v>738.45</v>
      </c>
      <c r="T97" s="198">
        <v>14046</v>
      </c>
      <c r="U97" s="202">
        <v>67.7</v>
      </c>
      <c r="V97" s="202">
        <f t="shared" si="11"/>
        <v>670.75</v>
      </c>
      <c r="W97" s="203">
        <v>67.7</v>
      </c>
      <c r="X97" s="198">
        <v>51260</v>
      </c>
      <c r="Y97" s="202">
        <v>6.16</v>
      </c>
      <c r="Z97" s="200" t="s">
        <v>1053</v>
      </c>
      <c r="AA97" s="200"/>
      <c r="AB97" s="200">
        <v>28033</v>
      </c>
      <c r="AC97" s="200"/>
      <c r="AD97" s="200" t="s">
        <v>1058</v>
      </c>
      <c r="AE97" s="200" t="s">
        <v>1059</v>
      </c>
      <c r="AF97" s="198" t="s">
        <v>284</v>
      </c>
      <c r="AG97" s="200"/>
      <c r="AH97" s="198" t="s">
        <v>1060</v>
      </c>
      <c r="AI97" s="200">
        <v>0</v>
      </c>
      <c r="AJ97" s="200">
        <v>0</v>
      </c>
      <c r="AK97" s="205">
        <f>+VLOOKUP($C97,'[22]Asset Addition Form'!$C:$K,3,FALSE)</f>
        <v>1088</v>
      </c>
      <c r="AL97" s="205" t="s">
        <v>2190</v>
      </c>
      <c r="AM97" s="205">
        <f t="shared" si="14"/>
        <v>1</v>
      </c>
      <c r="AN97" s="205">
        <f t="shared" si="15"/>
        <v>2021</v>
      </c>
      <c r="AO97" s="205">
        <f t="shared" si="16"/>
        <v>2031</v>
      </c>
      <c r="AP97" s="206">
        <f t="shared" si="17"/>
        <v>2031.0833333333333</v>
      </c>
      <c r="AQ97" s="207">
        <f t="shared" si="18"/>
        <v>6.1537499999999996</v>
      </c>
      <c r="AR97" s="207">
        <f t="shared" si="19"/>
        <v>73.844999999999999</v>
      </c>
      <c r="AS97" s="207">
        <f t="shared" si="20"/>
        <v>73.844999999999999</v>
      </c>
      <c r="AT97" s="208">
        <f t="shared" si="12"/>
        <v>0</v>
      </c>
      <c r="AU97" s="207">
        <f t="shared" si="21"/>
        <v>73.844999999999999</v>
      </c>
      <c r="AV97" s="208">
        <f t="shared" si="13"/>
        <v>664.60500000000002</v>
      </c>
    </row>
    <row r="98" spans="1:48" s="205" customFormat="1" ht="15">
      <c r="A98" s="197"/>
      <c r="B98" s="198">
        <v>2183</v>
      </c>
      <c r="C98" s="199">
        <v>249588</v>
      </c>
      <c r="D98" s="198">
        <v>242814</v>
      </c>
      <c r="E98" s="200" t="s">
        <v>1186</v>
      </c>
      <c r="F98" s="198"/>
      <c r="G98" s="200"/>
      <c r="H98" s="200"/>
      <c r="I98" s="200"/>
      <c r="J98" s="200">
        <v>0</v>
      </c>
      <c r="K98" s="200" t="s">
        <v>1107</v>
      </c>
      <c r="L98" s="200"/>
      <c r="M98" s="200" t="s">
        <v>1108</v>
      </c>
      <c r="N98" s="201">
        <v>44197</v>
      </c>
      <c r="O98" s="201">
        <v>44197</v>
      </c>
      <c r="P98" s="200" t="s">
        <v>1187</v>
      </c>
      <c r="Q98" s="198">
        <v>1000</v>
      </c>
      <c r="R98" s="198">
        <v>14040</v>
      </c>
      <c r="S98" s="202">
        <v>705.63</v>
      </c>
      <c r="T98" s="198">
        <v>14046</v>
      </c>
      <c r="U98" s="202">
        <v>64.680000000000007</v>
      </c>
      <c r="V98" s="202">
        <f t="shared" si="11"/>
        <v>640.95000000000005</v>
      </c>
      <c r="W98" s="203">
        <v>64.680000000000007</v>
      </c>
      <c r="X98" s="198">
        <v>51260</v>
      </c>
      <c r="Y98" s="202">
        <v>5.88</v>
      </c>
      <c r="Z98" s="200" t="s">
        <v>1053</v>
      </c>
      <c r="AA98" s="200"/>
      <c r="AB98" s="200">
        <v>28032</v>
      </c>
      <c r="AC98" s="200"/>
      <c r="AD98" s="200" t="s">
        <v>1058</v>
      </c>
      <c r="AE98" s="200" t="s">
        <v>1059</v>
      </c>
      <c r="AF98" s="198" t="s">
        <v>284</v>
      </c>
      <c r="AG98" s="200"/>
      <c r="AH98" s="198" t="s">
        <v>1060</v>
      </c>
      <c r="AI98" s="200">
        <v>0</v>
      </c>
      <c r="AJ98" s="200">
        <v>0</v>
      </c>
      <c r="AK98" s="205">
        <f>+VLOOKUP($C98,'[22]Asset Addition Form'!$C:$K,3,FALSE)</f>
        <v>5051</v>
      </c>
      <c r="AL98" s="205" t="s">
        <v>2192</v>
      </c>
      <c r="AM98" s="205">
        <f t="shared" si="14"/>
        <v>1</v>
      </c>
      <c r="AN98" s="205">
        <f t="shared" si="15"/>
        <v>2021</v>
      </c>
      <c r="AO98" s="205">
        <f t="shared" si="16"/>
        <v>2031</v>
      </c>
      <c r="AP98" s="206">
        <f t="shared" si="17"/>
        <v>2031.0833333333333</v>
      </c>
      <c r="AQ98" s="207">
        <f t="shared" si="18"/>
        <v>5.8802500000000002</v>
      </c>
      <c r="AR98" s="207">
        <f t="shared" si="19"/>
        <v>70.563000000000002</v>
      </c>
      <c r="AS98" s="207">
        <f t="shared" si="20"/>
        <v>70.563000000000002</v>
      </c>
      <c r="AT98" s="208">
        <f t="shared" si="12"/>
        <v>0</v>
      </c>
      <c r="AU98" s="207">
        <f t="shared" si="21"/>
        <v>70.563000000000002</v>
      </c>
      <c r="AV98" s="208">
        <f t="shared" si="13"/>
        <v>635.06700000000001</v>
      </c>
    </row>
    <row r="99" spans="1:48" s="205" customFormat="1" ht="15">
      <c r="A99" s="197"/>
      <c r="B99" s="198">
        <v>2183</v>
      </c>
      <c r="C99" s="199">
        <v>247406</v>
      </c>
      <c r="D99" s="198">
        <v>219336</v>
      </c>
      <c r="E99" s="200" t="s">
        <v>1188</v>
      </c>
      <c r="F99" s="198"/>
      <c r="G99" s="200"/>
      <c r="H99" s="200"/>
      <c r="I99" s="200"/>
      <c r="J99" s="200">
        <v>0</v>
      </c>
      <c r="K99" s="200"/>
      <c r="L99" s="200"/>
      <c r="M99" s="200" t="s">
        <v>1108</v>
      </c>
      <c r="N99" s="201">
        <v>44228</v>
      </c>
      <c r="O99" s="201">
        <v>44228</v>
      </c>
      <c r="P99" s="200" t="s">
        <v>1189</v>
      </c>
      <c r="Q99" s="198">
        <v>806</v>
      </c>
      <c r="R99" s="198">
        <v>14040</v>
      </c>
      <c r="S99" s="202">
        <v>-300</v>
      </c>
      <c r="T99" s="198">
        <v>14046</v>
      </c>
      <c r="U99" s="202">
        <v>-29.4</v>
      </c>
      <c r="V99" s="202">
        <f t="shared" si="11"/>
        <v>-270.60000000000002</v>
      </c>
      <c r="W99" s="203">
        <v>-29.4</v>
      </c>
      <c r="X99" s="198">
        <v>51260</v>
      </c>
      <c r="Y99" s="202">
        <v>-2.94</v>
      </c>
      <c r="Z99" s="200" t="s">
        <v>1053</v>
      </c>
      <c r="AA99" s="200"/>
      <c r="AB99" s="200"/>
      <c r="AC99" s="200"/>
      <c r="AD99" s="200" t="s">
        <v>1058</v>
      </c>
      <c r="AE99" s="200" t="s">
        <v>1059</v>
      </c>
      <c r="AF99" s="198" t="s">
        <v>284</v>
      </c>
      <c r="AG99" s="200"/>
      <c r="AH99" s="198" t="s">
        <v>1060</v>
      </c>
      <c r="AI99" s="200">
        <v>0</v>
      </c>
      <c r="AJ99" s="200">
        <v>0</v>
      </c>
      <c r="AK99" s="205">
        <f>+VLOOKUP($C99,'[22]Asset Addition Form'!$C:$K,3,FALSE)</f>
        <v>6060</v>
      </c>
      <c r="AL99" s="205" t="s">
        <v>934</v>
      </c>
      <c r="AM99" s="205">
        <f t="shared" si="14"/>
        <v>2</v>
      </c>
      <c r="AN99" s="205">
        <f t="shared" si="15"/>
        <v>2021</v>
      </c>
      <c r="AO99" s="205">
        <f t="shared" si="16"/>
        <v>2029.06</v>
      </c>
      <c r="AP99" s="206">
        <f t="shared" si="17"/>
        <v>2029.2266666666667</v>
      </c>
      <c r="AQ99" s="207">
        <f t="shared" si="18"/>
        <v>-3.1017369727047144</v>
      </c>
      <c r="AR99" s="207">
        <f t="shared" si="19"/>
        <v>-37.220843672456574</v>
      </c>
      <c r="AS99" s="207">
        <f t="shared" si="20"/>
        <v>-37.220843672456574</v>
      </c>
      <c r="AT99" s="208">
        <f t="shared" si="12"/>
        <v>0</v>
      </c>
      <c r="AU99" s="207">
        <f t="shared" si="21"/>
        <v>-37.220843672456574</v>
      </c>
      <c r="AV99" s="208">
        <f t="shared" si="13"/>
        <v>-262.77915632754343</v>
      </c>
    </row>
    <row r="100" spans="1:48" s="205" customFormat="1" ht="15">
      <c r="A100" s="197"/>
      <c r="B100" s="198">
        <v>2183</v>
      </c>
      <c r="C100" s="199">
        <v>245845</v>
      </c>
      <c r="D100" s="198" t="s">
        <v>1053</v>
      </c>
      <c r="E100" s="200" t="s">
        <v>883</v>
      </c>
      <c r="F100" s="198">
        <v>702</v>
      </c>
      <c r="G100" s="200"/>
      <c r="H100" s="200"/>
      <c r="I100" s="200"/>
      <c r="J100" s="200">
        <v>0</v>
      </c>
      <c r="K100" s="200" t="s">
        <v>1068</v>
      </c>
      <c r="L100" s="200"/>
      <c r="M100" s="200" t="s">
        <v>1069</v>
      </c>
      <c r="N100" s="201">
        <v>44207</v>
      </c>
      <c r="O100" s="201">
        <v>44207</v>
      </c>
      <c r="P100" s="200" t="s">
        <v>1173</v>
      </c>
      <c r="Q100" s="198">
        <v>700</v>
      </c>
      <c r="R100" s="198">
        <v>14050</v>
      </c>
      <c r="S100" s="202">
        <v>32670.21</v>
      </c>
      <c r="T100" s="198">
        <v>14056</v>
      </c>
      <c r="U100" s="202">
        <v>4278.2299999999996</v>
      </c>
      <c r="V100" s="202">
        <f t="shared" si="11"/>
        <v>28391.98</v>
      </c>
      <c r="W100" s="203">
        <v>4278.2299999999996</v>
      </c>
      <c r="X100" s="198">
        <v>54260</v>
      </c>
      <c r="Y100" s="202">
        <v>388.93</v>
      </c>
      <c r="Z100" s="200" t="s">
        <v>1053</v>
      </c>
      <c r="AA100" s="200"/>
      <c r="AB100" s="200">
        <v>50145152</v>
      </c>
      <c r="AC100" s="200"/>
      <c r="AD100" s="200" t="s">
        <v>1058</v>
      </c>
      <c r="AE100" s="200" t="s">
        <v>1059</v>
      </c>
      <c r="AF100" s="198" t="s">
        <v>284</v>
      </c>
      <c r="AG100" s="200"/>
      <c r="AH100" s="198" t="s">
        <v>1060</v>
      </c>
      <c r="AI100" s="200">
        <v>0</v>
      </c>
      <c r="AJ100" s="200">
        <v>0</v>
      </c>
      <c r="AL100" s="205" t="s">
        <v>935</v>
      </c>
      <c r="AM100" s="205">
        <f t="shared" si="14"/>
        <v>1</v>
      </c>
      <c r="AN100" s="205">
        <f t="shared" si="15"/>
        <v>2021</v>
      </c>
      <c r="AO100" s="205">
        <f t="shared" si="16"/>
        <v>2028</v>
      </c>
      <c r="AP100" s="206">
        <f t="shared" si="17"/>
        <v>2028.0833333333333</v>
      </c>
      <c r="AQ100" s="207">
        <f t="shared" si="18"/>
        <v>388.93107142857139</v>
      </c>
      <c r="AR100" s="207">
        <f t="shared" si="19"/>
        <v>4667.1728571428566</v>
      </c>
      <c r="AS100" s="207">
        <f t="shared" si="20"/>
        <v>4667.1728571428566</v>
      </c>
      <c r="AT100" s="208">
        <f t="shared" si="12"/>
        <v>0</v>
      </c>
      <c r="AU100" s="207">
        <f t="shared" si="21"/>
        <v>4667.1728571428566</v>
      </c>
      <c r="AV100" s="208">
        <f t="shared" si="13"/>
        <v>28003.037142857142</v>
      </c>
    </row>
    <row r="101" spans="1:48" s="205" customFormat="1" ht="15">
      <c r="A101" s="197"/>
      <c r="B101" s="198">
        <v>2183</v>
      </c>
      <c r="C101" s="199">
        <v>245844</v>
      </c>
      <c r="D101" s="198" t="s">
        <v>1053</v>
      </c>
      <c r="E101" s="200" t="s">
        <v>882</v>
      </c>
      <c r="F101" s="198">
        <v>702</v>
      </c>
      <c r="G101" s="200"/>
      <c r="H101" s="200"/>
      <c r="I101" s="200"/>
      <c r="J101" s="200">
        <v>0</v>
      </c>
      <c r="K101" s="200" t="s">
        <v>1068</v>
      </c>
      <c r="L101" s="200"/>
      <c r="M101" s="200" t="s">
        <v>1069</v>
      </c>
      <c r="N101" s="201">
        <v>44207</v>
      </c>
      <c r="O101" s="201">
        <v>44207</v>
      </c>
      <c r="P101" s="200" t="s">
        <v>1173</v>
      </c>
      <c r="Q101" s="198">
        <v>700</v>
      </c>
      <c r="R101" s="198">
        <v>14050</v>
      </c>
      <c r="S101" s="202">
        <v>32670.21</v>
      </c>
      <c r="T101" s="198">
        <v>14056</v>
      </c>
      <c r="U101" s="202">
        <v>4278.2299999999996</v>
      </c>
      <c r="V101" s="202">
        <f t="shared" si="11"/>
        <v>28391.98</v>
      </c>
      <c r="W101" s="203">
        <v>4278.2299999999996</v>
      </c>
      <c r="X101" s="198">
        <v>54260</v>
      </c>
      <c r="Y101" s="202">
        <v>388.93</v>
      </c>
      <c r="Z101" s="200" t="s">
        <v>1053</v>
      </c>
      <c r="AA101" s="200"/>
      <c r="AB101" s="200">
        <v>50145152</v>
      </c>
      <c r="AC101" s="200"/>
      <c r="AD101" s="200" t="s">
        <v>1058</v>
      </c>
      <c r="AE101" s="200" t="s">
        <v>1059</v>
      </c>
      <c r="AF101" s="198" t="s">
        <v>284</v>
      </c>
      <c r="AG101" s="200"/>
      <c r="AH101" s="198" t="s">
        <v>1060</v>
      </c>
      <c r="AI101" s="200">
        <v>0</v>
      </c>
      <c r="AJ101" s="200">
        <v>0</v>
      </c>
      <c r="AL101" s="205" t="s">
        <v>424</v>
      </c>
      <c r="AM101" s="205">
        <f t="shared" si="14"/>
        <v>1</v>
      </c>
      <c r="AN101" s="205">
        <f t="shared" si="15"/>
        <v>2021</v>
      </c>
      <c r="AO101" s="205">
        <f t="shared" si="16"/>
        <v>2028</v>
      </c>
      <c r="AP101" s="206">
        <f t="shared" si="17"/>
        <v>2028.0833333333333</v>
      </c>
      <c r="AQ101" s="207">
        <f t="shared" si="18"/>
        <v>388.93107142857139</v>
      </c>
      <c r="AR101" s="207">
        <f t="shared" si="19"/>
        <v>4667.1728571428566</v>
      </c>
      <c r="AS101" s="207">
        <f t="shared" si="20"/>
        <v>4667.1728571428566</v>
      </c>
      <c r="AT101" s="208">
        <f t="shared" si="12"/>
        <v>0</v>
      </c>
      <c r="AU101" s="207">
        <f t="shared" si="21"/>
        <v>4667.1728571428566</v>
      </c>
      <c r="AV101" s="208">
        <f t="shared" si="13"/>
        <v>28003.037142857142</v>
      </c>
    </row>
    <row r="102" spans="1:48" s="205" customFormat="1" ht="15">
      <c r="A102" s="197"/>
      <c r="B102" s="198">
        <v>2183</v>
      </c>
      <c r="C102" s="199">
        <v>245709</v>
      </c>
      <c r="D102" s="198">
        <v>242814</v>
      </c>
      <c r="E102" s="200" t="s">
        <v>1190</v>
      </c>
      <c r="F102" s="198"/>
      <c r="G102" s="200"/>
      <c r="H102" s="200"/>
      <c r="I102" s="200"/>
      <c r="J102" s="200">
        <v>0</v>
      </c>
      <c r="K102" s="200" t="s">
        <v>1120</v>
      </c>
      <c r="L102" s="200"/>
      <c r="M102" s="200" t="s">
        <v>1108</v>
      </c>
      <c r="N102" s="201">
        <v>44197</v>
      </c>
      <c r="O102" s="201">
        <v>44197</v>
      </c>
      <c r="P102" s="200" t="s">
        <v>1187</v>
      </c>
      <c r="Q102" s="198">
        <v>500</v>
      </c>
      <c r="R102" s="198">
        <v>14040</v>
      </c>
      <c r="S102" s="202">
        <v>784.07</v>
      </c>
      <c r="T102" s="198">
        <v>14046</v>
      </c>
      <c r="U102" s="202">
        <v>143.74</v>
      </c>
      <c r="V102" s="202">
        <f t="shared" si="11"/>
        <v>640.33000000000004</v>
      </c>
      <c r="W102" s="203">
        <v>143.74</v>
      </c>
      <c r="X102" s="198">
        <v>51260</v>
      </c>
      <c r="Y102" s="202">
        <v>13.06</v>
      </c>
      <c r="Z102" s="200" t="s">
        <v>1053</v>
      </c>
      <c r="AA102" s="200"/>
      <c r="AB102" s="200">
        <v>70354</v>
      </c>
      <c r="AC102" s="200"/>
      <c r="AD102" s="200" t="s">
        <v>1058</v>
      </c>
      <c r="AE102" s="200" t="s">
        <v>1059</v>
      </c>
      <c r="AF102" s="198" t="s">
        <v>284</v>
      </c>
      <c r="AG102" s="200"/>
      <c r="AH102" s="198" t="s">
        <v>1060</v>
      </c>
      <c r="AI102" s="200">
        <v>0</v>
      </c>
      <c r="AJ102" s="200">
        <v>0</v>
      </c>
      <c r="AK102" s="205">
        <f>+VLOOKUP($C102,'[22]Asset Addition Form'!$C:$K,3,FALSE)</f>
        <v>5051</v>
      </c>
      <c r="AL102" s="205" t="s">
        <v>2192</v>
      </c>
      <c r="AM102" s="205">
        <f t="shared" si="14"/>
        <v>1</v>
      </c>
      <c r="AN102" s="205">
        <f t="shared" si="15"/>
        <v>2021</v>
      </c>
      <c r="AO102" s="205">
        <f t="shared" si="16"/>
        <v>2026</v>
      </c>
      <c r="AP102" s="206">
        <f t="shared" si="17"/>
        <v>2026.0833333333333</v>
      </c>
      <c r="AQ102" s="207">
        <f t="shared" si="18"/>
        <v>13.067833333333335</v>
      </c>
      <c r="AR102" s="207">
        <f t="shared" si="19"/>
        <v>156.81400000000002</v>
      </c>
      <c r="AS102" s="207">
        <f t="shared" si="20"/>
        <v>156.81400000000002</v>
      </c>
      <c r="AT102" s="208">
        <f t="shared" si="12"/>
        <v>0</v>
      </c>
      <c r="AU102" s="207">
        <f t="shared" si="21"/>
        <v>156.81400000000002</v>
      </c>
      <c r="AV102" s="208">
        <f t="shared" si="13"/>
        <v>627.25600000000009</v>
      </c>
    </row>
    <row r="103" spans="1:48" s="205" customFormat="1" ht="15">
      <c r="B103" s="209">
        <v>2183</v>
      </c>
      <c r="C103" s="210">
        <v>244803</v>
      </c>
      <c r="D103" s="209">
        <v>243666</v>
      </c>
      <c r="E103" s="175" t="s">
        <v>905</v>
      </c>
      <c r="F103" s="209"/>
      <c r="G103" s="175"/>
      <c r="H103" s="175"/>
      <c r="I103" s="175"/>
      <c r="J103" s="175">
        <v>0</v>
      </c>
      <c r="K103" s="175" t="s">
        <v>1120</v>
      </c>
      <c r="L103" s="175"/>
      <c r="M103" s="175" t="s">
        <v>1108</v>
      </c>
      <c r="N103" s="211">
        <v>44105</v>
      </c>
      <c r="O103" s="211">
        <v>44105</v>
      </c>
      <c r="P103" s="175" t="s">
        <v>1185</v>
      </c>
      <c r="Q103" s="209">
        <v>500</v>
      </c>
      <c r="R103" s="209">
        <v>14040</v>
      </c>
      <c r="S103" s="212">
        <v>784.07</v>
      </c>
      <c r="T103" s="209">
        <v>14046</v>
      </c>
      <c r="U103" s="212">
        <v>182.94</v>
      </c>
      <c r="V103" s="212">
        <f t="shared" si="11"/>
        <v>601.13000000000011</v>
      </c>
      <c r="W103" s="213">
        <v>143.74</v>
      </c>
      <c r="X103" s="209">
        <v>51260</v>
      </c>
      <c r="Y103" s="212">
        <v>13.06</v>
      </c>
      <c r="Z103" s="175" t="s">
        <v>1053</v>
      </c>
      <c r="AA103" s="175"/>
      <c r="AB103" s="175">
        <v>70355</v>
      </c>
      <c r="AC103" s="175"/>
      <c r="AD103" s="175" t="s">
        <v>1058</v>
      </c>
      <c r="AE103" s="175" t="s">
        <v>1059</v>
      </c>
      <c r="AF103" s="209" t="s">
        <v>284</v>
      </c>
      <c r="AG103" s="175"/>
      <c r="AH103" s="209" t="s">
        <v>1060</v>
      </c>
      <c r="AI103" s="175">
        <v>0</v>
      </c>
      <c r="AJ103" s="175">
        <v>0</v>
      </c>
      <c r="AP103" s="206"/>
      <c r="AQ103" s="207"/>
      <c r="AR103" s="207"/>
      <c r="AS103" s="207"/>
      <c r="AT103" s="208"/>
      <c r="AU103" s="207"/>
      <c r="AV103" s="208"/>
    </row>
    <row r="104" spans="1:48" s="205" customFormat="1" ht="15">
      <c r="B104" s="209">
        <v>2183</v>
      </c>
      <c r="C104" s="210">
        <v>244706</v>
      </c>
      <c r="D104" s="209" t="s">
        <v>1053</v>
      </c>
      <c r="E104" s="175" t="s">
        <v>874</v>
      </c>
      <c r="F104" s="209">
        <v>2</v>
      </c>
      <c r="G104" s="175"/>
      <c r="H104" s="175"/>
      <c r="I104" s="175"/>
      <c r="J104" s="175">
        <v>0</v>
      </c>
      <c r="K104" s="175" t="s">
        <v>1191</v>
      </c>
      <c r="L104" s="175"/>
      <c r="M104" s="175"/>
      <c r="N104" s="211">
        <v>44188</v>
      </c>
      <c r="O104" s="211">
        <v>44188</v>
      </c>
      <c r="P104" s="175" t="s">
        <v>1192</v>
      </c>
      <c r="Q104" s="209">
        <v>500</v>
      </c>
      <c r="R104" s="209">
        <v>14070</v>
      </c>
      <c r="S104" s="212">
        <v>675.01</v>
      </c>
      <c r="T104" s="209">
        <v>14076</v>
      </c>
      <c r="U104" s="212">
        <v>123.75</v>
      </c>
      <c r="V104" s="212">
        <f t="shared" si="11"/>
        <v>551.26</v>
      </c>
      <c r="W104" s="213">
        <v>123.75</v>
      </c>
      <c r="X104" s="209">
        <v>51260</v>
      </c>
      <c r="Y104" s="212">
        <v>11.25</v>
      </c>
      <c r="Z104" s="175" t="s">
        <v>1053</v>
      </c>
      <c r="AA104" s="175"/>
      <c r="AB104" s="175">
        <v>5331441</v>
      </c>
      <c r="AC104" s="175"/>
      <c r="AD104" s="175" t="s">
        <v>1058</v>
      </c>
      <c r="AE104" s="175" t="s">
        <v>1059</v>
      </c>
      <c r="AF104" s="209" t="s">
        <v>284</v>
      </c>
      <c r="AG104" s="175"/>
      <c r="AH104" s="209" t="s">
        <v>1060</v>
      </c>
      <c r="AI104" s="175">
        <v>0</v>
      </c>
      <c r="AJ104" s="175">
        <v>0</v>
      </c>
      <c r="AP104" s="206"/>
      <c r="AQ104" s="207"/>
      <c r="AR104" s="207"/>
      <c r="AS104" s="207"/>
      <c r="AT104" s="208"/>
      <c r="AU104" s="207"/>
      <c r="AV104" s="208"/>
    </row>
    <row r="105" spans="1:48" s="205" customFormat="1" ht="15">
      <c r="B105" s="209">
        <v>2183</v>
      </c>
      <c r="C105" s="210">
        <v>244666</v>
      </c>
      <c r="D105" s="209">
        <v>243666</v>
      </c>
      <c r="E105" s="175" t="s">
        <v>888</v>
      </c>
      <c r="F105" s="209"/>
      <c r="G105" s="175"/>
      <c r="H105" s="175"/>
      <c r="I105" s="175"/>
      <c r="J105" s="175">
        <v>0</v>
      </c>
      <c r="K105" s="175" t="s">
        <v>1191</v>
      </c>
      <c r="L105" s="175"/>
      <c r="M105" s="175" t="s">
        <v>1108</v>
      </c>
      <c r="N105" s="211">
        <v>44187</v>
      </c>
      <c r="O105" s="211">
        <v>44187</v>
      </c>
      <c r="P105" s="175" t="s">
        <v>1185</v>
      </c>
      <c r="Q105" s="209">
        <v>500</v>
      </c>
      <c r="R105" s="209">
        <v>14040</v>
      </c>
      <c r="S105" s="212">
        <v>588.59</v>
      </c>
      <c r="T105" s="209">
        <v>14046</v>
      </c>
      <c r="U105" s="212">
        <v>107.91</v>
      </c>
      <c r="V105" s="212">
        <f t="shared" si="11"/>
        <v>480.68000000000006</v>
      </c>
      <c r="W105" s="213">
        <v>107.91</v>
      </c>
      <c r="X105" s="209">
        <v>51260</v>
      </c>
      <c r="Y105" s="212">
        <v>9.81</v>
      </c>
      <c r="Z105" s="175" t="s">
        <v>1053</v>
      </c>
      <c r="AA105" s="175"/>
      <c r="AB105" s="175">
        <v>5331872</v>
      </c>
      <c r="AC105" s="175"/>
      <c r="AD105" s="175" t="s">
        <v>1058</v>
      </c>
      <c r="AE105" s="175" t="s">
        <v>1059</v>
      </c>
      <c r="AF105" s="209" t="s">
        <v>284</v>
      </c>
      <c r="AG105" s="175"/>
      <c r="AH105" s="209" t="s">
        <v>1060</v>
      </c>
      <c r="AI105" s="175">
        <v>0</v>
      </c>
      <c r="AJ105" s="175">
        <v>0</v>
      </c>
      <c r="AP105" s="206"/>
      <c r="AQ105" s="207"/>
      <c r="AR105" s="207"/>
      <c r="AS105" s="207"/>
      <c r="AT105" s="208"/>
      <c r="AU105" s="207"/>
      <c r="AV105" s="208"/>
    </row>
    <row r="106" spans="1:48" s="205" customFormat="1" ht="15">
      <c r="B106" s="209">
        <v>2183</v>
      </c>
      <c r="C106" s="210">
        <v>244665</v>
      </c>
      <c r="D106" s="209">
        <v>242814</v>
      </c>
      <c r="E106" s="175" t="s">
        <v>790</v>
      </c>
      <c r="F106" s="209"/>
      <c r="G106" s="175"/>
      <c r="H106" s="175"/>
      <c r="I106" s="175"/>
      <c r="J106" s="175">
        <v>0</v>
      </c>
      <c r="K106" s="175" t="s">
        <v>1191</v>
      </c>
      <c r="L106" s="175"/>
      <c r="M106" s="175" t="s">
        <v>1108</v>
      </c>
      <c r="N106" s="211">
        <v>44194</v>
      </c>
      <c r="O106" s="211">
        <v>44194</v>
      </c>
      <c r="P106" s="175" t="s">
        <v>1187</v>
      </c>
      <c r="Q106" s="209">
        <v>500</v>
      </c>
      <c r="R106" s="209">
        <v>14040</v>
      </c>
      <c r="S106" s="212">
        <v>592.41999999999996</v>
      </c>
      <c r="T106" s="209">
        <v>14046</v>
      </c>
      <c r="U106" s="212">
        <v>108.6</v>
      </c>
      <c r="V106" s="212">
        <f t="shared" si="11"/>
        <v>483.81999999999994</v>
      </c>
      <c r="W106" s="213">
        <v>108.6</v>
      </c>
      <c r="X106" s="209">
        <v>51260</v>
      </c>
      <c r="Y106" s="212">
        <v>9.8699999999999992</v>
      </c>
      <c r="Z106" s="175" t="s">
        <v>1053</v>
      </c>
      <c r="AA106" s="175"/>
      <c r="AB106" s="175">
        <v>5331991</v>
      </c>
      <c r="AC106" s="175"/>
      <c r="AD106" s="175" t="s">
        <v>1058</v>
      </c>
      <c r="AE106" s="175" t="s">
        <v>1059</v>
      </c>
      <c r="AF106" s="209" t="s">
        <v>284</v>
      </c>
      <c r="AG106" s="175"/>
      <c r="AH106" s="209" t="s">
        <v>1060</v>
      </c>
      <c r="AI106" s="175">
        <v>0</v>
      </c>
      <c r="AJ106" s="175">
        <v>0</v>
      </c>
      <c r="AP106" s="206"/>
      <c r="AQ106" s="207"/>
      <c r="AR106" s="207"/>
      <c r="AS106" s="207"/>
      <c r="AT106" s="208"/>
      <c r="AU106" s="207"/>
      <c r="AV106" s="208"/>
    </row>
    <row r="107" spans="1:48" s="205" customFormat="1" ht="15">
      <c r="B107" s="209">
        <v>2183</v>
      </c>
      <c r="C107" s="210">
        <v>244033</v>
      </c>
      <c r="D107" s="209" t="s">
        <v>1053</v>
      </c>
      <c r="E107" s="175" t="s">
        <v>909</v>
      </c>
      <c r="F107" s="209">
        <v>1</v>
      </c>
      <c r="G107" s="175"/>
      <c r="H107" s="175"/>
      <c r="I107" s="175"/>
      <c r="J107" s="175">
        <v>0</v>
      </c>
      <c r="K107" s="175"/>
      <c r="L107" s="175"/>
      <c r="M107" s="175" t="s">
        <v>1193</v>
      </c>
      <c r="N107" s="211">
        <v>43570</v>
      </c>
      <c r="O107" s="211"/>
      <c r="P107" s="175"/>
      <c r="Q107" s="209">
        <v>700</v>
      </c>
      <c r="R107" s="209">
        <v>14050</v>
      </c>
      <c r="S107" s="212">
        <v>3000</v>
      </c>
      <c r="T107" s="209">
        <v>14056</v>
      </c>
      <c r="U107" s="212">
        <v>1142.8599999999999</v>
      </c>
      <c r="V107" s="212">
        <f t="shared" si="11"/>
        <v>1857.14</v>
      </c>
      <c r="W107" s="213">
        <v>392.86</v>
      </c>
      <c r="X107" s="209">
        <v>54260</v>
      </c>
      <c r="Y107" s="212">
        <v>35.72</v>
      </c>
      <c r="Z107" s="175" t="s">
        <v>1059</v>
      </c>
      <c r="AA107" s="175" t="s">
        <v>1194</v>
      </c>
      <c r="AB107" s="175"/>
      <c r="AC107" s="175">
        <v>14050</v>
      </c>
      <c r="AD107" s="175" t="s">
        <v>1058</v>
      </c>
      <c r="AE107" s="175" t="s">
        <v>1059</v>
      </c>
      <c r="AF107" s="209" t="s">
        <v>284</v>
      </c>
      <c r="AG107" s="214">
        <v>44165</v>
      </c>
      <c r="AH107" s="209" t="s">
        <v>1060</v>
      </c>
      <c r="AI107" s="175">
        <v>0</v>
      </c>
      <c r="AJ107" s="175">
        <v>714.29</v>
      </c>
      <c r="AP107" s="206"/>
      <c r="AQ107" s="207"/>
      <c r="AR107" s="207"/>
      <c r="AS107" s="207"/>
      <c r="AT107" s="208"/>
      <c r="AU107" s="207"/>
      <c r="AV107" s="208"/>
    </row>
    <row r="108" spans="1:48" s="205" customFormat="1" ht="15">
      <c r="B108" s="209">
        <v>2183</v>
      </c>
      <c r="C108" s="210">
        <v>243666</v>
      </c>
      <c r="D108" s="209" t="s">
        <v>1053</v>
      </c>
      <c r="E108" s="175" t="s">
        <v>901</v>
      </c>
      <c r="F108" s="209"/>
      <c r="G108" s="175"/>
      <c r="H108" s="175" t="s">
        <v>1195</v>
      </c>
      <c r="I108" s="175"/>
      <c r="J108" s="175">
        <v>2021</v>
      </c>
      <c r="K108" s="175" t="s">
        <v>1196</v>
      </c>
      <c r="L108" s="175" t="s">
        <v>1197</v>
      </c>
      <c r="M108" s="175" t="s">
        <v>1198</v>
      </c>
      <c r="N108" s="211">
        <v>44105</v>
      </c>
      <c r="O108" s="211">
        <v>44105</v>
      </c>
      <c r="P108" s="175" t="s">
        <v>1199</v>
      </c>
      <c r="Q108" s="209">
        <v>1000</v>
      </c>
      <c r="R108" s="209">
        <v>14040</v>
      </c>
      <c r="S108" s="212">
        <v>302791.59999999998</v>
      </c>
      <c r="T108" s="209">
        <v>14046</v>
      </c>
      <c r="U108" s="212">
        <v>35325.68</v>
      </c>
      <c r="V108" s="212">
        <f t="shared" si="11"/>
        <v>267465.92</v>
      </c>
      <c r="W108" s="213">
        <v>27755.89</v>
      </c>
      <c r="X108" s="209">
        <v>51260</v>
      </c>
      <c r="Y108" s="212">
        <v>2523.2600000000002</v>
      </c>
      <c r="Z108" s="175" t="s">
        <v>1053</v>
      </c>
      <c r="AA108" s="175"/>
      <c r="AB108" s="175"/>
      <c r="AC108" s="175">
        <v>1088</v>
      </c>
      <c r="AD108" s="175" t="s">
        <v>1058</v>
      </c>
      <c r="AE108" s="175" t="s">
        <v>1059</v>
      </c>
      <c r="AF108" s="209" t="s">
        <v>284</v>
      </c>
      <c r="AG108" s="175"/>
      <c r="AH108" s="209" t="s">
        <v>1060</v>
      </c>
      <c r="AI108" s="175">
        <v>0</v>
      </c>
      <c r="AJ108" s="175">
        <v>0</v>
      </c>
      <c r="AP108" s="206"/>
      <c r="AQ108" s="207"/>
      <c r="AR108" s="207"/>
      <c r="AS108" s="207"/>
      <c r="AT108" s="208"/>
      <c r="AU108" s="207"/>
      <c r="AV108" s="208"/>
    </row>
    <row r="109" spans="1:48" s="205" customFormat="1" ht="15">
      <c r="B109" s="209">
        <v>2183</v>
      </c>
      <c r="C109" s="210">
        <v>243353</v>
      </c>
      <c r="D109" s="209" t="s">
        <v>1053</v>
      </c>
      <c r="E109" s="175" t="s">
        <v>899</v>
      </c>
      <c r="F109" s="209">
        <v>20</v>
      </c>
      <c r="G109" s="175"/>
      <c r="H109" s="175"/>
      <c r="I109" s="175"/>
      <c r="J109" s="175">
        <v>0</v>
      </c>
      <c r="K109" s="175" t="s">
        <v>1093</v>
      </c>
      <c r="L109" s="175"/>
      <c r="M109" s="175" t="s">
        <v>1136</v>
      </c>
      <c r="N109" s="211">
        <v>44139</v>
      </c>
      <c r="O109" s="211">
        <v>44139</v>
      </c>
      <c r="P109" s="175" t="s">
        <v>1200</v>
      </c>
      <c r="Q109" s="209">
        <v>1200</v>
      </c>
      <c r="R109" s="209">
        <v>14050</v>
      </c>
      <c r="S109" s="212">
        <v>12230.92</v>
      </c>
      <c r="T109" s="209">
        <v>14056</v>
      </c>
      <c r="U109" s="212">
        <v>1104.17</v>
      </c>
      <c r="V109" s="212">
        <f t="shared" si="11"/>
        <v>11126.75</v>
      </c>
      <c r="W109" s="213">
        <v>934.3</v>
      </c>
      <c r="X109" s="209">
        <v>54260</v>
      </c>
      <c r="Y109" s="212">
        <v>84.93</v>
      </c>
      <c r="Z109" s="175" t="s">
        <v>1053</v>
      </c>
      <c r="AA109" s="175"/>
      <c r="AB109" s="175" t="s">
        <v>1201</v>
      </c>
      <c r="AC109" s="175"/>
      <c r="AD109" s="175" t="s">
        <v>1058</v>
      </c>
      <c r="AE109" s="175" t="s">
        <v>1059</v>
      </c>
      <c r="AF109" s="209" t="s">
        <v>284</v>
      </c>
      <c r="AG109" s="175"/>
      <c r="AH109" s="209" t="s">
        <v>1060</v>
      </c>
      <c r="AI109" s="175">
        <v>0</v>
      </c>
      <c r="AJ109" s="175">
        <v>0</v>
      </c>
      <c r="AP109" s="206"/>
      <c r="AQ109" s="207"/>
      <c r="AR109" s="207"/>
      <c r="AS109" s="207"/>
      <c r="AT109" s="208"/>
      <c r="AU109" s="207"/>
      <c r="AV109" s="208"/>
    </row>
    <row r="110" spans="1:48" s="205" customFormat="1" ht="15">
      <c r="B110" s="209">
        <v>2183</v>
      </c>
      <c r="C110" s="210">
        <v>243352</v>
      </c>
      <c r="D110" s="209" t="s">
        <v>1053</v>
      </c>
      <c r="E110" s="175" t="s">
        <v>900</v>
      </c>
      <c r="F110" s="209">
        <v>15</v>
      </c>
      <c r="G110" s="175"/>
      <c r="H110" s="175"/>
      <c r="I110" s="175"/>
      <c r="J110" s="175">
        <v>0</v>
      </c>
      <c r="K110" s="175" t="s">
        <v>1093</v>
      </c>
      <c r="L110" s="175"/>
      <c r="M110" s="175" t="s">
        <v>1129</v>
      </c>
      <c r="N110" s="211">
        <v>44139</v>
      </c>
      <c r="O110" s="211">
        <v>44139</v>
      </c>
      <c r="P110" s="175" t="s">
        <v>1200</v>
      </c>
      <c r="Q110" s="209">
        <v>1200</v>
      </c>
      <c r="R110" s="209">
        <v>14050</v>
      </c>
      <c r="S110" s="212">
        <v>7614.24</v>
      </c>
      <c r="T110" s="209">
        <v>14056</v>
      </c>
      <c r="U110" s="212">
        <v>687.39</v>
      </c>
      <c r="V110" s="212">
        <f t="shared" si="11"/>
        <v>6926.8499999999995</v>
      </c>
      <c r="W110" s="213">
        <v>581.64</v>
      </c>
      <c r="X110" s="209">
        <v>54260</v>
      </c>
      <c r="Y110" s="212">
        <v>52.87</v>
      </c>
      <c r="Z110" s="175" t="s">
        <v>1053</v>
      </c>
      <c r="AA110" s="175"/>
      <c r="AB110" s="175" t="s">
        <v>1201</v>
      </c>
      <c r="AC110" s="175"/>
      <c r="AD110" s="175" t="s">
        <v>1058</v>
      </c>
      <c r="AE110" s="175" t="s">
        <v>1059</v>
      </c>
      <c r="AF110" s="209" t="s">
        <v>284</v>
      </c>
      <c r="AG110" s="175"/>
      <c r="AH110" s="209" t="s">
        <v>1060</v>
      </c>
      <c r="AI110" s="175">
        <v>0</v>
      </c>
      <c r="AJ110" s="175">
        <v>0</v>
      </c>
      <c r="AP110" s="206"/>
      <c r="AQ110" s="207"/>
      <c r="AR110" s="207"/>
      <c r="AS110" s="207"/>
      <c r="AT110" s="208"/>
      <c r="AU110" s="207"/>
      <c r="AV110" s="208"/>
    </row>
    <row r="111" spans="1:48" s="205" customFormat="1" ht="15">
      <c r="B111" s="209">
        <v>2183</v>
      </c>
      <c r="C111" s="210">
        <v>243351</v>
      </c>
      <c r="D111" s="209" t="s">
        <v>1053</v>
      </c>
      <c r="E111" s="175" t="s">
        <v>1202</v>
      </c>
      <c r="F111" s="209">
        <v>13</v>
      </c>
      <c r="G111" s="175"/>
      <c r="H111" s="175"/>
      <c r="I111" s="175"/>
      <c r="J111" s="175">
        <v>0</v>
      </c>
      <c r="K111" s="175" t="s">
        <v>1093</v>
      </c>
      <c r="L111" s="175"/>
      <c r="M111" s="175" t="s">
        <v>1203</v>
      </c>
      <c r="N111" s="211">
        <v>44139</v>
      </c>
      <c r="O111" s="211">
        <v>44139</v>
      </c>
      <c r="P111" s="175" t="s">
        <v>1200</v>
      </c>
      <c r="Q111" s="209">
        <v>1200</v>
      </c>
      <c r="R111" s="209">
        <v>14050</v>
      </c>
      <c r="S111" s="212">
        <v>10026.52</v>
      </c>
      <c r="T111" s="209">
        <v>14056</v>
      </c>
      <c r="U111" s="212">
        <v>905.17</v>
      </c>
      <c r="V111" s="212">
        <f t="shared" si="11"/>
        <v>9121.35</v>
      </c>
      <c r="W111" s="213">
        <v>765.91</v>
      </c>
      <c r="X111" s="209">
        <v>54260</v>
      </c>
      <c r="Y111" s="212">
        <v>69.63</v>
      </c>
      <c r="Z111" s="175" t="s">
        <v>1053</v>
      </c>
      <c r="AA111" s="175"/>
      <c r="AB111" s="175" t="s">
        <v>1204</v>
      </c>
      <c r="AC111" s="175"/>
      <c r="AD111" s="175" t="s">
        <v>1058</v>
      </c>
      <c r="AE111" s="175" t="s">
        <v>1059</v>
      </c>
      <c r="AF111" s="209" t="s">
        <v>284</v>
      </c>
      <c r="AG111" s="175"/>
      <c r="AH111" s="209" t="s">
        <v>1060</v>
      </c>
      <c r="AI111" s="175">
        <v>0</v>
      </c>
      <c r="AJ111" s="175">
        <v>0</v>
      </c>
      <c r="AP111" s="206"/>
      <c r="AQ111" s="207"/>
      <c r="AR111" s="207"/>
      <c r="AS111" s="207"/>
      <c r="AT111" s="208"/>
      <c r="AU111" s="207"/>
      <c r="AV111" s="208"/>
    </row>
    <row r="112" spans="1:48" s="205" customFormat="1" ht="15">
      <c r="B112" s="209">
        <v>2183</v>
      </c>
      <c r="C112" s="210">
        <v>243350</v>
      </c>
      <c r="D112" s="209" t="s">
        <v>1053</v>
      </c>
      <c r="E112" s="175" t="s">
        <v>1205</v>
      </c>
      <c r="F112" s="209">
        <v>2</v>
      </c>
      <c r="G112" s="175"/>
      <c r="H112" s="175"/>
      <c r="I112" s="175"/>
      <c r="J112" s="175">
        <v>0</v>
      </c>
      <c r="K112" s="175" t="s">
        <v>1093</v>
      </c>
      <c r="L112" s="175"/>
      <c r="M112" s="175" t="s">
        <v>1203</v>
      </c>
      <c r="N112" s="211">
        <v>44139</v>
      </c>
      <c r="O112" s="211">
        <v>44139</v>
      </c>
      <c r="P112" s="175" t="s">
        <v>1200</v>
      </c>
      <c r="Q112" s="209">
        <v>1200</v>
      </c>
      <c r="R112" s="209">
        <v>14050</v>
      </c>
      <c r="S112" s="212">
        <v>1542.56</v>
      </c>
      <c r="T112" s="209">
        <v>14056</v>
      </c>
      <c r="U112" s="212">
        <v>139.27000000000001</v>
      </c>
      <c r="V112" s="212">
        <f t="shared" si="11"/>
        <v>1403.29</v>
      </c>
      <c r="W112" s="213">
        <v>117.84</v>
      </c>
      <c r="X112" s="209">
        <v>54260</v>
      </c>
      <c r="Y112" s="212">
        <v>10.71</v>
      </c>
      <c r="Z112" s="175" t="s">
        <v>1053</v>
      </c>
      <c r="AA112" s="175"/>
      <c r="AB112" s="175" t="s">
        <v>1206</v>
      </c>
      <c r="AC112" s="175"/>
      <c r="AD112" s="175" t="s">
        <v>1058</v>
      </c>
      <c r="AE112" s="175" t="s">
        <v>1059</v>
      </c>
      <c r="AF112" s="209" t="s">
        <v>284</v>
      </c>
      <c r="AG112" s="175"/>
      <c r="AH112" s="209" t="s">
        <v>1060</v>
      </c>
      <c r="AI112" s="175">
        <v>0</v>
      </c>
      <c r="AJ112" s="175">
        <v>0</v>
      </c>
      <c r="AP112" s="206"/>
      <c r="AQ112" s="207"/>
      <c r="AR112" s="207"/>
      <c r="AS112" s="207"/>
      <c r="AT112" s="208"/>
      <c r="AU112" s="207"/>
      <c r="AV112" s="208"/>
    </row>
    <row r="113" spans="2:48" s="205" customFormat="1" ht="15">
      <c r="B113" s="209">
        <v>2183</v>
      </c>
      <c r="C113" s="210">
        <v>243349</v>
      </c>
      <c r="D113" s="209" t="s">
        <v>1053</v>
      </c>
      <c r="E113" s="175" t="s">
        <v>897</v>
      </c>
      <c r="F113" s="209">
        <v>15</v>
      </c>
      <c r="G113" s="175"/>
      <c r="H113" s="175"/>
      <c r="I113" s="175"/>
      <c r="J113" s="175">
        <v>0</v>
      </c>
      <c r="K113" s="175" t="s">
        <v>1093</v>
      </c>
      <c r="L113" s="175"/>
      <c r="M113" s="175" t="s">
        <v>1143</v>
      </c>
      <c r="N113" s="211">
        <v>44139</v>
      </c>
      <c r="O113" s="211">
        <v>44139</v>
      </c>
      <c r="P113" s="175" t="s">
        <v>1200</v>
      </c>
      <c r="Q113" s="209">
        <v>1200</v>
      </c>
      <c r="R113" s="209">
        <v>14050</v>
      </c>
      <c r="S113" s="212">
        <v>7072.71</v>
      </c>
      <c r="T113" s="209">
        <v>14056</v>
      </c>
      <c r="U113" s="212">
        <v>638.5</v>
      </c>
      <c r="V113" s="212">
        <f t="shared" si="11"/>
        <v>6434.21</v>
      </c>
      <c r="W113" s="213">
        <v>540.27</v>
      </c>
      <c r="X113" s="209">
        <v>54260</v>
      </c>
      <c r="Y113" s="212">
        <v>49.11</v>
      </c>
      <c r="Z113" s="175" t="s">
        <v>1053</v>
      </c>
      <c r="AA113" s="175"/>
      <c r="AB113" s="175" t="s">
        <v>1206</v>
      </c>
      <c r="AC113" s="175"/>
      <c r="AD113" s="175" t="s">
        <v>1058</v>
      </c>
      <c r="AE113" s="175" t="s">
        <v>1059</v>
      </c>
      <c r="AF113" s="209" t="s">
        <v>284</v>
      </c>
      <c r="AG113" s="175"/>
      <c r="AH113" s="209" t="s">
        <v>1060</v>
      </c>
      <c r="AI113" s="175">
        <v>0</v>
      </c>
      <c r="AJ113" s="175">
        <v>0</v>
      </c>
      <c r="AP113" s="206"/>
      <c r="AQ113" s="207"/>
      <c r="AR113" s="207"/>
      <c r="AS113" s="207"/>
      <c r="AT113" s="208"/>
      <c r="AU113" s="207"/>
      <c r="AV113" s="208"/>
    </row>
    <row r="114" spans="2:48" s="205" customFormat="1" ht="15">
      <c r="B114" s="209">
        <v>2183</v>
      </c>
      <c r="C114" s="210">
        <v>243348</v>
      </c>
      <c r="D114" s="209" t="s">
        <v>1053</v>
      </c>
      <c r="E114" s="175" t="s">
        <v>896</v>
      </c>
      <c r="F114" s="209">
        <v>10</v>
      </c>
      <c r="G114" s="175"/>
      <c r="H114" s="175"/>
      <c r="I114" s="175"/>
      <c r="J114" s="175">
        <v>0</v>
      </c>
      <c r="K114" s="175" t="s">
        <v>1093</v>
      </c>
      <c r="L114" s="175"/>
      <c r="M114" s="175" t="s">
        <v>1136</v>
      </c>
      <c r="N114" s="211">
        <v>44139</v>
      </c>
      <c r="O114" s="211">
        <v>44139</v>
      </c>
      <c r="P114" s="175" t="s">
        <v>1200</v>
      </c>
      <c r="Q114" s="209">
        <v>1200</v>
      </c>
      <c r="R114" s="209">
        <v>14050</v>
      </c>
      <c r="S114" s="212">
        <v>4638.5600000000004</v>
      </c>
      <c r="T114" s="209">
        <v>14056</v>
      </c>
      <c r="U114" s="212">
        <v>418.77</v>
      </c>
      <c r="V114" s="212">
        <f t="shared" si="11"/>
        <v>4219.7900000000009</v>
      </c>
      <c r="W114" s="213">
        <v>354.34</v>
      </c>
      <c r="X114" s="209">
        <v>54260</v>
      </c>
      <c r="Y114" s="212">
        <v>32.21</v>
      </c>
      <c r="Z114" s="175" t="s">
        <v>1053</v>
      </c>
      <c r="AA114" s="175"/>
      <c r="AB114" s="175" t="s">
        <v>1206</v>
      </c>
      <c r="AC114" s="175"/>
      <c r="AD114" s="175" t="s">
        <v>1058</v>
      </c>
      <c r="AE114" s="175" t="s">
        <v>1059</v>
      </c>
      <c r="AF114" s="209" t="s">
        <v>284</v>
      </c>
      <c r="AG114" s="175"/>
      <c r="AH114" s="209" t="s">
        <v>1060</v>
      </c>
      <c r="AI114" s="175">
        <v>0</v>
      </c>
      <c r="AJ114" s="175">
        <v>0</v>
      </c>
      <c r="AP114" s="206"/>
      <c r="AQ114" s="207"/>
      <c r="AR114" s="207"/>
      <c r="AS114" s="207"/>
      <c r="AT114" s="208"/>
      <c r="AU114" s="207"/>
      <c r="AV114" s="208"/>
    </row>
    <row r="115" spans="2:48" s="205" customFormat="1" ht="15">
      <c r="B115" s="209">
        <v>2183</v>
      </c>
      <c r="C115" s="210">
        <v>243347</v>
      </c>
      <c r="D115" s="209" t="s">
        <v>1053</v>
      </c>
      <c r="E115" s="175" t="s">
        <v>895</v>
      </c>
      <c r="F115" s="209">
        <v>15</v>
      </c>
      <c r="G115" s="175"/>
      <c r="H115" s="175"/>
      <c r="I115" s="175"/>
      <c r="J115" s="175">
        <v>0</v>
      </c>
      <c r="K115" s="175" t="s">
        <v>1093</v>
      </c>
      <c r="L115" s="175"/>
      <c r="M115" s="175" t="s">
        <v>1129</v>
      </c>
      <c r="N115" s="211">
        <v>44139</v>
      </c>
      <c r="O115" s="211">
        <v>44139</v>
      </c>
      <c r="P115" s="175" t="s">
        <v>1200</v>
      </c>
      <c r="Q115" s="209">
        <v>1200</v>
      </c>
      <c r="R115" s="209">
        <v>14050</v>
      </c>
      <c r="S115" s="212">
        <v>6252.21</v>
      </c>
      <c r="T115" s="209">
        <v>14056</v>
      </c>
      <c r="U115" s="212">
        <v>564.44000000000005</v>
      </c>
      <c r="V115" s="212">
        <f t="shared" si="11"/>
        <v>5687.77</v>
      </c>
      <c r="W115" s="213">
        <v>477.6</v>
      </c>
      <c r="X115" s="209">
        <v>54260</v>
      </c>
      <c r="Y115" s="212">
        <v>43.42</v>
      </c>
      <c r="Z115" s="175" t="s">
        <v>1053</v>
      </c>
      <c r="AA115" s="175"/>
      <c r="AB115" s="175" t="s">
        <v>1206</v>
      </c>
      <c r="AC115" s="175"/>
      <c r="AD115" s="175" t="s">
        <v>1058</v>
      </c>
      <c r="AE115" s="175" t="s">
        <v>1059</v>
      </c>
      <c r="AF115" s="209" t="s">
        <v>284</v>
      </c>
      <c r="AG115" s="175"/>
      <c r="AH115" s="209" t="s">
        <v>1060</v>
      </c>
      <c r="AI115" s="175">
        <v>0</v>
      </c>
      <c r="AJ115" s="175">
        <v>0</v>
      </c>
      <c r="AP115" s="206"/>
      <c r="AQ115" s="207"/>
      <c r="AR115" s="207"/>
      <c r="AS115" s="207"/>
      <c r="AT115" s="208"/>
      <c r="AU115" s="207"/>
      <c r="AV115" s="208"/>
    </row>
    <row r="116" spans="2:48" s="205" customFormat="1" ht="15">
      <c r="B116" s="209">
        <v>2183</v>
      </c>
      <c r="C116" s="210">
        <v>243346</v>
      </c>
      <c r="D116" s="209" t="s">
        <v>1053</v>
      </c>
      <c r="E116" s="175" t="s">
        <v>894</v>
      </c>
      <c r="F116" s="209">
        <v>2</v>
      </c>
      <c r="G116" s="175"/>
      <c r="H116" s="175"/>
      <c r="I116" s="175"/>
      <c r="J116" s="175">
        <v>0</v>
      </c>
      <c r="K116" s="175" t="s">
        <v>1093</v>
      </c>
      <c r="L116" s="175"/>
      <c r="M116" s="175" t="s">
        <v>1207</v>
      </c>
      <c r="N116" s="211">
        <v>44139</v>
      </c>
      <c r="O116" s="211">
        <v>44139</v>
      </c>
      <c r="P116" s="175" t="s">
        <v>1200</v>
      </c>
      <c r="Q116" s="209">
        <v>1200</v>
      </c>
      <c r="R116" s="209">
        <v>14050</v>
      </c>
      <c r="S116" s="212">
        <v>1525.04</v>
      </c>
      <c r="T116" s="209">
        <v>14056</v>
      </c>
      <c r="U116" s="212">
        <v>137.68</v>
      </c>
      <c r="V116" s="212">
        <f t="shared" si="11"/>
        <v>1387.36</v>
      </c>
      <c r="W116" s="213">
        <v>116.5</v>
      </c>
      <c r="X116" s="209">
        <v>54260</v>
      </c>
      <c r="Y116" s="212">
        <v>10.59</v>
      </c>
      <c r="Z116" s="175" t="s">
        <v>1053</v>
      </c>
      <c r="AA116" s="175"/>
      <c r="AB116" s="175" t="s">
        <v>1208</v>
      </c>
      <c r="AC116" s="175"/>
      <c r="AD116" s="175" t="s">
        <v>1058</v>
      </c>
      <c r="AE116" s="175" t="s">
        <v>1059</v>
      </c>
      <c r="AF116" s="209" t="s">
        <v>284</v>
      </c>
      <c r="AG116" s="175"/>
      <c r="AH116" s="209" t="s">
        <v>1060</v>
      </c>
      <c r="AI116" s="175">
        <v>0</v>
      </c>
      <c r="AJ116" s="175">
        <v>0</v>
      </c>
      <c r="AP116" s="206"/>
      <c r="AQ116" s="207"/>
      <c r="AR116" s="207"/>
      <c r="AS116" s="207"/>
      <c r="AT116" s="208"/>
      <c r="AU116" s="207"/>
      <c r="AV116" s="208"/>
    </row>
    <row r="117" spans="2:48" s="205" customFormat="1" ht="15">
      <c r="B117" s="209">
        <v>2183</v>
      </c>
      <c r="C117" s="210">
        <v>243345</v>
      </c>
      <c r="D117" s="209" t="s">
        <v>1053</v>
      </c>
      <c r="E117" s="175" t="s">
        <v>893</v>
      </c>
      <c r="F117" s="209">
        <v>15</v>
      </c>
      <c r="G117" s="175"/>
      <c r="H117" s="175"/>
      <c r="I117" s="175"/>
      <c r="J117" s="175">
        <v>0</v>
      </c>
      <c r="K117" s="175" t="s">
        <v>1093</v>
      </c>
      <c r="L117" s="175"/>
      <c r="M117" s="175" t="s">
        <v>1139</v>
      </c>
      <c r="N117" s="211">
        <v>44139</v>
      </c>
      <c r="O117" s="211">
        <v>44139</v>
      </c>
      <c r="P117" s="175" t="s">
        <v>1200</v>
      </c>
      <c r="Q117" s="209">
        <v>1200</v>
      </c>
      <c r="R117" s="209">
        <v>14050</v>
      </c>
      <c r="S117" s="212">
        <v>7876.8</v>
      </c>
      <c r="T117" s="209">
        <v>14056</v>
      </c>
      <c r="U117" s="212">
        <v>711.1</v>
      </c>
      <c r="V117" s="212">
        <f t="shared" si="11"/>
        <v>7165.7</v>
      </c>
      <c r="W117" s="213">
        <v>601.70000000000005</v>
      </c>
      <c r="X117" s="209">
        <v>54260</v>
      </c>
      <c r="Y117" s="212">
        <v>54.7</v>
      </c>
      <c r="Z117" s="175" t="s">
        <v>1053</v>
      </c>
      <c r="AA117" s="175"/>
      <c r="AB117" s="175" t="s">
        <v>1208</v>
      </c>
      <c r="AC117" s="175"/>
      <c r="AD117" s="175" t="s">
        <v>1058</v>
      </c>
      <c r="AE117" s="175" t="s">
        <v>1059</v>
      </c>
      <c r="AF117" s="209" t="s">
        <v>284</v>
      </c>
      <c r="AG117" s="175"/>
      <c r="AH117" s="209" t="s">
        <v>1060</v>
      </c>
      <c r="AI117" s="175">
        <v>0</v>
      </c>
      <c r="AJ117" s="175">
        <v>0</v>
      </c>
      <c r="AP117" s="206"/>
      <c r="AQ117" s="207"/>
      <c r="AR117" s="207"/>
      <c r="AS117" s="207"/>
      <c r="AT117" s="208"/>
      <c r="AU117" s="207"/>
      <c r="AV117" s="208"/>
    </row>
    <row r="118" spans="2:48" s="205" customFormat="1" ht="15">
      <c r="B118" s="209">
        <v>2183</v>
      </c>
      <c r="C118" s="210">
        <v>242995</v>
      </c>
      <c r="D118" s="209" t="s">
        <v>1053</v>
      </c>
      <c r="E118" s="175" t="s">
        <v>892</v>
      </c>
      <c r="F118" s="209">
        <v>13</v>
      </c>
      <c r="G118" s="175"/>
      <c r="H118" s="175"/>
      <c r="I118" s="175"/>
      <c r="J118" s="175">
        <v>0</v>
      </c>
      <c r="K118" s="175" t="s">
        <v>1093</v>
      </c>
      <c r="L118" s="175"/>
      <c r="M118" s="175" t="s">
        <v>1207</v>
      </c>
      <c r="N118" s="211">
        <v>44139</v>
      </c>
      <c r="O118" s="211">
        <v>44139</v>
      </c>
      <c r="P118" s="175" t="s">
        <v>1200</v>
      </c>
      <c r="Q118" s="209">
        <v>1200</v>
      </c>
      <c r="R118" s="209">
        <v>14050</v>
      </c>
      <c r="S118" s="212">
        <v>9912.74</v>
      </c>
      <c r="T118" s="209">
        <v>14056</v>
      </c>
      <c r="U118" s="212">
        <v>894.9</v>
      </c>
      <c r="V118" s="212">
        <f t="shared" si="11"/>
        <v>9017.84</v>
      </c>
      <c r="W118" s="213">
        <v>757.22</v>
      </c>
      <c r="X118" s="209">
        <v>54260</v>
      </c>
      <c r="Y118" s="212">
        <v>68.84</v>
      </c>
      <c r="Z118" s="175" t="s">
        <v>1053</v>
      </c>
      <c r="AA118" s="175"/>
      <c r="AB118" s="175" t="s">
        <v>1209</v>
      </c>
      <c r="AC118" s="175"/>
      <c r="AD118" s="175" t="s">
        <v>1058</v>
      </c>
      <c r="AE118" s="175" t="s">
        <v>1059</v>
      </c>
      <c r="AF118" s="209" t="s">
        <v>284</v>
      </c>
      <c r="AG118" s="175"/>
      <c r="AH118" s="209" t="s">
        <v>1060</v>
      </c>
      <c r="AI118" s="175">
        <v>0</v>
      </c>
      <c r="AJ118" s="175">
        <v>0</v>
      </c>
      <c r="AP118" s="206"/>
      <c r="AQ118" s="207"/>
      <c r="AR118" s="207"/>
      <c r="AS118" s="207"/>
      <c r="AT118" s="208"/>
      <c r="AU118" s="207"/>
      <c r="AV118" s="208"/>
    </row>
    <row r="119" spans="2:48" s="205" customFormat="1" ht="15">
      <c r="B119" s="209">
        <v>2183</v>
      </c>
      <c r="C119" s="210">
        <v>242814</v>
      </c>
      <c r="D119" s="209" t="s">
        <v>1053</v>
      </c>
      <c r="E119" s="175" t="s">
        <v>891</v>
      </c>
      <c r="F119" s="209"/>
      <c r="G119" s="175"/>
      <c r="H119" s="175" t="s">
        <v>1210</v>
      </c>
      <c r="I119" s="175"/>
      <c r="J119" s="175">
        <v>2021</v>
      </c>
      <c r="K119" s="175" t="s">
        <v>1196</v>
      </c>
      <c r="L119" s="175" t="s">
        <v>1211</v>
      </c>
      <c r="M119" s="175" t="s">
        <v>1212</v>
      </c>
      <c r="N119" s="211">
        <v>44136</v>
      </c>
      <c r="O119" s="211">
        <v>44136</v>
      </c>
      <c r="P119" s="175" t="s">
        <v>1213</v>
      </c>
      <c r="Q119" s="209">
        <v>1000</v>
      </c>
      <c r="R119" s="209">
        <v>14040</v>
      </c>
      <c r="S119" s="212">
        <v>247824.64000000001</v>
      </c>
      <c r="T119" s="209">
        <v>14046</v>
      </c>
      <c r="U119" s="212">
        <v>26847.66</v>
      </c>
      <c r="V119" s="212">
        <f t="shared" si="11"/>
        <v>220976.98</v>
      </c>
      <c r="W119" s="213">
        <v>22717.25</v>
      </c>
      <c r="X119" s="209">
        <v>51260</v>
      </c>
      <c r="Y119" s="212">
        <v>2065.1999999999998</v>
      </c>
      <c r="Z119" s="175" t="s">
        <v>1053</v>
      </c>
      <c r="AA119" s="175"/>
      <c r="AB119" s="175"/>
      <c r="AC119" s="175">
        <v>5051</v>
      </c>
      <c r="AD119" s="175" t="s">
        <v>1058</v>
      </c>
      <c r="AE119" s="175" t="s">
        <v>1059</v>
      </c>
      <c r="AF119" s="209" t="s">
        <v>284</v>
      </c>
      <c r="AG119" s="175"/>
      <c r="AH119" s="209" t="s">
        <v>1060</v>
      </c>
      <c r="AI119" s="175">
        <v>0</v>
      </c>
      <c r="AJ119" s="175">
        <v>0</v>
      </c>
      <c r="AP119" s="206"/>
      <c r="AQ119" s="207"/>
      <c r="AR119" s="207"/>
      <c r="AS119" s="207"/>
      <c r="AT119" s="208"/>
      <c r="AU119" s="207"/>
      <c r="AV119" s="208"/>
    </row>
    <row r="120" spans="2:48" s="205" customFormat="1" ht="15">
      <c r="B120" s="209">
        <v>2183</v>
      </c>
      <c r="C120" s="210">
        <v>242699</v>
      </c>
      <c r="D120" s="209">
        <v>241234</v>
      </c>
      <c r="E120" s="175" t="s">
        <v>890</v>
      </c>
      <c r="F120" s="209"/>
      <c r="G120" s="175"/>
      <c r="H120" s="175"/>
      <c r="I120" s="175"/>
      <c r="J120" s="175">
        <v>0</v>
      </c>
      <c r="K120" s="175" t="s">
        <v>1120</v>
      </c>
      <c r="L120" s="175"/>
      <c r="M120" s="175" t="s">
        <v>1108</v>
      </c>
      <c r="N120" s="211">
        <v>44152</v>
      </c>
      <c r="O120" s="211">
        <v>44152</v>
      </c>
      <c r="P120" s="175" t="s">
        <v>1214</v>
      </c>
      <c r="Q120" s="209">
        <v>500</v>
      </c>
      <c r="R120" s="209">
        <v>14040</v>
      </c>
      <c r="S120" s="212">
        <v>667.34</v>
      </c>
      <c r="T120" s="209">
        <v>14046</v>
      </c>
      <c r="U120" s="212">
        <v>133.47</v>
      </c>
      <c r="V120" s="212">
        <f t="shared" si="11"/>
        <v>533.87</v>
      </c>
      <c r="W120" s="213">
        <v>122.35</v>
      </c>
      <c r="X120" s="209">
        <v>51260</v>
      </c>
      <c r="Y120" s="212">
        <v>11.12</v>
      </c>
      <c r="Z120" s="175" t="s">
        <v>1053</v>
      </c>
      <c r="AA120" s="175"/>
      <c r="AB120" s="175">
        <v>70275</v>
      </c>
      <c r="AC120" s="175"/>
      <c r="AD120" s="175" t="s">
        <v>1058</v>
      </c>
      <c r="AE120" s="175" t="s">
        <v>1059</v>
      </c>
      <c r="AF120" s="209" t="s">
        <v>284</v>
      </c>
      <c r="AG120" s="175"/>
      <c r="AH120" s="209" t="s">
        <v>1060</v>
      </c>
      <c r="AI120" s="175">
        <v>0</v>
      </c>
      <c r="AJ120" s="175">
        <v>0</v>
      </c>
      <c r="AP120" s="206"/>
      <c r="AQ120" s="207"/>
      <c r="AR120" s="207"/>
      <c r="AS120" s="207"/>
      <c r="AT120" s="208"/>
      <c r="AU120" s="207"/>
      <c r="AV120" s="208"/>
    </row>
    <row r="121" spans="2:48" s="205" customFormat="1" ht="15">
      <c r="B121" s="209">
        <v>2183</v>
      </c>
      <c r="C121" s="210">
        <v>242536</v>
      </c>
      <c r="D121" s="209">
        <v>241234</v>
      </c>
      <c r="E121" s="175" t="s">
        <v>888</v>
      </c>
      <c r="F121" s="209"/>
      <c r="G121" s="175"/>
      <c r="H121" s="175"/>
      <c r="I121" s="175"/>
      <c r="J121" s="175">
        <v>0</v>
      </c>
      <c r="K121" s="175" t="s">
        <v>1191</v>
      </c>
      <c r="L121" s="175"/>
      <c r="M121" s="175" t="s">
        <v>1108</v>
      </c>
      <c r="N121" s="211">
        <v>44152</v>
      </c>
      <c r="O121" s="211">
        <v>44152</v>
      </c>
      <c r="P121" s="175" t="s">
        <v>1214</v>
      </c>
      <c r="Q121" s="209">
        <v>500</v>
      </c>
      <c r="R121" s="209">
        <v>14040</v>
      </c>
      <c r="S121" s="212">
        <v>584.21</v>
      </c>
      <c r="T121" s="209">
        <v>14046</v>
      </c>
      <c r="U121" s="212">
        <v>116.84</v>
      </c>
      <c r="V121" s="212">
        <f t="shared" si="11"/>
        <v>467.37</v>
      </c>
      <c r="W121" s="213">
        <v>107.1</v>
      </c>
      <c r="X121" s="209">
        <v>51260</v>
      </c>
      <c r="Y121" s="212">
        <v>9.73</v>
      </c>
      <c r="Z121" s="175" t="s">
        <v>1053</v>
      </c>
      <c r="AA121" s="175"/>
      <c r="AB121" s="175">
        <v>5322981</v>
      </c>
      <c r="AC121" s="175"/>
      <c r="AD121" s="175" t="s">
        <v>1058</v>
      </c>
      <c r="AE121" s="175" t="s">
        <v>1059</v>
      </c>
      <c r="AF121" s="209" t="s">
        <v>284</v>
      </c>
      <c r="AG121" s="175"/>
      <c r="AH121" s="209" t="s">
        <v>1060</v>
      </c>
      <c r="AI121" s="175">
        <v>0</v>
      </c>
      <c r="AJ121" s="175">
        <v>0</v>
      </c>
      <c r="AP121" s="206"/>
      <c r="AQ121" s="207"/>
      <c r="AR121" s="207"/>
      <c r="AS121" s="207"/>
      <c r="AT121" s="208"/>
      <c r="AU121" s="207"/>
      <c r="AV121" s="208"/>
    </row>
    <row r="122" spans="2:48" s="205" customFormat="1" ht="15">
      <c r="B122" s="209">
        <v>2183</v>
      </c>
      <c r="C122" s="210">
        <v>242363</v>
      </c>
      <c r="D122" s="209">
        <v>241234</v>
      </c>
      <c r="E122" s="175" t="s">
        <v>886</v>
      </c>
      <c r="F122" s="209"/>
      <c r="G122" s="175"/>
      <c r="H122" s="175"/>
      <c r="I122" s="175"/>
      <c r="J122" s="175">
        <v>0</v>
      </c>
      <c r="K122" s="175" t="s">
        <v>1107</v>
      </c>
      <c r="L122" s="175"/>
      <c r="M122" s="175" t="s">
        <v>1108</v>
      </c>
      <c r="N122" s="211">
        <v>44152</v>
      </c>
      <c r="O122" s="211">
        <v>44152</v>
      </c>
      <c r="P122" s="175" t="s">
        <v>1214</v>
      </c>
      <c r="Q122" s="209">
        <v>1000</v>
      </c>
      <c r="R122" s="209">
        <v>14040</v>
      </c>
      <c r="S122" s="212">
        <v>957.25</v>
      </c>
      <c r="T122" s="209">
        <v>14046</v>
      </c>
      <c r="U122" s="212">
        <v>95.73</v>
      </c>
      <c r="V122" s="212">
        <f t="shared" si="11"/>
        <v>861.52</v>
      </c>
      <c r="W122" s="213">
        <v>87.75</v>
      </c>
      <c r="X122" s="209">
        <v>51260</v>
      </c>
      <c r="Y122" s="212">
        <v>7.97</v>
      </c>
      <c r="Z122" s="175" t="s">
        <v>1053</v>
      </c>
      <c r="AA122" s="175"/>
      <c r="AB122" s="175">
        <v>27870</v>
      </c>
      <c r="AC122" s="175"/>
      <c r="AD122" s="175" t="s">
        <v>1058</v>
      </c>
      <c r="AE122" s="175" t="s">
        <v>1059</v>
      </c>
      <c r="AF122" s="209" t="s">
        <v>284</v>
      </c>
      <c r="AG122" s="175"/>
      <c r="AH122" s="209" t="s">
        <v>1060</v>
      </c>
      <c r="AI122" s="175">
        <v>0</v>
      </c>
      <c r="AJ122" s="175">
        <v>0</v>
      </c>
      <c r="AP122" s="206"/>
      <c r="AQ122" s="207"/>
      <c r="AR122" s="207"/>
      <c r="AS122" s="207"/>
      <c r="AT122" s="208"/>
      <c r="AU122" s="207"/>
      <c r="AV122" s="208"/>
    </row>
    <row r="123" spans="2:48" s="205" customFormat="1" ht="15">
      <c r="B123" s="209">
        <v>2183</v>
      </c>
      <c r="C123" s="210">
        <v>241858</v>
      </c>
      <c r="D123" s="209" t="s">
        <v>1053</v>
      </c>
      <c r="E123" s="175" t="s">
        <v>884</v>
      </c>
      <c r="F123" s="209">
        <v>2</v>
      </c>
      <c r="G123" s="175"/>
      <c r="H123" s="175"/>
      <c r="I123" s="175"/>
      <c r="J123" s="175">
        <v>0</v>
      </c>
      <c r="K123" s="175"/>
      <c r="L123" s="175"/>
      <c r="M123" s="175" t="s">
        <v>1215</v>
      </c>
      <c r="N123" s="211">
        <v>43770</v>
      </c>
      <c r="O123" s="211">
        <v>43770</v>
      </c>
      <c r="P123" s="175" t="s">
        <v>1216</v>
      </c>
      <c r="Q123" s="209">
        <v>0</v>
      </c>
      <c r="R123" s="209">
        <v>14050</v>
      </c>
      <c r="S123" s="212">
        <v>0</v>
      </c>
      <c r="T123" s="209">
        <v>14056</v>
      </c>
      <c r="U123" s="212">
        <v>0</v>
      </c>
      <c r="V123" s="212">
        <f t="shared" si="11"/>
        <v>0</v>
      </c>
      <c r="W123" s="213">
        <v>0</v>
      </c>
      <c r="X123" s="209">
        <v>54260</v>
      </c>
      <c r="Y123" s="212">
        <v>0</v>
      </c>
      <c r="Z123" s="175" t="s">
        <v>1053</v>
      </c>
      <c r="AA123" s="175"/>
      <c r="AB123" s="175"/>
      <c r="AC123" s="175"/>
      <c r="AD123" s="175" t="s">
        <v>1058</v>
      </c>
      <c r="AE123" s="175" t="s">
        <v>1059</v>
      </c>
      <c r="AF123" s="209" t="s">
        <v>1217</v>
      </c>
      <c r="AG123" s="175"/>
      <c r="AH123" s="209" t="s">
        <v>1060</v>
      </c>
      <c r="AI123" s="175">
        <v>0</v>
      </c>
      <c r="AJ123" s="175">
        <v>0</v>
      </c>
      <c r="AP123" s="206"/>
      <c r="AQ123" s="207"/>
      <c r="AR123" s="207"/>
      <c r="AS123" s="207"/>
      <c r="AT123" s="208"/>
      <c r="AU123" s="207"/>
      <c r="AV123" s="208"/>
    </row>
    <row r="124" spans="2:48" s="205" customFormat="1" ht="15">
      <c r="B124" s="209">
        <v>2183</v>
      </c>
      <c r="C124" s="210">
        <v>241480</v>
      </c>
      <c r="D124" s="209" t="s">
        <v>1053</v>
      </c>
      <c r="E124" s="175" t="s">
        <v>883</v>
      </c>
      <c r="F124" s="209">
        <v>702</v>
      </c>
      <c r="G124" s="175"/>
      <c r="H124" s="175"/>
      <c r="I124" s="175"/>
      <c r="J124" s="175">
        <v>0</v>
      </c>
      <c r="K124" s="175" t="s">
        <v>1068</v>
      </c>
      <c r="L124" s="175"/>
      <c r="M124" s="175" t="s">
        <v>1069</v>
      </c>
      <c r="N124" s="211">
        <v>44148</v>
      </c>
      <c r="O124" s="211">
        <v>44148</v>
      </c>
      <c r="P124" s="175" t="s">
        <v>1218</v>
      </c>
      <c r="Q124" s="209">
        <v>700</v>
      </c>
      <c r="R124" s="209">
        <v>14050</v>
      </c>
      <c r="S124" s="212">
        <v>31902.22</v>
      </c>
      <c r="T124" s="209">
        <v>14056</v>
      </c>
      <c r="U124" s="212">
        <v>4937.25</v>
      </c>
      <c r="V124" s="212">
        <f t="shared" si="11"/>
        <v>26964.97</v>
      </c>
      <c r="W124" s="213">
        <v>4177.67</v>
      </c>
      <c r="X124" s="209">
        <v>54260</v>
      </c>
      <c r="Y124" s="212">
        <v>379.79</v>
      </c>
      <c r="Z124" s="175" t="s">
        <v>1053</v>
      </c>
      <c r="AA124" s="175"/>
      <c r="AB124" s="175">
        <v>50133968</v>
      </c>
      <c r="AC124" s="175"/>
      <c r="AD124" s="175" t="s">
        <v>1058</v>
      </c>
      <c r="AE124" s="175" t="s">
        <v>1059</v>
      </c>
      <c r="AF124" s="209" t="s">
        <v>284</v>
      </c>
      <c r="AG124" s="175"/>
      <c r="AH124" s="209" t="s">
        <v>1060</v>
      </c>
      <c r="AI124" s="175">
        <v>0</v>
      </c>
      <c r="AJ124" s="175">
        <v>0</v>
      </c>
      <c r="AP124" s="206"/>
      <c r="AQ124" s="207"/>
      <c r="AR124" s="207"/>
      <c r="AS124" s="207"/>
      <c r="AT124" s="208"/>
      <c r="AU124" s="207"/>
      <c r="AV124" s="208"/>
    </row>
    <row r="125" spans="2:48" s="205" customFormat="1" ht="15">
      <c r="B125" s="209">
        <v>2183</v>
      </c>
      <c r="C125" s="210">
        <v>241479</v>
      </c>
      <c r="D125" s="209" t="s">
        <v>1053</v>
      </c>
      <c r="E125" s="175" t="s">
        <v>882</v>
      </c>
      <c r="F125" s="209">
        <v>702</v>
      </c>
      <c r="G125" s="175"/>
      <c r="H125" s="175"/>
      <c r="I125" s="175"/>
      <c r="J125" s="175">
        <v>0</v>
      </c>
      <c r="K125" s="175" t="s">
        <v>1068</v>
      </c>
      <c r="L125" s="175"/>
      <c r="M125" s="175" t="s">
        <v>1069</v>
      </c>
      <c r="N125" s="211">
        <v>44148</v>
      </c>
      <c r="O125" s="211">
        <v>44148</v>
      </c>
      <c r="P125" s="175" t="s">
        <v>1218</v>
      </c>
      <c r="Q125" s="209">
        <v>700</v>
      </c>
      <c r="R125" s="209">
        <v>14050</v>
      </c>
      <c r="S125" s="212">
        <v>31902.22</v>
      </c>
      <c r="T125" s="209">
        <v>14056</v>
      </c>
      <c r="U125" s="212">
        <v>4937.25</v>
      </c>
      <c r="V125" s="212">
        <f t="shared" si="11"/>
        <v>26964.97</v>
      </c>
      <c r="W125" s="213">
        <v>4177.67</v>
      </c>
      <c r="X125" s="209">
        <v>54260</v>
      </c>
      <c r="Y125" s="212">
        <v>379.79</v>
      </c>
      <c r="Z125" s="175" t="s">
        <v>1053</v>
      </c>
      <c r="AA125" s="175"/>
      <c r="AB125" s="175">
        <v>50133968</v>
      </c>
      <c r="AC125" s="175"/>
      <c r="AD125" s="175" t="s">
        <v>1058</v>
      </c>
      <c r="AE125" s="175" t="s">
        <v>1059</v>
      </c>
      <c r="AF125" s="209" t="s">
        <v>284</v>
      </c>
      <c r="AG125" s="175"/>
      <c r="AH125" s="209" t="s">
        <v>1060</v>
      </c>
      <c r="AI125" s="175">
        <v>0</v>
      </c>
      <c r="AJ125" s="175">
        <v>0</v>
      </c>
      <c r="AP125" s="206"/>
      <c r="AQ125" s="207"/>
      <c r="AR125" s="207"/>
      <c r="AS125" s="207"/>
      <c r="AT125" s="208"/>
      <c r="AU125" s="207"/>
      <c r="AV125" s="208"/>
    </row>
    <row r="126" spans="2:48" s="205" customFormat="1" ht="15">
      <c r="B126" s="209">
        <v>2183</v>
      </c>
      <c r="C126" s="210">
        <v>241478</v>
      </c>
      <c r="D126" s="209" t="s">
        <v>1053</v>
      </c>
      <c r="E126" s="175" t="s">
        <v>910</v>
      </c>
      <c r="F126" s="209">
        <v>972</v>
      </c>
      <c r="G126" s="175"/>
      <c r="H126" s="175"/>
      <c r="I126" s="175"/>
      <c r="J126" s="175">
        <v>0</v>
      </c>
      <c r="K126" s="175" t="s">
        <v>1068</v>
      </c>
      <c r="L126" s="175"/>
      <c r="M126" s="175" t="s">
        <v>1069</v>
      </c>
      <c r="N126" s="211">
        <v>44148</v>
      </c>
      <c r="O126" s="211">
        <v>44148</v>
      </c>
      <c r="P126" s="175" t="s">
        <v>1218</v>
      </c>
      <c r="Q126" s="209">
        <v>700</v>
      </c>
      <c r="R126" s="209">
        <v>14050</v>
      </c>
      <c r="S126" s="212">
        <v>38855.47</v>
      </c>
      <c r="T126" s="209">
        <v>14056</v>
      </c>
      <c r="U126" s="212">
        <v>6013.35</v>
      </c>
      <c r="V126" s="212">
        <f t="shared" si="11"/>
        <v>32842.120000000003</v>
      </c>
      <c r="W126" s="213">
        <v>5088.22</v>
      </c>
      <c r="X126" s="209">
        <v>54260</v>
      </c>
      <c r="Y126" s="212">
        <v>462.57</v>
      </c>
      <c r="Z126" s="175" t="s">
        <v>1053</v>
      </c>
      <c r="AA126" s="175"/>
      <c r="AB126" s="175">
        <v>50134144</v>
      </c>
      <c r="AC126" s="175"/>
      <c r="AD126" s="175" t="s">
        <v>1058</v>
      </c>
      <c r="AE126" s="175" t="s">
        <v>1059</v>
      </c>
      <c r="AF126" s="209" t="s">
        <v>284</v>
      </c>
      <c r="AG126" s="175"/>
      <c r="AH126" s="209" t="s">
        <v>1060</v>
      </c>
      <c r="AI126" s="175">
        <v>0</v>
      </c>
      <c r="AJ126" s="175">
        <v>0</v>
      </c>
      <c r="AP126" s="206"/>
      <c r="AQ126" s="207"/>
      <c r="AR126" s="207"/>
      <c r="AS126" s="207"/>
      <c r="AT126" s="208"/>
      <c r="AU126" s="207"/>
      <c r="AV126" s="208"/>
    </row>
    <row r="127" spans="2:48" s="205" customFormat="1" ht="15">
      <c r="B127" s="209">
        <v>2183</v>
      </c>
      <c r="C127" s="210">
        <v>241477</v>
      </c>
      <c r="D127" s="209" t="s">
        <v>1053</v>
      </c>
      <c r="E127" s="175" t="s">
        <v>881</v>
      </c>
      <c r="F127" s="209">
        <v>702</v>
      </c>
      <c r="G127" s="175"/>
      <c r="H127" s="175"/>
      <c r="I127" s="175"/>
      <c r="J127" s="175">
        <v>0</v>
      </c>
      <c r="K127" s="175" t="s">
        <v>1068</v>
      </c>
      <c r="L127" s="175"/>
      <c r="M127" s="175" t="s">
        <v>1069</v>
      </c>
      <c r="N127" s="211">
        <v>44148</v>
      </c>
      <c r="O127" s="211">
        <v>44148</v>
      </c>
      <c r="P127" s="175" t="s">
        <v>1218</v>
      </c>
      <c r="Q127" s="209">
        <v>700</v>
      </c>
      <c r="R127" s="209">
        <v>14050</v>
      </c>
      <c r="S127" s="212">
        <v>31902.22</v>
      </c>
      <c r="T127" s="209">
        <v>14056</v>
      </c>
      <c r="U127" s="212">
        <v>4937.25</v>
      </c>
      <c r="V127" s="212">
        <f t="shared" si="11"/>
        <v>26964.97</v>
      </c>
      <c r="W127" s="213">
        <v>4177.67</v>
      </c>
      <c r="X127" s="209">
        <v>54260</v>
      </c>
      <c r="Y127" s="212">
        <v>379.79</v>
      </c>
      <c r="Z127" s="175" t="s">
        <v>1053</v>
      </c>
      <c r="AA127" s="175"/>
      <c r="AB127" s="175">
        <v>50134144</v>
      </c>
      <c r="AC127" s="175"/>
      <c r="AD127" s="175" t="s">
        <v>1058</v>
      </c>
      <c r="AE127" s="175" t="s">
        <v>1059</v>
      </c>
      <c r="AF127" s="209" t="s">
        <v>284</v>
      </c>
      <c r="AG127" s="175"/>
      <c r="AH127" s="209" t="s">
        <v>1060</v>
      </c>
      <c r="AI127" s="175">
        <v>0</v>
      </c>
      <c r="AJ127" s="175">
        <v>0</v>
      </c>
      <c r="AP127" s="206"/>
      <c r="AQ127" s="207"/>
      <c r="AR127" s="207"/>
      <c r="AS127" s="207"/>
      <c r="AT127" s="208"/>
      <c r="AU127" s="207"/>
      <c r="AV127" s="208"/>
    </row>
    <row r="128" spans="2:48" s="205" customFormat="1" ht="15">
      <c r="B128" s="209">
        <v>2183</v>
      </c>
      <c r="C128" s="210">
        <v>241476</v>
      </c>
      <c r="D128" s="209" t="s">
        <v>1053</v>
      </c>
      <c r="E128" s="175" t="s">
        <v>880</v>
      </c>
      <c r="F128" s="209">
        <v>540</v>
      </c>
      <c r="G128" s="175"/>
      <c r="H128" s="175"/>
      <c r="I128" s="175"/>
      <c r="J128" s="175">
        <v>0</v>
      </c>
      <c r="K128" s="175" t="s">
        <v>1068</v>
      </c>
      <c r="L128" s="175"/>
      <c r="M128" s="175" t="s">
        <v>1069</v>
      </c>
      <c r="N128" s="211">
        <v>44148</v>
      </c>
      <c r="O128" s="211">
        <v>44148</v>
      </c>
      <c r="P128" s="175" t="s">
        <v>1218</v>
      </c>
      <c r="Q128" s="209">
        <v>700</v>
      </c>
      <c r="R128" s="209">
        <v>14050</v>
      </c>
      <c r="S128" s="212">
        <v>18632.57</v>
      </c>
      <c r="T128" s="209">
        <v>14056</v>
      </c>
      <c r="U128" s="212">
        <v>2883.61</v>
      </c>
      <c r="V128" s="212">
        <f t="shared" si="11"/>
        <v>15748.96</v>
      </c>
      <c r="W128" s="213">
        <v>2439.98</v>
      </c>
      <c r="X128" s="209">
        <v>54260</v>
      </c>
      <c r="Y128" s="212">
        <v>221.81</v>
      </c>
      <c r="Z128" s="175" t="s">
        <v>1053</v>
      </c>
      <c r="AA128" s="175"/>
      <c r="AB128" s="175">
        <v>50134144</v>
      </c>
      <c r="AC128" s="175"/>
      <c r="AD128" s="175" t="s">
        <v>1058</v>
      </c>
      <c r="AE128" s="175" t="s">
        <v>1059</v>
      </c>
      <c r="AF128" s="209" t="s">
        <v>284</v>
      </c>
      <c r="AG128" s="175"/>
      <c r="AH128" s="209" t="s">
        <v>1060</v>
      </c>
      <c r="AI128" s="175">
        <v>0</v>
      </c>
      <c r="AJ128" s="175">
        <v>0</v>
      </c>
      <c r="AP128" s="206"/>
      <c r="AQ128" s="207"/>
      <c r="AR128" s="207"/>
      <c r="AS128" s="207"/>
      <c r="AT128" s="208"/>
      <c r="AU128" s="207"/>
      <c r="AV128" s="208"/>
    </row>
    <row r="129" spans="2:48" s="205" customFormat="1" ht="15">
      <c r="B129" s="209">
        <v>2183</v>
      </c>
      <c r="C129" s="210">
        <v>241234</v>
      </c>
      <c r="D129" s="209" t="s">
        <v>1053</v>
      </c>
      <c r="E129" s="175" t="s">
        <v>834</v>
      </c>
      <c r="F129" s="209"/>
      <c r="G129" s="175"/>
      <c r="H129" s="175" t="s">
        <v>1219</v>
      </c>
      <c r="I129" s="175"/>
      <c r="J129" s="175">
        <v>2020</v>
      </c>
      <c r="K129" s="175" t="s">
        <v>1196</v>
      </c>
      <c r="L129" s="175" t="s">
        <v>1220</v>
      </c>
      <c r="M129" s="175" t="s">
        <v>1152</v>
      </c>
      <c r="N129" s="211">
        <v>44105</v>
      </c>
      <c r="O129" s="211">
        <v>44105</v>
      </c>
      <c r="P129" s="175" t="s">
        <v>1221</v>
      </c>
      <c r="Q129" s="209">
        <v>1000</v>
      </c>
      <c r="R129" s="209">
        <v>14040</v>
      </c>
      <c r="S129" s="212">
        <v>368277.46</v>
      </c>
      <c r="T129" s="209">
        <v>14046</v>
      </c>
      <c r="U129" s="212">
        <v>42965.71</v>
      </c>
      <c r="V129" s="212">
        <f t="shared" si="11"/>
        <v>325311.75</v>
      </c>
      <c r="W129" s="213">
        <v>33758.769999999997</v>
      </c>
      <c r="X129" s="209">
        <v>51260</v>
      </c>
      <c r="Y129" s="212">
        <v>3068.98</v>
      </c>
      <c r="Z129" s="175" t="s">
        <v>1053</v>
      </c>
      <c r="AA129" s="175"/>
      <c r="AB129" s="175"/>
      <c r="AC129" s="175">
        <v>3703</v>
      </c>
      <c r="AD129" s="175" t="s">
        <v>1058</v>
      </c>
      <c r="AE129" s="175" t="s">
        <v>1059</v>
      </c>
      <c r="AF129" s="209" t="s">
        <v>284</v>
      </c>
      <c r="AG129" s="175"/>
      <c r="AH129" s="209" t="s">
        <v>1060</v>
      </c>
      <c r="AI129" s="175">
        <v>0</v>
      </c>
      <c r="AJ129" s="175">
        <v>0</v>
      </c>
      <c r="AP129" s="206"/>
      <c r="AQ129" s="207"/>
      <c r="AR129" s="207"/>
      <c r="AS129" s="207"/>
      <c r="AT129" s="208"/>
      <c r="AU129" s="207"/>
      <c r="AV129" s="208"/>
    </row>
    <row r="130" spans="2:48" s="205" customFormat="1" ht="15">
      <c r="B130" s="209">
        <v>2183</v>
      </c>
      <c r="C130" s="210">
        <v>240655</v>
      </c>
      <c r="D130" s="209">
        <v>236404</v>
      </c>
      <c r="E130" s="175" t="s">
        <v>879</v>
      </c>
      <c r="F130" s="209"/>
      <c r="G130" s="175"/>
      <c r="H130" s="175"/>
      <c r="I130" s="175"/>
      <c r="J130" s="175">
        <v>0</v>
      </c>
      <c r="K130" s="175" t="s">
        <v>1222</v>
      </c>
      <c r="L130" s="175"/>
      <c r="M130" s="175" t="s">
        <v>1108</v>
      </c>
      <c r="N130" s="211">
        <v>44085</v>
      </c>
      <c r="O130" s="211">
        <v>44085</v>
      </c>
      <c r="P130" s="175" t="s">
        <v>1223</v>
      </c>
      <c r="Q130" s="209">
        <v>1000</v>
      </c>
      <c r="R130" s="209">
        <v>14040</v>
      </c>
      <c r="S130" s="212">
        <v>537.99</v>
      </c>
      <c r="T130" s="209">
        <v>14046</v>
      </c>
      <c r="U130" s="212">
        <v>67.25</v>
      </c>
      <c r="V130" s="212">
        <f t="shared" si="11"/>
        <v>470.74</v>
      </c>
      <c r="W130" s="213">
        <v>49.32</v>
      </c>
      <c r="X130" s="209">
        <v>51260</v>
      </c>
      <c r="Y130" s="212">
        <v>4.49</v>
      </c>
      <c r="Z130" s="175" t="s">
        <v>1053</v>
      </c>
      <c r="AA130" s="175"/>
      <c r="AB130" s="175" t="s">
        <v>1224</v>
      </c>
      <c r="AC130" s="175"/>
      <c r="AD130" s="175" t="s">
        <v>1058</v>
      </c>
      <c r="AE130" s="175" t="s">
        <v>1059</v>
      </c>
      <c r="AF130" s="209" t="s">
        <v>284</v>
      </c>
      <c r="AG130" s="175"/>
      <c r="AH130" s="209" t="s">
        <v>1060</v>
      </c>
      <c r="AI130" s="175">
        <v>0</v>
      </c>
      <c r="AJ130" s="175">
        <v>0</v>
      </c>
      <c r="AP130" s="206"/>
      <c r="AQ130" s="207"/>
      <c r="AR130" s="207"/>
      <c r="AS130" s="207"/>
      <c r="AT130" s="208"/>
      <c r="AU130" s="207"/>
      <c r="AV130" s="208"/>
    </row>
    <row r="131" spans="2:48" s="205" customFormat="1" ht="15">
      <c r="B131" s="209">
        <v>2183</v>
      </c>
      <c r="C131" s="210">
        <v>240654</v>
      </c>
      <c r="D131" s="209">
        <v>236404</v>
      </c>
      <c r="E131" s="175" t="s">
        <v>877</v>
      </c>
      <c r="F131" s="209"/>
      <c r="G131" s="175"/>
      <c r="H131" s="175"/>
      <c r="I131" s="175"/>
      <c r="J131" s="175">
        <v>0</v>
      </c>
      <c r="K131" s="175" t="s">
        <v>1107</v>
      </c>
      <c r="L131" s="175"/>
      <c r="M131" s="175" t="s">
        <v>1108</v>
      </c>
      <c r="N131" s="211">
        <v>44085</v>
      </c>
      <c r="O131" s="211">
        <v>44085</v>
      </c>
      <c r="P131" s="175" t="s">
        <v>1223</v>
      </c>
      <c r="Q131" s="209">
        <v>1000</v>
      </c>
      <c r="R131" s="209">
        <v>14040</v>
      </c>
      <c r="S131" s="212">
        <v>268.02999999999997</v>
      </c>
      <c r="T131" s="209">
        <v>14046</v>
      </c>
      <c r="U131" s="212">
        <v>33.51</v>
      </c>
      <c r="V131" s="212">
        <f t="shared" si="11"/>
        <v>234.51999999999998</v>
      </c>
      <c r="W131" s="213">
        <v>24.57</v>
      </c>
      <c r="X131" s="209">
        <v>51260</v>
      </c>
      <c r="Y131" s="212">
        <v>2.2400000000000002</v>
      </c>
      <c r="Z131" s="175" t="s">
        <v>1053</v>
      </c>
      <c r="AA131" s="175"/>
      <c r="AB131" s="175">
        <v>27560</v>
      </c>
      <c r="AC131" s="175"/>
      <c r="AD131" s="175" t="s">
        <v>1058</v>
      </c>
      <c r="AE131" s="175" t="s">
        <v>1059</v>
      </c>
      <c r="AF131" s="209" t="s">
        <v>284</v>
      </c>
      <c r="AG131" s="175"/>
      <c r="AH131" s="209" t="s">
        <v>1060</v>
      </c>
      <c r="AI131" s="175">
        <v>0</v>
      </c>
      <c r="AJ131" s="175">
        <v>0</v>
      </c>
      <c r="AP131" s="206"/>
      <c r="AQ131" s="207"/>
      <c r="AR131" s="207"/>
      <c r="AS131" s="207"/>
      <c r="AT131" s="208"/>
      <c r="AU131" s="207"/>
      <c r="AV131" s="208"/>
    </row>
    <row r="132" spans="2:48" s="205" customFormat="1" ht="15">
      <c r="B132" s="209">
        <v>2183</v>
      </c>
      <c r="C132" s="210">
        <v>240653</v>
      </c>
      <c r="D132" s="209">
        <v>237513</v>
      </c>
      <c r="E132" s="175" t="s">
        <v>729</v>
      </c>
      <c r="F132" s="209"/>
      <c r="G132" s="175"/>
      <c r="H132" s="175"/>
      <c r="I132" s="175"/>
      <c r="J132" s="175">
        <v>0</v>
      </c>
      <c r="K132" s="175" t="s">
        <v>1225</v>
      </c>
      <c r="L132" s="175"/>
      <c r="M132" s="175" t="s">
        <v>1108</v>
      </c>
      <c r="N132" s="211">
        <v>44055</v>
      </c>
      <c r="O132" s="211">
        <v>44055</v>
      </c>
      <c r="P132" s="175" t="s">
        <v>1226</v>
      </c>
      <c r="Q132" s="209">
        <v>1000</v>
      </c>
      <c r="R132" s="209">
        <v>14040</v>
      </c>
      <c r="S132" s="212">
        <v>220.99</v>
      </c>
      <c r="T132" s="209">
        <v>14046</v>
      </c>
      <c r="U132" s="212">
        <v>29.47</v>
      </c>
      <c r="V132" s="212">
        <f t="shared" si="11"/>
        <v>191.52</v>
      </c>
      <c r="W132" s="213">
        <v>20.260000000000002</v>
      </c>
      <c r="X132" s="209">
        <v>51260</v>
      </c>
      <c r="Y132" s="212">
        <v>1.84</v>
      </c>
      <c r="Z132" s="175" t="s">
        <v>1053</v>
      </c>
      <c r="AA132" s="175"/>
      <c r="AB132" s="175">
        <v>27447</v>
      </c>
      <c r="AC132" s="175"/>
      <c r="AD132" s="175" t="s">
        <v>1058</v>
      </c>
      <c r="AE132" s="175" t="s">
        <v>1059</v>
      </c>
      <c r="AF132" s="209" t="s">
        <v>284</v>
      </c>
      <c r="AG132" s="175"/>
      <c r="AH132" s="209" t="s">
        <v>1060</v>
      </c>
      <c r="AI132" s="175">
        <v>0</v>
      </c>
      <c r="AJ132" s="175">
        <v>0</v>
      </c>
      <c r="AP132" s="206"/>
      <c r="AQ132" s="207"/>
      <c r="AR132" s="207"/>
      <c r="AS132" s="207"/>
      <c r="AT132" s="208"/>
      <c r="AU132" s="207"/>
      <c r="AV132" s="208"/>
    </row>
    <row r="133" spans="2:48" s="205" customFormat="1" ht="15">
      <c r="B133" s="209">
        <v>2183</v>
      </c>
      <c r="C133" s="210">
        <v>240614</v>
      </c>
      <c r="D133" s="209">
        <v>240613</v>
      </c>
      <c r="E133" s="175" t="s">
        <v>872</v>
      </c>
      <c r="F133" s="209">
        <v>30</v>
      </c>
      <c r="G133" s="175"/>
      <c r="H133" s="175"/>
      <c r="I133" s="175"/>
      <c r="J133" s="175">
        <v>0</v>
      </c>
      <c r="K133" s="175" t="s">
        <v>1191</v>
      </c>
      <c r="L133" s="175"/>
      <c r="M133" s="175"/>
      <c r="N133" s="211">
        <v>44126</v>
      </c>
      <c r="O133" s="211">
        <v>44126</v>
      </c>
      <c r="P133" s="175" t="s">
        <v>1192</v>
      </c>
      <c r="Q133" s="209">
        <v>500</v>
      </c>
      <c r="R133" s="209">
        <v>14070</v>
      </c>
      <c r="S133" s="212">
        <v>1148.7</v>
      </c>
      <c r="T133" s="209">
        <v>14076</v>
      </c>
      <c r="U133" s="212">
        <v>248.89</v>
      </c>
      <c r="V133" s="212">
        <f t="shared" si="11"/>
        <v>899.81000000000006</v>
      </c>
      <c r="W133" s="213">
        <v>210.6</v>
      </c>
      <c r="X133" s="209">
        <v>51260</v>
      </c>
      <c r="Y133" s="212">
        <v>19.149999999999999</v>
      </c>
      <c r="Z133" s="175" t="s">
        <v>1053</v>
      </c>
      <c r="AA133" s="175"/>
      <c r="AB133" s="175">
        <v>5314907</v>
      </c>
      <c r="AC133" s="175"/>
      <c r="AD133" s="175" t="s">
        <v>1058</v>
      </c>
      <c r="AE133" s="175" t="s">
        <v>1059</v>
      </c>
      <c r="AF133" s="209" t="s">
        <v>284</v>
      </c>
      <c r="AG133" s="175"/>
      <c r="AH133" s="209" t="s">
        <v>1060</v>
      </c>
      <c r="AI133" s="175">
        <v>0</v>
      </c>
      <c r="AJ133" s="175">
        <v>0</v>
      </c>
      <c r="AP133" s="206"/>
      <c r="AQ133" s="207"/>
      <c r="AR133" s="207"/>
      <c r="AS133" s="207"/>
      <c r="AT133" s="208"/>
      <c r="AU133" s="207"/>
      <c r="AV133" s="208"/>
    </row>
    <row r="134" spans="2:48" s="205" customFormat="1" ht="15">
      <c r="B134" s="209">
        <v>2183</v>
      </c>
      <c r="C134" s="210">
        <v>240613</v>
      </c>
      <c r="D134" s="209" t="s">
        <v>1053</v>
      </c>
      <c r="E134" s="175" t="s">
        <v>871</v>
      </c>
      <c r="F134" s="209">
        <v>108</v>
      </c>
      <c r="G134" s="175"/>
      <c r="H134" s="175"/>
      <c r="I134" s="175"/>
      <c r="J134" s="175">
        <v>0</v>
      </c>
      <c r="K134" s="175" t="s">
        <v>1191</v>
      </c>
      <c r="L134" s="175"/>
      <c r="M134" s="175"/>
      <c r="N134" s="211">
        <v>44105</v>
      </c>
      <c r="O134" s="211">
        <v>44105</v>
      </c>
      <c r="P134" s="175" t="s">
        <v>1192</v>
      </c>
      <c r="Q134" s="209">
        <v>500</v>
      </c>
      <c r="R134" s="209">
        <v>14070</v>
      </c>
      <c r="S134" s="212">
        <v>99074.29</v>
      </c>
      <c r="T134" s="209">
        <v>14076</v>
      </c>
      <c r="U134" s="212">
        <v>23117.34</v>
      </c>
      <c r="V134" s="212">
        <f t="shared" si="11"/>
        <v>75956.95</v>
      </c>
      <c r="W134" s="213">
        <v>18163.62</v>
      </c>
      <c r="X134" s="209">
        <v>51260</v>
      </c>
      <c r="Y134" s="212">
        <v>1651.24</v>
      </c>
      <c r="Z134" s="175" t="s">
        <v>1053</v>
      </c>
      <c r="AA134" s="175"/>
      <c r="AB134" s="175">
        <v>5307736</v>
      </c>
      <c r="AC134" s="175"/>
      <c r="AD134" s="175" t="s">
        <v>1058</v>
      </c>
      <c r="AE134" s="175" t="s">
        <v>1059</v>
      </c>
      <c r="AF134" s="209" t="s">
        <v>284</v>
      </c>
      <c r="AG134" s="175"/>
      <c r="AH134" s="209" t="s">
        <v>1060</v>
      </c>
      <c r="AI134" s="175">
        <v>0</v>
      </c>
      <c r="AJ134" s="175">
        <v>0</v>
      </c>
      <c r="AP134" s="206"/>
      <c r="AQ134" s="207"/>
      <c r="AR134" s="207"/>
      <c r="AS134" s="207"/>
      <c r="AT134" s="208"/>
      <c r="AU134" s="207"/>
      <c r="AV134" s="208"/>
    </row>
    <row r="135" spans="2:48" s="205" customFormat="1" ht="15">
      <c r="B135" s="209">
        <v>2183</v>
      </c>
      <c r="C135" s="210">
        <v>240306</v>
      </c>
      <c r="D135" s="209" t="s">
        <v>1053</v>
      </c>
      <c r="E135" s="175" t="s">
        <v>906</v>
      </c>
      <c r="F135" s="209">
        <v>1</v>
      </c>
      <c r="G135" s="175"/>
      <c r="H135" s="175"/>
      <c r="I135" s="175"/>
      <c r="J135" s="175">
        <v>0</v>
      </c>
      <c r="K135" s="175"/>
      <c r="L135" s="175"/>
      <c r="M135" s="175" t="s">
        <v>1145</v>
      </c>
      <c r="N135" s="211">
        <v>39755</v>
      </c>
      <c r="O135" s="211"/>
      <c r="P135" s="175"/>
      <c r="Q135" s="209">
        <v>700</v>
      </c>
      <c r="R135" s="209">
        <v>14050</v>
      </c>
      <c r="S135" s="212">
        <v>135.63999999999999</v>
      </c>
      <c r="T135" s="209">
        <v>14056</v>
      </c>
      <c r="U135" s="212">
        <v>135.63999999999999</v>
      </c>
      <c r="V135" s="212">
        <f t="shared" si="11"/>
        <v>0</v>
      </c>
      <c r="W135" s="213">
        <v>0</v>
      </c>
      <c r="X135" s="209">
        <v>54260</v>
      </c>
      <c r="Y135" s="212">
        <v>0</v>
      </c>
      <c r="Z135" s="175" t="s">
        <v>1059</v>
      </c>
      <c r="AA135" s="175" t="s">
        <v>1140</v>
      </c>
      <c r="AB135" s="175"/>
      <c r="AC135" s="175"/>
      <c r="AD135" s="175" t="s">
        <v>1058</v>
      </c>
      <c r="AE135" s="175" t="s">
        <v>1059</v>
      </c>
      <c r="AF135" s="209" t="s">
        <v>284</v>
      </c>
      <c r="AG135" s="214">
        <v>44104</v>
      </c>
      <c r="AH135" s="209" t="s">
        <v>1060</v>
      </c>
      <c r="AI135" s="175">
        <v>0</v>
      </c>
      <c r="AJ135" s="175">
        <v>135.63999999999999</v>
      </c>
      <c r="AP135" s="206"/>
      <c r="AQ135" s="207"/>
      <c r="AR135" s="207"/>
      <c r="AS135" s="207"/>
      <c r="AT135" s="208"/>
      <c r="AU135" s="207"/>
      <c r="AV135" s="208"/>
    </row>
    <row r="136" spans="2:48" s="205" customFormat="1" ht="15">
      <c r="B136" s="209">
        <v>2183</v>
      </c>
      <c r="C136" s="210">
        <v>240299</v>
      </c>
      <c r="D136" s="209" t="s">
        <v>1053</v>
      </c>
      <c r="E136" s="175" t="s">
        <v>907</v>
      </c>
      <c r="F136" s="209">
        <v>30</v>
      </c>
      <c r="G136" s="175"/>
      <c r="H136" s="175"/>
      <c r="I136" s="175"/>
      <c r="J136" s="175">
        <v>0</v>
      </c>
      <c r="K136" s="175"/>
      <c r="L136" s="175"/>
      <c r="M136" s="175" t="s">
        <v>1215</v>
      </c>
      <c r="N136" s="211">
        <v>39755</v>
      </c>
      <c r="O136" s="211">
        <v>39755</v>
      </c>
      <c r="P136" s="175"/>
      <c r="Q136" s="209">
        <v>700</v>
      </c>
      <c r="R136" s="209">
        <v>14050</v>
      </c>
      <c r="S136" s="212">
        <v>5438.78</v>
      </c>
      <c r="T136" s="209">
        <v>14056</v>
      </c>
      <c r="U136" s="212">
        <v>5438.78</v>
      </c>
      <c r="V136" s="212">
        <f t="shared" si="11"/>
        <v>0</v>
      </c>
      <c r="W136" s="213">
        <v>0</v>
      </c>
      <c r="X136" s="209">
        <v>54260</v>
      </c>
      <c r="Y136" s="212">
        <v>0</v>
      </c>
      <c r="Z136" s="175" t="s">
        <v>1059</v>
      </c>
      <c r="AA136" s="175" t="s">
        <v>1140</v>
      </c>
      <c r="AB136" s="175"/>
      <c r="AC136" s="175"/>
      <c r="AD136" s="175" t="s">
        <v>1058</v>
      </c>
      <c r="AE136" s="175" t="s">
        <v>1059</v>
      </c>
      <c r="AF136" s="209" t="s">
        <v>284</v>
      </c>
      <c r="AG136" s="214">
        <v>44104</v>
      </c>
      <c r="AH136" s="209" t="s">
        <v>1060</v>
      </c>
      <c r="AI136" s="175">
        <v>0</v>
      </c>
      <c r="AJ136" s="175">
        <v>5438.78</v>
      </c>
      <c r="AP136" s="206"/>
      <c r="AQ136" s="207"/>
      <c r="AR136" s="207"/>
      <c r="AS136" s="207"/>
      <c r="AT136" s="208"/>
      <c r="AU136" s="207"/>
      <c r="AV136" s="208"/>
    </row>
    <row r="137" spans="2:48" s="205" customFormat="1" ht="15">
      <c r="B137" s="209">
        <v>2183</v>
      </c>
      <c r="C137" s="210">
        <v>240153</v>
      </c>
      <c r="D137" s="209" t="s">
        <v>1053</v>
      </c>
      <c r="E137" s="175" t="s">
        <v>908</v>
      </c>
      <c r="F137" s="209">
        <v>2</v>
      </c>
      <c r="G137" s="175"/>
      <c r="H137" s="175"/>
      <c r="I137" s="175"/>
      <c r="J137" s="175">
        <v>0</v>
      </c>
      <c r="K137" s="175"/>
      <c r="L137" s="175"/>
      <c r="M137" s="175" t="s">
        <v>1145</v>
      </c>
      <c r="N137" s="211">
        <v>39755</v>
      </c>
      <c r="O137" s="211">
        <v>39755</v>
      </c>
      <c r="P137" s="175"/>
      <c r="Q137" s="209">
        <v>700</v>
      </c>
      <c r="R137" s="209">
        <v>14050</v>
      </c>
      <c r="S137" s="212">
        <v>3060</v>
      </c>
      <c r="T137" s="209">
        <v>14056</v>
      </c>
      <c r="U137" s="212">
        <v>3060</v>
      </c>
      <c r="V137" s="212">
        <f t="shared" si="11"/>
        <v>0</v>
      </c>
      <c r="W137" s="213">
        <v>0</v>
      </c>
      <c r="X137" s="209">
        <v>54260</v>
      </c>
      <c r="Y137" s="212">
        <v>0</v>
      </c>
      <c r="Z137" s="175" t="s">
        <v>1059</v>
      </c>
      <c r="AA137" s="175" t="s">
        <v>1140</v>
      </c>
      <c r="AB137" s="175"/>
      <c r="AC137" s="175"/>
      <c r="AD137" s="175" t="s">
        <v>1058</v>
      </c>
      <c r="AE137" s="175" t="s">
        <v>1059</v>
      </c>
      <c r="AF137" s="209" t="s">
        <v>284</v>
      </c>
      <c r="AG137" s="214">
        <v>44104</v>
      </c>
      <c r="AH137" s="209" t="s">
        <v>1060</v>
      </c>
      <c r="AI137" s="175">
        <v>0</v>
      </c>
      <c r="AJ137" s="175">
        <v>3060</v>
      </c>
      <c r="AP137" s="206"/>
      <c r="AQ137" s="207"/>
      <c r="AR137" s="207"/>
      <c r="AS137" s="207"/>
      <c r="AT137" s="208"/>
      <c r="AU137" s="207"/>
      <c r="AV137" s="208"/>
    </row>
    <row r="138" spans="2:48" s="205" customFormat="1" ht="15">
      <c r="B138" s="209">
        <v>2183</v>
      </c>
      <c r="C138" s="210">
        <v>239456</v>
      </c>
      <c r="D138" s="209">
        <v>236404</v>
      </c>
      <c r="E138" s="175" t="s">
        <v>790</v>
      </c>
      <c r="F138" s="209"/>
      <c r="G138" s="175"/>
      <c r="H138" s="175"/>
      <c r="I138" s="175"/>
      <c r="J138" s="175">
        <v>0</v>
      </c>
      <c r="K138" s="175" t="s">
        <v>1191</v>
      </c>
      <c r="L138" s="175"/>
      <c r="M138" s="175" t="s">
        <v>1108</v>
      </c>
      <c r="N138" s="211">
        <v>44044</v>
      </c>
      <c r="O138" s="211">
        <v>44044</v>
      </c>
      <c r="P138" s="175" t="s">
        <v>1223</v>
      </c>
      <c r="Q138" s="209">
        <v>500</v>
      </c>
      <c r="R138" s="209">
        <v>14040</v>
      </c>
      <c r="S138" s="212">
        <v>342.97</v>
      </c>
      <c r="T138" s="209">
        <v>14046</v>
      </c>
      <c r="U138" s="212">
        <v>91.45</v>
      </c>
      <c r="V138" s="212">
        <f t="shared" si="11"/>
        <v>251.52000000000004</v>
      </c>
      <c r="W138" s="213">
        <v>62.87</v>
      </c>
      <c r="X138" s="209">
        <v>51260</v>
      </c>
      <c r="Y138" s="212">
        <v>5.71</v>
      </c>
      <c r="Z138" s="175" t="s">
        <v>1053</v>
      </c>
      <c r="AA138" s="175"/>
      <c r="AB138" s="175">
        <v>5306350</v>
      </c>
      <c r="AC138" s="175"/>
      <c r="AD138" s="175" t="s">
        <v>1058</v>
      </c>
      <c r="AE138" s="175" t="s">
        <v>1059</v>
      </c>
      <c r="AF138" s="209" t="s">
        <v>284</v>
      </c>
      <c r="AG138" s="175"/>
      <c r="AH138" s="209" t="s">
        <v>1060</v>
      </c>
      <c r="AI138" s="175">
        <v>0</v>
      </c>
      <c r="AJ138" s="175">
        <v>0</v>
      </c>
      <c r="AP138" s="206"/>
      <c r="AQ138" s="207"/>
      <c r="AR138" s="207"/>
      <c r="AS138" s="207"/>
      <c r="AT138" s="208"/>
      <c r="AU138" s="207"/>
      <c r="AV138" s="208"/>
    </row>
    <row r="139" spans="2:48" s="205" customFormat="1" ht="15">
      <c r="B139" s="209">
        <v>2183</v>
      </c>
      <c r="C139" s="210">
        <v>239455</v>
      </c>
      <c r="D139" s="209">
        <v>237513</v>
      </c>
      <c r="E139" s="175" t="s">
        <v>1227</v>
      </c>
      <c r="F139" s="209"/>
      <c r="G139" s="175"/>
      <c r="H139" s="175"/>
      <c r="I139" s="175"/>
      <c r="J139" s="175">
        <v>0</v>
      </c>
      <c r="K139" s="175" t="s">
        <v>1222</v>
      </c>
      <c r="L139" s="175"/>
      <c r="M139" s="175" t="s">
        <v>1108</v>
      </c>
      <c r="N139" s="211">
        <v>44075</v>
      </c>
      <c r="O139" s="211">
        <v>44075</v>
      </c>
      <c r="P139" s="175" t="s">
        <v>1226</v>
      </c>
      <c r="Q139" s="209">
        <v>1000</v>
      </c>
      <c r="R139" s="209">
        <v>14040</v>
      </c>
      <c r="S139" s="212">
        <v>1009.58</v>
      </c>
      <c r="T139" s="209">
        <v>14046</v>
      </c>
      <c r="U139" s="212">
        <v>126.18</v>
      </c>
      <c r="V139" s="212">
        <f t="shared" si="11"/>
        <v>883.40000000000009</v>
      </c>
      <c r="W139" s="213">
        <v>92.54</v>
      </c>
      <c r="X139" s="209">
        <v>51260</v>
      </c>
      <c r="Y139" s="212">
        <v>8.41</v>
      </c>
      <c r="Z139" s="175" t="s">
        <v>1053</v>
      </c>
      <c r="AA139" s="175"/>
      <c r="AB139" s="175">
        <v>91720</v>
      </c>
      <c r="AC139" s="175"/>
      <c r="AD139" s="175" t="s">
        <v>1058</v>
      </c>
      <c r="AE139" s="175" t="s">
        <v>1059</v>
      </c>
      <c r="AF139" s="209" t="s">
        <v>284</v>
      </c>
      <c r="AG139" s="175"/>
      <c r="AH139" s="209" t="s">
        <v>1060</v>
      </c>
      <c r="AI139" s="175">
        <v>0</v>
      </c>
      <c r="AJ139" s="175">
        <v>0</v>
      </c>
      <c r="AP139" s="206"/>
      <c r="AQ139" s="207"/>
      <c r="AR139" s="207"/>
      <c r="AS139" s="207"/>
      <c r="AT139" s="208"/>
      <c r="AU139" s="207"/>
      <c r="AV139" s="208"/>
    </row>
    <row r="140" spans="2:48" s="205" customFormat="1" ht="15">
      <c r="B140" s="209">
        <v>2183</v>
      </c>
      <c r="C140" s="210">
        <v>239454</v>
      </c>
      <c r="D140" s="209">
        <v>237513</v>
      </c>
      <c r="E140" s="175" t="s">
        <v>1228</v>
      </c>
      <c r="F140" s="209"/>
      <c r="G140" s="175"/>
      <c r="H140" s="175"/>
      <c r="I140" s="175"/>
      <c r="J140" s="175">
        <v>0</v>
      </c>
      <c r="K140" s="175" t="s">
        <v>1222</v>
      </c>
      <c r="L140" s="175"/>
      <c r="M140" s="175" t="s">
        <v>1108</v>
      </c>
      <c r="N140" s="211">
        <v>44075</v>
      </c>
      <c r="O140" s="211">
        <v>44075</v>
      </c>
      <c r="P140" s="175" t="s">
        <v>1226</v>
      </c>
      <c r="Q140" s="209">
        <v>1000</v>
      </c>
      <c r="R140" s="209">
        <v>14040</v>
      </c>
      <c r="S140" s="212">
        <v>427.45</v>
      </c>
      <c r="T140" s="209">
        <v>14046</v>
      </c>
      <c r="U140" s="212">
        <v>53.44</v>
      </c>
      <c r="V140" s="212">
        <f t="shared" si="11"/>
        <v>374.01</v>
      </c>
      <c r="W140" s="213">
        <v>39.19</v>
      </c>
      <c r="X140" s="209">
        <v>51260</v>
      </c>
      <c r="Y140" s="212">
        <v>3.56</v>
      </c>
      <c r="Z140" s="175" t="s">
        <v>1053</v>
      </c>
      <c r="AA140" s="175"/>
      <c r="AB140" s="175">
        <v>91120</v>
      </c>
      <c r="AC140" s="175"/>
      <c r="AD140" s="175" t="s">
        <v>1058</v>
      </c>
      <c r="AE140" s="175" t="s">
        <v>1059</v>
      </c>
      <c r="AF140" s="209" t="s">
        <v>284</v>
      </c>
      <c r="AG140" s="175"/>
      <c r="AH140" s="209" t="s">
        <v>1060</v>
      </c>
      <c r="AI140" s="175">
        <v>0</v>
      </c>
      <c r="AJ140" s="175">
        <v>0</v>
      </c>
      <c r="AP140" s="206"/>
      <c r="AQ140" s="207"/>
      <c r="AR140" s="207"/>
      <c r="AS140" s="207"/>
      <c r="AT140" s="208"/>
      <c r="AU140" s="207"/>
      <c r="AV140" s="208"/>
    </row>
    <row r="141" spans="2:48" s="205" customFormat="1" ht="15">
      <c r="B141" s="209">
        <v>2183</v>
      </c>
      <c r="C141" s="210">
        <v>237935</v>
      </c>
      <c r="D141" s="209" t="s">
        <v>1053</v>
      </c>
      <c r="E141" s="175" t="s">
        <v>849</v>
      </c>
      <c r="F141" s="209">
        <v>1</v>
      </c>
      <c r="G141" s="175"/>
      <c r="H141" s="175"/>
      <c r="I141" s="175"/>
      <c r="J141" s="175">
        <v>0</v>
      </c>
      <c r="K141" s="175"/>
      <c r="L141" s="175"/>
      <c r="M141" s="175" t="s">
        <v>1203</v>
      </c>
      <c r="N141" s="211">
        <v>39755</v>
      </c>
      <c r="O141" s="211"/>
      <c r="P141" s="175"/>
      <c r="Q141" s="209">
        <v>1200</v>
      </c>
      <c r="R141" s="209">
        <v>14050</v>
      </c>
      <c r="S141" s="212">
        <v>274.99</v>
      </c>
      <c r="T141" s="209">
        <v>14056</v>
      </c>
      <c r="U141" s="212">
        <v>274.99</v>
      </c>
      <c r="V141" s="212">
        <f t="shared" si="11"/>
        <v>0</v>
      </c>
      <c r="W141" s="213">
        <v>0</v>
      </c>
      <c r="X141" s="209">
        <v>54260</v>
      </c>
      <c r="Y141" s="212">
        <v>0</v>
      </c>
      <c r="Z141" s="175" t="s">
        <v>1059</v>
      </c>
      <c r="AA141" s="175" t="s">
        <v>1140</v>
      </c>
      <c r="AB141" s="175"/>
      <c r="AC141" s="175"/>
      <c r="AD141" s="175" t="s">
        <v>1058</v>
      </c>
      <c r="AE141" s="175" t="s">
        <v>1059</v>
      </c>
      <c r="AF141" s="209" t="s">
        <v>284</v>
      </c>
      <c r="AG141" s="214">
        <v>44074</v>
      </c>
      <c r="AH141" s="209" t="s">
        <v>1060</v>
      </c>
      <c r="AI141" s="175">
        <v>0</v>
      </c>
      <c r="AJ141" s="175">
        <v>271.17</v>
      </c>
      <c r="AP141" s="206"/>
      <c r="AQ141" s="207"/>
      <c r="AR141" s="207"/>
      <c r="AS141" s="207"/>
      <c r="AT141" s="208"/>
      <c r="AU141" s="207"/>
      <c r="AV141" s="208"/>
    </row>
    <row r="142" spans="2:48" s="205" customFormat="1" ht="15">
      <c r="B142" s="209">
        <v>2183</v>
      </c>
      <c r="C142" s="210">
        <v>237687</v>
      </c>
      <c r="D142" s="209" t="s">
        <v>1053</v>
      </c>
      <c r="E142" s="175" t="s">
        <v>908</v>
      </c>
      <c r="F142" s="209">
        <v>25</v>
      </c>
      <c r="G142" s="175"/>
      <c r="H142" s="175"/>
      <c r="I142" s="175"/>
      <c r="J142" s="175">
        <v>0</v>
      </c>
      <c r="K142" s="175"/>
      <c r="L142" s="175"/>
      <c r="M142" s="175" t="s">
        <v>1145</v>
      </c>
      <c r="N142" s="211">
        <v>39755</v>
      </c>
      <c r="O142" s="211">
        <v>39755</v>
      </c>
      <c r="P142" s="175"/>
      <c r="Q142" s="209">
        <v>700</v>
      </c>
      <c r="R142" s="209">
        <v>14050</v>
      </c>
      <c r="S142" s="212">
        <v>37543.25</v>
      </c>
      <c r="T142" s="209">
        <v>14056</v>
      </c>
      <c r="U142" s="212">
        <v>37543.25</v>
      </c>
      <c r="V142" s="212">
        <f t="shared" ref="V142:V205" si="22">S142-U142</f>
        <v>0</v>
      </c>
      <c r="W142" s="213">
        <v>0</v>
      </c>
      <c r="X142" s="209">
        <v>54260</v>
      </c>
      <c r="Y142" s="212">
        <v>0</v>
      </c>
      <c r="Z142" s="175" t="s">
        <v>1059</v>
      </c>
      <c r="AA142" s="175" t="s">
        <v>1140</v>
      </c>
      <c r="AB142" s="175"/>
      <c r="AC142" s="175"/>
      <c r="AD142" s="175" t="s">
        <v>1058</v>
      </c>
      <c r="AE142" s="175" t="s">
        <v>1059</v>
      </c>
      <c r="AF142" s="209" t="s">
        <v>284</v>
      </c>
      <c r="AG142" s="214">
        <v>44074</v>
      </c>
      <c r="AH142" s="209" t="s">
        <v>1060</v>
      </c>
      <c r="AI142" s="175">
        <v>0</v>
      </c>
      <c r="AJ142" s="175">
        <v>37543.25</v>
      </c>
      <c r="AP142" s="206"/>
      <c r="AQ142" s="207"/>
      <c r="AR142" s="207"/>
      <c r="AS142" s="207"/>
      <c r="AT142" s="208"/>
      <c r="AU142" s="207"/>
      <c r="AV142" s="208"/>
    </row>
    <row r="143" spans="2:48" s="205" customFormat="1" ht="15">
      <c r="B143" s="209">
        <v>2183</v>
      </c>
      <c r="C143" s="210">
        <v>237569</v>
      </c>
      <c r="D143" s="209" t="s">
        <v>1053</v>
      </c>
      <c r="E143" s="175" t="s">
        <v>861</v>
      </c>
      <c r="F143" s="209">
        <v>351</v>
      </c>
      <c r="G143" s="175"/>
      <c r="H143" s="175"/>
      <c r="I143" s="175"/>
      <c r="J143" s="175">
        <v>0</v>
      </c>
      <c r="K143" s="175" t="s">
        <v>1068</v>
      </c>
      <c r="L143" s="175"/>
      <c r="M143" s="175" t="s">
        <v>1069</v>
      </c>
      <c r="N143" s="211">
        <v>44040</v>
      </c>
      <c r="O143" s="211">
        <v>44040</v>
      </c>
      <c r="P143" s="175" t="s">
        <v>1229</v>
      </c>
      <c r="Q143" s="209">
        <v>700</v>
      </c>
      <c r="R143" s="209">
        <v>14050</v>
      </c>
      <c r="S143" s="212">
        <v>15029.53</v>
      </c>
      <c r="T143" s="209">
        <v>14056</v>
      </c>
      <c r="U143" s="212">
        <v>2862.78</v>
      </c>
      <c r="V143" s="212">
        <f t="shared" si="22"/>
        <v>12166.75</v>
      </c>
      <c r="W143" s="213">
        <v>1968.16</v>
      </c>
      <c r="X143" s="209">
        <v>54260</v>
      </c>
      <c r="Y143" s="212">
        <v>178.93</v>
      </c>
      <c r="Z143" s="175" t="s">
        <v>1053</v>
      </c>
      <c r="AA143" s="175"/>
      <c r="AB143" s="175">
        <v>50115806</v>
      </c>
      <c r="AC143" s="175"/>
      <c r="AD143" s="175" t="s">
        <v>1058</v>
      </c>
      <c r="AE143" s="175" t="s">
        <v>1059</v>
      </c>
      <c r="AF143" s="209" t="s">
        <v>284</v>
      </c>
      <c r="AG143" s="175"/>
      <c r="AH143" s="209" t="s">
        <v>1060</v>
      </c>
      <c r="AI143" s="175">
        <v>0</v>
      </c>
      <c r="AJ143" s="175">
        <v>0</v>
      </c>
      <c r="AP143" s="206"/>
      <c r="AQ143" s="207"/>
      <c r="AR143" s="207"/>
      <c r="AS143" s="207"/>
      <c r="AT143" s="208"/>
      <c r="AU143" s="207"/>
      <c r="AV143" s="208"/>
    </row>
    <row r="144" spans="2:48" s="205" customFormat="1" ht="15">
      <c r="B144" s="209">
        <v>2183</v>
      </c>
      <c r="C144" s="210">
        <v>237513</v>
      </c>
      <c r="D144" s="209" t="s">
        <v>1053</v>
      </c>
      <c r="E144" s="175" t="s">
        <v>840</v>
      </c>
      <c r="F144" s="209"/>
      <c r="G144" s="175"/>
      <c r="H144" s="175" t="s">
        <v>1230</v>
      </c>
      <c r="I144" s="175"/>
      <c r="J144" s="175">
        <v>2020</v>
      </c>
      <c r="K144" s="175" t="s">
        <v>1196</v>
      </c>
      <c r="L144" s="175" t="s">
        <v>1231</v>
      </c>
      <c r="M144" s="175" t="s">
        <v>1232</v>
      </c>
      <c r="N144" s="211">
        <v>44075</v>
      </c>
      <c r="O144" s="211">
        <v>44075</v>
      </c>
      <c r="P144" s="175" t="s">
        <v>1233</v>
      </c>
      <c r="Q144" s="209">
        <v>1000</v>
      </c>
      <c r="R144" s="209">
        <v>14040</v>
      </c>
      <c r="S144" s="212">
        <v>269291.76</v>
      </c>
      <c r="T144" s="209">
        <v>14046</v>
      </c>
      <c r="U144" s="212">
        <v>33661.47</v>
      </c>
      <c r="V144" s="212">
        <f t="shared" si="22"/>
        <v>235630.29</v>
      </c>
      <c r="W144" s="213">
        <v>24685.08</v>
      </c>
      <c r="X144" s="209">
        <v>51260</v>
      </c>
      <c r="Y144" s="212">
        <v>2244.1</v>
      </c>
      <c r="Z144" s="175" t="s">
        <v>1053</v>
      </c>
      <c r="AA144" s="175"/>
      <c r="AB144" s="175"/>
      <c r="AC144" s="175">
        <v>4089</v>
      </c>
      <c r="AD144" s="175" t="s">
        <v>1058</v>
      </c>
      <c r="AE144" s="175" t="s">
        <v>1059</v>
      </c>
      <c r="AF144" s="209" t="s">
        <v>284</v>
      </c>
      <c r="AG144" s="175"/>
      <c r="AH144" s="209" t="s">
        <v>1060</v>
      </c>
      <c r="AI144" s="175">
        <v>0</v>
      </c>
      <c r="AJ144" s="175">
        <v>0</v>
      </c>
      <c r="AP144" s="206"/>
      <c r="AQ144" s="207"/>
      <c r="AR144" s="207"/>
      <c r="AS144" s="207"/>
      <c r="AT144" s="208"/>
      <c r="AU144" s="207"/>
      <c r="AV144" s="208"/>
    </row>
    <row r="145" spans="2:48" s="205" customFormat="1" ht="15">
      <c r="B145" s="209">
        <v>2183</v>
      </c>
      <c r="C145" s="210">
        <v>236859</v>
      </c>
      <c r="D145" s="209" t="s">
        <v>1053</v>
      </c>
      <c r="E145" s="175" t="s">
        <v>1234</v>
      </c>
      <c r="F145" s="209">
        <v>15</v>
      </c>
      <c r="G145" s="175"/>
      <c r="H145" s="175"/>
      <c r="I145" s="175"/>
      <c r="J145" s="175">
        <v>0</v>
      </c>
      <c r="K145" s="175" t="s">
        <v>1093</v>
      </c>
      <c r="L145" s="175"/>
      <c r="M145" s="175" t="s">
        <v>1136</v>
      </c>
      <c r="N145" s="211">
        <v>44047</v>
      </c>
      <c r="O145" s="211">
        <v>44047</v>
      </c>
      <c r="P145" s="175" t="s">
        <v>1235</v>
      </c>
      <c r="Q145" s="209">
        <v>1200</v>
      </c>
      <c r="R145" s="209">
        <v>14050</v>
      </c>
      <c r="S145" s="212">
        <v>7349.18</v>
      </c>
      <c r="T145" s="209">
        <v>14056</v>
      </c>
      <c r="U145" s="212">
        <v>816.57</v>
      </c>
      <c r="V145" s="212">
        <f t="shared" si="22"/>
        <v>6532.6100000000006</v>
      </c>
      <c r="W145" s="213">
        <v>561.39</v>
      </c>
      <c r="X145" s="209">
        <v>54260</v>
      </c>
      <c r="Y145" s="212">
        <v>51.03</v>
      </c>
      <c r="Z145" s="175" t="s">
        <v>1053</v>
      </c>
      <c r="AA145" s="175"/>
      <c r="AB145" s="175">
        <v>37221398</v>
      </c>
      <c r="AC145" s="175"/>
      <c r="AD145" s="175" t="s">
        <v>1058</v>
      </c>
      <c r="AE145" s="175" t="s">
        <v>1059</v>
      </c>
      <c r="AF145" s="209" t="s">
        <v>284</v>
      </c>
      <c r="AG145" s="175"/>
      <c r="AH145" s="209" t="s">
        <v>1060</v>
      </c>
      <c r="AI145" s="175">
        <v>0</v>
      </c>
      <c r="AJ145" s="175">
        <v>0</v>
      </c>
      <c r="AP145" s="206"/>
      <c r="AQ145" s="207"/>
      <c r="AR145" s="207"/>
      <c r="AS145" s="207"/>
      <c r="AT145" s="208"/>
      <c r="AU145" s="207"/>
      <c r="AV145" s="208"/>
    </row>
    <row r="146" spans="2:48" s="205" customFormat="1" ht="15">
      <c r="B146" s="209">
        <v>2183</v>
      </c>
      <c r="C146" s="210">
        <v>236858</v>
      </c>
      <c r="D146" s="209" t="s">
        <v>1053</v>
      </c>
      <c r="E146" s="175" t="s">
        <v>1236</v>
      </c>
      <c r="F146" s="209">
        <v>25</v>
      </c>
      <c r="G146" s="175"/>
      <c r="H146" s="175"/>
      <c r="I146" s="175"/>
      <c r="J146" s="175">
        <v>0</v>
      </c>
      <c r="K146" s="175" t="s">
        <v>1093</v>
      </c>
      <c r="L146" s="175"/>
      <c r="M146" s="175" t="s">
        <v>1136</v>
      </c>
      <c r="N146" s="211">
        <v>44047</v>
      </c>
      <c r="O146" s="211">
        <v>44047</v>
      </c>
      <c r="P146" s="175" t="s">
        <v>1235</v>
      </c>
      <c r="Q146" s="209">
        <v>1200</v>
      </c>
      <c r="R146" s="209">
        <v>14050</v>
      </c>
      <c r="S146" s="212">
        <v>15940.84</v>
      </c>
      <c r="T146" s="209">
        <v>14056</v>
      </c>
      <c r="U146" s="212">
        <v>1771.2</v>
      </c>
      <c r="V146" s="212">
        <f t="shared" si="22"/>
        <v>14169.64</v>
      </c>
      <c r="W146" s="213">
        <v>1217.7</v>
      </c>
      <c r="X146" s="209">
        <v>54260</v>
      </c>
      <c r="Y146" s="212">
        <v>110.7</v>
      </c>
      <c r="Z146" s="175" t="s">
        <v>1053</v>
      </c>
      <c r="AA146" s="175"/>
      <c r="AB146" s="175">
        <v>37221398</v>
      </c>
      <c r="AC146" s="175"/>
      <c r="AD146" s="175" t="s">
        <v>1058</v>
      </c>
      <c r="AE146" s="175" t="s">
        <v>1059</v>
      </c>
      <c r="AF146" s="209" t="s">
        <v>284</v>
      </c>
      <c r="AG146" s="175"/>
      <c r="AH146" s="209" t="s">
        <v>1060</v>
      </c>
      <c r="AI146" s="175">
        <v>0</v>
      </c>
      <c r="AJ146" s="175">
        <v>0</v>
      </c>
      <c r="AP146" s="206"/>
      <c r="AQ146" s="207"/>
      <c r="AR146" s="207"/>
      <c r="AS146" s="207"/>
      <c r="AT146" s="208"/>
      <c r="AU146" s="207"/>
      <c r="AV146" s="208"/>
    </row>
    <row r="147" spans="2:48" s="205" customFormat="1" ht="15">
      <c r="B147" s="209">
        <v>2183</v>
      </c>
      <c r="C147" s="210">
        <v>236857</v>
      </c>
      <c r="D147" s="209" t="s">
        <v>1053</v>
      </c>
      <c r="E147" s="175" t="s">
        <v>1237</v>
      </c>
      <c r="F147" s="209">
        <v>25</v>
      </c>
      <c r="G147" s="175"/>
      <c r="H147" s="175"/>
      <c r="I147" s="175"/>
      <c r="J147" s="175">
        <v>0</v>
      </c>
      <c r="K147" s="175" t="s">
        <v>1093</v>
      </c>
      <c r="L147" s="175"/>
      <c r="M147" s="175" t="s">
        <v>1133</v>
      </c>
      <c r="N147" s="211">
        <v>44047</v>
      </c>
      <c r="O147" s="211">
        <v>44047</v>
      </c>
      <c r="P147" s="175" t="s">
        <v>1235</v>
      </c>
      <c r="Q147" s="209">
        <v>1200</v>
      </c>
      <c r="R147" s="209">
        <v>14050</v>
      </c>
      <c r="S147" s="212">
        <v>13862.24</v>
      </c>
      <c r="T147" s="209">
        <v>14056</v>
      </c>
      <c r="U147" s="212">
        <v>1540.25</v>
      </c>
      <c r="V147" s="212">
        <f t="shared" si="22"/>
        <v>12321.99</v>
      </c>
      <c r="W147" s="213">
        <v>1058.92</v>
      </c>
      <c r="X147" s="209">
        <v>54260</v>
      </c>
      <c r="Y147" s="212">
        <v>96.26</v>
      </c>
      <c r="Z147" s="175" t="s">
        <v>1053</v>
      </c>
      <c r="AA147" s="175"/>
      <c r="AB147" s="175">
        <v>37221398</v>
      </c>
      <c r="AC147" s="175"/>
      <c r="AD147" s="175" t="s">
        <v>1058</v>
      </c>
      <c r="AE147" s="175" t="s">
        <v>1059</v>
      </c>
      <c r="AF147" s="209" t="s">
        <v>284</v>
      </c>
      <c r="AG147" s="175"/>
      <c r="AH147" s="209" t="s">
        <v>1060</v>
      </c>
      <c r="AI147" s="175">
        <v>0</v>
      </c>
      <c r="AJ147" s="175">
        <v>0</v>
      </c>
      <c r="AP147" s="206"/>
      <c r="AQ147" s="207"/>
      <c r="AR147" s="207"/>
      <c r="AS147" s="207"/>
      <c r="AT147" s="208"/>
      <c r="AU147" s="207"/>
      <c r="AV147" s="208"/>
    </row>
    <row r="148" spans="2:48" s="205" customFormat="1" ht="15">
      <c r="B148" s="209">
        <v>2183</v>
      </c>
      <c r="C148" s="210">
        <v>236856</v>
      </c>
      <c r="D148" s="209" t="s">
        <v>1053</v>
      </c>
      <c r="E148" s="175" t="s">
        <v>1238</v>
      </c>
      <c r="F148" s="209">
        <v>10</v>
      </c>
      <c r="G148" s="175"/>
      <c r="H148" s="175"/>
      <c r="I148" s="175"/>
      <c r="J148" s="175">
        <v>0</v>
      </c>
      <c r="K148" s="175" t="s">
        <v>1093</v>
      </c>
      <c r="L148" s="175"/>
      <c r="M148" s="175" t="s">
        <v>1203</v>
      </c>
      <c r="N148" s="211">
        <v>44047</v>
      </c>
      <c r="O148" s="211">
        <v>44047</v>
      </c>
      <c r="P148" s="175" t="s">
        <v>1235</v>
      </c>
      <c r="Q148" s="209">
        <v>1200</v>
      </c>
      <c r="R148" s="209">
        <v>14050</v>
      </c>
      <c r="S148" s="212">
        <v>7868.98</v>
      </c>
      <c r="T148" s="209">
        <v>14056</v>
      </c>
      <c r="U148" s="212">
        <v>874.33</v>
      </c>
      <c r="V148" s="212">
        <f t="shared" si="22"/>
        <v>6994.65</v>
      </c>
      <c r="W148" s="213">
        <v>601.1</v>
      </c>
      <c r="X148" s="209">
        <v>54260</v>
      </c>
      <c r="Y148" s="212">
        <v>54.64</v>
      </c>
      <c r="Z148" s="175" t="s">
        <v>1053</v>
      </c>
      <c r="AA148" s="175"/>
      <c r="AB148" s="175">
        <v>37221407</v>
      </c>
      <c r="AC148" s="175"/>
      <c r="AD148" s="175" t="s">
        <v>1058</v>
      </c>
      <c r="AE148" s="175" t="s">
        <v>1059</v>
      </c>
      <c r="AF148" s="209" t="s">
        <v>284</v>
      </c>
      <c r="AG148" s="175"/>
      <c r="AH148" s="209" t="s">
        <v>1060</v>
      </c>
      <c r="AI148" s="175">
        <v>0</v>
      </c>
      <c r="AJ148" s="175">
        <v>0</v>
      </c>
      <c r="AP148" s="206"/>
      <c r="AQ148" s="207"/>
      <c r="AR148" s="207"/>
      <c r="AS148" s="207"/>
      <c r="AT148" s="208"/>
      <c r="AU148" s="207"/>
      <c r="AV148" s="208"/>
    </row>
    <row r="149" spans="2:48" s="205" customFormat="1" ht="15">
      <c r="B149" s="209">
        <v>2183</v>
      </c>
      <c r="C149" s="210">
        <v>236855</v>
      </c>
      <c r="D149" s="209" t="s">
        <v>1053</v>
      </c>
      <c r="E149" s="175" t="s">
        <v>828</v>
      </c>
      <c r="F149" s="209">
        <v>10</v>
      </c>
      <c r="G149" s="175"/>
      <c r="H149" s="175"/>
      <c r="I149" s="175"/>
      <c r="J149" s="175">
        <v>0</v>
      </c>
      <c r="K149" s="175" t="s">
        <v>1093</v>
      </c>
      <c r="L149" s="175"/>
      <c r="M149" s="175" t="s">
        <v>1143</v>
      </c>
      <c r="N149" s="211">
        <v>44047</v>
      </c>
      <c r="O149" s="211">
        <v>44047</v>
      </c>
      <c r="P149" s="175" t="s">
        <v>1235</v>
      </c>
      <c r="Q149" s="209">
        <v>1200</v>
      </c>
      <c r="R149" s="209">
        <v>14050</v>
      </c>
      <c r="S149" s="212">
        <v>5123.05</v>
      </c>
      <c r="T149" s="209">
        <v>14056</v>
      </c>
      <c r="U149" s="212">
        <v>569.22</v>
      </c>
      <c r="V149" s="212">
        <f t="shared" si="22"/>
        <v>4553.83</v>
      </c>
      <c r="W149" s="213">
        <v>391.34</v>
      </c>
      <c r="X149" s="209">
        <v>54260</v>
      </c>
      <c r="Y149" s="212">
        <v>35.57</v>
      </c>
      <c r="Z149" s="175" t="s">
        <v>1053</v>
      </c>
      <c r="AA149" s="175"/>
      <c r="AB149" s="175">
        <v>37221407</v>
      </c>
      <c r="AC149" s="175"/>
      <c r="AD149" s="175" t="s">
        <v>1058</v>
      </c>
      <c r="AE149" s="175" t="s">
        <v>1059</v>
      </c>
      <c r="AF149" s="209" t="s">
        <v>284</v>
      </c>
      <c r="AG149" s="175"/>
      <c r="AH149" s="209" t="s">
        <v>1060</v>
      </c>
      <c r="AI149" s="175">
        <v>0</v>
      </c>
      <c r="AJ149" s="175">
        <v>0</v>
      </c>
      <c r="AP149" s="206"/>
      <c r="AQ149" s="207"/>
      <c r="AR149" s="207"/>
      <c r="AS149" s="207"/>
      <c r="AT149" s="208"/>
      <c r="AU149" s="207"/>
      <c r="AV149" s="208"/>
    </row>
    <row r="150" spans="2:48" s="205" customFormat="1" ht="15">
      <c r="B150" s="209">
        <v>2183</v>
      </c>
      <c r="C150" s="210">
        <v>236854</v>
      </c>
      <c r="D150" s="209" t="s">
        <v>1053</v>
      </c>
      <c r="E150" s="175" t="s">
        <v>1239</v>
      </c>
      <c r="F150" s="209">
        <v>15</v>
      </c>
      <c r="G150" s="175"/>
      <c r="H150" s="175"/>
      <c r="I150" s="175"/>
      <c r="J150" s="175">
        <v>0</v>
      </c>
      <c r="K150" s="175" t="s">
        <v>1093</v>
      </c>
      <c r="L150" s="175"/>
      <c r="M150" s="175" t="s">
        <v>1129</v>
      </c>
      <c r="N150" s="211">
        <v>44047</v>
      </c>
      <c r="O150" s="211">
        <v>44047</v>
      </c>
      <c r="P150" s="175" t="s">
        <v>1235</v>
      </c>
      <c r="Q150" s="209">
        <v>1200</v>
      </c>
      <c r="R150" s="209">
        <v>14050</v>
      </c>
      <c r="S150" s="212">
        <v>8012.77</v>
      </c>
      <c r="T150" s="209">
        <v>14056</v>
      </c>
      <c r="U150" s="212">
        <v>890.31</v>
      </c>
      <c r="V150" s="212">
        <f t="shared" si="22"/>
        <v>7122.4600000000009</v>
      </c>
      <c r="W150" s="213">
        <v>612.09</v>
      </c>
      <c r="X150" s="209">
        <v>54260</v>
      </c>
      <c r="Y150" s="212">
        <v>55.65</v>
      </c>
      <c r="Z150" s="175" t="s">
        <v>1053</v>
      </c>
      <c r="AA150" s="175"/>
      <c r="AB150" s="175">
        <v>37221407</v>
      </c>
      <c r="AC150" s="175"/>
      <c r="AD150" s="175" t="s">
        <v>1058</v>
      </c>
      <c r="AE150" s="175" t="s">
        <v>1059</v>
      </c>
      <c r="AF150" s="209" t="s">
        <v>284</v>
      </c>
      <c r="AG150" s="175"/>
      <c r="AH150" s="209" t="s">
        <v>1060</v>
      </c>
      <c r="AI150" s="175">
        <v>0</v>
      </c>
      <c r="AJ150" s="175">
        <v>0</v>
      </c>
      <c r="AP150" s="206"/>
      <c r="AQ150" s="207"/>
      <c r="AR150" s="207"/>
      <c r="AS150" s="207"/>
      <c r="AT150" s="208"/>
      <c r="AU150" s="207"/>
      <c r="AV150" s="208"/>
    </row>
    <row r="151" spans="2:48" s="205" customFormat="1" ht="15">
      <c r="B151" s="209">
        <v>2183</v>
      </c>
      <c r="C151" s="210">
        <v>236853</v>
      </c>
      <c r="D151" s="209" t="s">
        <v>1053</v>
      </c>
      <c r="E151" s="175" t="s">
        <v>1240</v>
      </c>
      <c r="F151" s="209">
        <v>702</v>
      </c>
      <c r="G151" s="175"/>
      <c r="H151" s="175"/>
      <c r="I151" s="175"/>
      <c r="J151" s="175">
        <v>0</v>
      </c>
      <c r="K151" s="175" t="s">
        <v>1068</v>
      </c>
      <c r="L151" s="175"/>
      <c r="M151" s="175" t="s">
        <v>1069</v>
      </c>
      <c r="N151" s="211">
        <v>44040</v>
      </c>
      <c r="O151" s="211">
        <v>44040</v>
      </c>
      <c r="P151" s="175" t="s">
        <v>1229</v>
      </c>
      <c r="Q151" s="209">
        <v>700</v>
      </c>
      <c r="R151" s="209">
        <v>14050</v>
      </c>
      <c r="S151" s="212">
        <v>30059.05</v>
      </c>
      <c r="T151" s="209">
        <v>14056</v>
      </c>
      <c r="U151" s="212">
        <v>5725.53</v>
      </c>
      <c r="V151" s="212">
        <f t="shared" si="22"/>
        <v>24333.52</v>
      </c>
      <c r="W151" s="213">
        <v>3936.3</v>
      </c>
      <c r="X151" s="209">
        <v>54260</v>
      </c>
      <c r="Y151" s="212">
        <v>357.84</v>
      </c>
      <c r="Z151" s="175" t="s">
        <v>1053</v>
      </c>
      <c r="AA151" s="175"/>
      <c r="AB151" s="175">
        <v>50115463</v>
      </c>
      <c r="AC151" s="175"/>
      <c r="AD151" s="175" t="s">
        <v>1058</v>
      </c>
      <c r="AE151" s="175" t="s">
        <v>1059</v>
      </c>
      <c r="AF151" s="209" t="s">
        <v>284</v>
      </c>
      <c r="AG151" s="175"/>
      <c r="AH151" s="209" t="s">
        <v>1060</v>
      </c>
      <c r="AI151" s="175">
        <v>0</v>
      </c>
      <c r="AJ151" s="175">
        <v>0</v>
      </c>
      <c r="AP151" s="206"/>
      <c r="AQ151" s="207"/>
      <c r="AR151" s="207"/>
      <c r="AS151" s="207"/>
      <c r="AT151" s="208"/>
      <c r="AU151" s="207"/>
      <c r="AV151" s="208"/>
    </row>
    <row r="152" spans="2:48" s="205" customFormat="1" ht="15">
      <c r="B152" s="209">
        <v>2183</v>
      </c>
      <c r="C152" s="210">
        <v>236852</v>
      </c>
      <c r="D152" s="209" t="s">
        <v>1053</v>
      </c>
      <c r="E152" s="175" t="s">
        <v>863</v>
      </c>
      <c r="F152" s="209">
        <v>702</v>
      </c>
      <c r="G152" s="175"/>
      <c r="H152" s="175"/>
      <c r="I152" s="175"/>
      <c r="J152" s="175">
        <v>0</v>
      </c>
      <c r="K152" s="175" t="s">
        <v>1068</v>
      </c>
      <c r="L152" s="175"/>
      <c r="M152" s="175" t="s">
        <v>1069</v>
      </c>
      <c r="N152" s="211">
        <v>44040</v>
      </c>
      <c r="O152" s="211">
        <v>44040</v>
      </c>
      <c r="P152" s="175" t="s">
        <v>1229</v>
      </c>
      <c r="Q152" s="209">
        <v>700</v>
      </c>
      <c r="R152" s="209">
        <v>14050</v>
      </c>
      <c r="S152" s="212">
        <v>30059.05</v>
      </c>
      <c r="T152" s="209">
        <v>14056</v>
      </c>
      <c r="U152" s="212">
        <v>5725.53</v>
      </c>
      <c r="V152" s="212">
        <f t="shared" si="22"/>
        <v>24333.52</v>
      </c>
      <c r="W152" s="213">
        <v>3936.3</v>
      </c>
      <c r="X152" s="209">
        <v>54260</v>
      </c>
      <c r="Y152" s="212">
        <v>357.84</v>
      </c>
      <c r="Z152" s="175" t="s">
        <v>1053</v>
      </c>
      <c r="AA152" s="175"/>
      <c r="AB152" s="175">
        <v>50115463</v>
      </c>
      <c r="AC152" s="175"/>
      <c r="AD152" s="175" t="s">
        <v>1058</v>
      </c>
      <c r="AE152" s="175" t="s">
        <v>1059</v>
      </c>
      <c r="AF152" s="209" t="s">
        <v>284</v>
      </c>
      <c r="AG152" s="175"/>
      <c r="AH152" s="209" t="s">
        <v>1060</v>
      </c>
      <c r="AI152" s="175">
        <v>0</v>
      </c>
      <c r="AJ152" s="175">
        <v>0</v>
      </c>
      <c r="AP152" s="206"/>
      <c r="AQ152" s="207"/>
      <c r="AR152" s="207"/>
      <c r="AS152" s="207"/>
      <c r="AT152" s="208"/>
      <c r="AU152" s="207"/>
      <c r="AV152" s="208"/>
    </row>
    <row r="153" spans="2:48" s="205" customFormat="1" ht="15">
      <c r="B153" s="209">
        <v>2183</v>
      </c>
      <c r="C153" s="210">
        <v>236851</v>
      </c>
      <c r="D153" s="209" t="s">
        <v>1053</v>
      </c>
      <c r="E153" s="175" t="s">
        <v>864</v>
      </c>
      <c r="F153" s="209">
        <v>864</v>
      </c>
      <c r="G153" s="175"/>
      <c r="H153" s="175"/>
      <c r="I153" s="175"/>
      <c r="J153" s="175">
        <v>0</v>
      </c>
      <c r="K153" s="175" t="s">
        <v>1241</v>
      </c>
      <c r="L153" s="175"/>
      <c r="M153" s="175" t="s">
        <v>1069</v>
      </c>
      <c r="N153" s="211">
        <v>44040</v>
      </c>
      <c r="O153" s="211">
        <v>44040</v>
      </c>
      <c r="P153" s="175" t="s">
        <v>1229</v>
      </c>
      <c r="Q153" s="209">
        <v>700</v>
      </c>
      <c r="R153" s="209">
        <v>14050</v>
      </c>
      <c r="S153" s="212">
        <v>27326.2</v>
      </c>
      <c r="T153" s="209">
        <v>14056</v>
      </c>
      <c r="U153" s="212">
        <v>5204.99</v>
      </c>
      <c r="V153" s="212">
        <f t="shared" si="22"/>
        <v>22121.21</v>
      </c>
      <c r="W153" s="213">
        <v>3578.43</v>
      </c>
      <c r="X153" s="209">
        <v>54260</v>
      </c>
      <c r="Y153" s="212">
        <v>325.31</v>
      </c>
      <c r="Z153" s="175" t="s">
        <v>1053</v>
      </c>
      <c r="AA153" s="175"/>
      <c r="AB153" s="175">
        <v>65687357</v>
      </c>
      <c r="AC153" s="175"/>
      <c r="AD153" s="175" t="s">
        <v>1058</v>
      </c>
      <c r="AE153" s="175" t="s">
        <v>1059</v>
      </c>
      <c r="AF153" s="209" t="s">
        <v>284</v>
      </c>
      <c r="AG153" s="175"/>
      <c r="AH153" s="209" t="s">
        <v>1060</v>
      </c>
      <c r="AI153" s="175">
        <v>0</v>
      </c>
      <c r="AJ153" s="175">
        <v>0</v>
      </c>
      <c r="AP153" s="206"/>
      <c r="AQ153" s="207"/>
      <c r="AR153" s="207"/>
      <c r="AS153" s="207"/>
      <c r="AT153" s="208"/>
      <c r="AU153" s="207"/>
      <c r="AV153" s="208"/>
    </row>
    <row r="154" spans="2:48" s="205" customFormat="1" ht="15">
      <c r="B154" s="209">
        <v>2183</v>
      </c>
      <c r="C154" s="210">
        <v>236404</v>
      </c>
      <c r="D154" s="209" t="s">
        <v>1053</v>
      </c>
      <c r="E154" s="175" t="s">
        <v>842</v>
      </c>
      <c r="F154" s="209"/>
      <c r="G154" s="175"/>
      <c r="H154" s="175" t="s">
        <v>1242</v>
      </c>
      <c r="I154" s="175"/>
      <c r="J154" s="175">
        <v>2021</v>
      </c>
      <c r="K154" s="175" t="s">
        <v>1196</v>
      </c>
      <c r="L154" s="175" t="s">
        <v>1243</v>
      </c>
      <c r="M154" s="175" t="s">
        <v>1244</v>
      </c>
      <c r="N154" s="211">
        <v>44044</v>
      </c>
      <c r="O154" s="211">
        <v>44044</v>
      </c>
      <c r="P154" s="175" t="s">
        <v>1245</v>
      </c>
      <c r="Q154" s="209">
        <v>1000</v>
      </c>
      <c r="R154" s="209">
        <v>14040</v>
      </c>
      <c r="S154" s="212">
        <v>154004.04</v>
      </c>
      <c r="T154" s="209">
        <v>14046</v>
      </c>
      <c r="U154" s="212">
        <v>20533.87</v>
      </c>
      <c r="V154" s="212">
        <f t="shared" si="22"/>
        <v>133470.17000000001</v>
      </c>
      <c r="W154" s="213">
        <v>14117.03</v>
      </c>
      <c r="X154" s="209">
        <v>51260</v>
      </c>
      <c r="Y154" s="212">
        <v>1283.3599999999999</v>
      </c>
      <c r="Z154" s="175" t="s">
        <v>1053</v>
      </c>
      <c r="AA154" s="175"/>
      <c r="AB154" s="175"/>
      <c r="AC154" s="175">
        <v>4523</v>
      </c>
      <c r="AD154" s="175" t="s">
        <v>1058</v>
      </c>
      <c r="AE154" s="175" t="s">
        <v>1059</v>
      </c>
      <c r="AF154" s="209" t="s">
        <v>284</v>
      </c>
      <c r="AG154" s="175"/>
      <c r="AH154" s="209" t="s">
        <v>1060</v>
      </c>
      <c r="AI154" s="175">
        <v>0</v>
      </c>
      <c r="AJ154" s="175">
        <v>0</v>
      </c>
      <c r="AP154" s="206"/>
      <c r="AQ154" s="207"/>
      <c r="AR154" s="207"/>
      <c r="AS154" s="207"/>
      <c r="AT154" s="208"/>
      <c r="AU154" s="207"/>
      <c r="AV154" s="208"/>
    </row>
    <row r="155" spans="2:48" s="205" customFormat="1" ht="15">
      <c r="B155" s="209">
        <v>2183</v>
      </c>
      <c r="C155" s="210">
        <v>236330</v>
      </c>
      <c r="D155" s="209" t="s">
        <v>1053</v>
      </c>
      <c r="E155" s="175" t="s">
        <v>1246</v>
      </c>
      <c r="F155" s="209">
        <v>10</v>
      </c>
      <c r="G155" s="175"/>
      <c r="H155" s="175"/>
      <c r="I155" s="175"/>
      <c r="J155" s="175">
        <v>0</v>
      </c>
      <c r="K155" s="175" t="s">
        <v>1093</v>
      </c>
      <c r="L155" s="175"/>
      <c r="M155" s="175" t="s">
        <v>1207</v>
      </c>
      <c r="N155" s="211">
        <v>44047</v>
      </c>
      <c r="O155" s="211">
        <v>44047</v>
      </c>
      <c r="P155" s="175" t="s">
        <v>1235</v>
      </c>
      <c r="Q155" s="209">
        <v>1200</v>
      </c>
      <c r="R155" s="209">
        <v>14050</v>
      </c>
      <c r="S155" s="212">
        <v>8281.58</v>
      </c>
      <c r="T155" s="209">
        <v>14056</v>
      </c>
      <c r="U155" s="212">
        <v>920.18</v>
      </c>
      <c r="V155" s="212">
        <f t="shared" si="22"/>
        <v>7361.4</v>
      </c>
      <c r="W155" s="213">
        <v>632.62</v>
      </c>
      <c r="X155" s="209">
        <v>54260</v>
      </c>
      <c r="Y155" s="212">
        <v>57.51</v>
      </c>
      <c r="Z155" s="175" t="s">
        <v>1053</v>
      </c>
      <c r="AA155" s="175"/>
      <c r="AB155" s="175">
        <v>37221390</v>
      </c>
      <c r="AC155" s="175"/>
      <c r="AD155" s="175" t="s">
        <v>1058</v>
      </c>
      <c r="AE155" s="175" t="s">
        <v>1059</v>
      </c>
      <c r="AF155" s="209" t="s">
        <v>284</v>
      </c>
      <c r="AG155" s="175"/>
      <c r="AH155" s="209" t="s">
        <v>1060</v>
      </c>
      <c r="AI155" s="175">
        <v>0</v>
      </c>
      <c r="AJ155" s="175">
        <v>0</v>
      </c>
      <c r="AP155" s="206"/>
      <c r="AQ155" s="207"/>
      <c r="AR155" s="207"/>
      <c r="AS155" s="207"/>
      <c r="AT155" s="208"/>
      <c r="AU155" s="207"/>
      <c r="AV155" s="208"/>
    </row>
    <row r="156" spans="2:48" s="205" customFormat="1" ht="15">
      <c r="B156" s="209">
        <v>2183</v>
      </c>
      <c r="C156" s="210">
        <v>236329</v>
      </c>
      <c r="D156" s="209" t="s">
        <v>1053</v>
      </c>
      <c r="E156" s="175" t="s">
        <v>820</v>
      </c>
      <c r="F156" s="209">
        <v>864</v>
      </c>
      <c r="G156" s="175"/>
      <c r="H156" s="175"/>
      <c r="I156" s="175"/>
      <c r="J156" s="175">
        <v>0</v>
      </c>
      <c r="K156" s="175" t="s">
        <v>1241</v>
      </c>
      <c r="L156" s="175"/>
      <c r="M156" s="175" t="s">
        <v>1069</v>
      </c>
      <c r="N156" s="211">
        <v>44040</v>
      </c>
      <c r="O156" s="211">
        <v>44040</v>
      </c>
      <c r="P156" s="175" t="s">
        <v>1229</v>
      </c>
      <c r="Q156" s="209">
        <v>700</v>
      </c>
      <c r="R156" s="209">
        <v>14050</v>
      </c>
      <c r="S156" s="212">
        <v>27326.2</v>
      </c>
      <c r="T156" s="209">
        <v>14056</v>
      </c>
      <c r="U156" s="212">
        <v>5204.99</v>
      </c>
      <c r="V156" s="212">
        <f t="shared" si="22"/>
        <v>22121.21</v>
      </c>
      <c r="W156" s="213">
        <v>3578.43</v>
      </c>
      <c r="X156" s="209">
        <v>54260</v>
      </c>
      <c r="Y156" s="212">
        <v>325.31</v>
      </c>
      <c r="Z156" s="175" t="s">
        <v>1053</v>
      </c>
      <c r="AA156" s="175"/>
      <c r="AB156" s="175">
        <v>65687360</v>
      </c>
      <c r="AC156" s="175"/>
      <c r="AD156" s="175" t="s">
        <v>1058</v>
      </c>
      <c r="AE156" s="175" t="s">
        <v>1059</v>
      </c>
      <c r="AF156" s="209" t="s">
        <v>284</v>
      </c>
      <c r="AG156" s="175"/>
      <c r="AH156" s="209" t="s">
        <v>1060</v>
      </c>
      <c r="AI156" s="175">
        <v>0</v>
      </c>
      <c r="AJ156" s="175">
        <v>0</v>
      </c>
      <c r="AP156" s="206"/>
      <c r="AQ156" s="207"/>
      <c r="AR156" s="207"/>
      <c r="AS156" s="207"/>
      <c r="AT156" s="208"/>
      <c r="AU156" s="207"/>
      <c r="AV156" s="208"/>
    </row>
    <row r="157" spans="2:48" s="205" customFormat="1" ht="15">
      <c r="B157" s="209">
        <v>2183</v>
      </c>
      <c r="C157" s="210">
        <v>236070</v>
      </c>
      <c r="D157" s="209" t="s">
        <v>1053</v>
      </c>
      <c r="E157" s="175" t="s">
        <v>1247</v>
      </c>
      <c r="F157" s="209">
        <v>624</v>
      </c>
      <c r="G157" s="175"/>
      <c r="H157" s="175"/>
      <c r="I157" s="175"/>
      <c r="J157" s="175">
        <v>0</v>
      </c>
      <c r="K157" s="175" t="s">
        <v>1241</v>
      </c>
      <c r="L157" s="175"/>
      <c r="M157" s="175" t="s">
        <v>1069</v>
      </c>
      <c r="N157" s="211">
        <v>44040</v>
      </c>
      <c r="O157" s="211">
        <v>44040</v>
      </c>
      <c r="P157" s="175" t="s">
        <v>1229</v>
      </c>
      <c r="Q157" s="209">
        <v>700</v>
      </c>
      <c r="R157" s="209">
        <v>14050</v>
      </c>
      <c r="S157" s="212">
        <v>23148.87</v>
      </c>
      <c r="T157" s="209">
        <v>14056</v>
      </c>
      <c r="U157" s="212">
        <v>4409.3100000000004</v>
      </c>
      <c r="V157" s="212">
        <f t="shared" si="22"/>
        <v>18739.559999999998</v>
      </c>
      <c r="W157" s="213">
        <v>3031.4</v>
      </c>
      <c r="X157" s="209">
        <v>54260</v>
      </c>
      <c r="Y157" s="212">
        <v>275.58</v>
      </c>
      <c r="Z157" s="175" t="s">
        <v>1053</v>
      </c>
      <c r="AA157" s="175"/>
      <c r="AB157" s="175">
        <v>65690422</v>
      </c>
      <c r="AC157" s="175"/>
      <c r="AD157" s="175" t="s">
        <v>1058</v>
      </c>
      <c r="AE157" s="175" t="s">
        <v>1059</v>
      </c>
      <c r="AF157" s="209" t="s">
        <v>284</v>
      </c>
      <c r="AG157" s="175"/>
      <c r="AH157" s="209" t="s">
        <v>1060</v>
      </c>
      <c r="AI157" s="175">
        <v>0</v>
      </c>
      <c r="AJ157" s="175">
        <v>0</v>
      </c>
      <c r="AP157" s="206"/>
      <c r="AQ157" s="207"/>
      <c r="AR157" s="207"/>
      <c r="AS157" s="207"/>
      <c r="AT157" s="208"/>
      <c r="AU157" s="207"/>
      <c r="AV157" s="208"/>
    </row>
    <row r="158" spans="2:48" s="205" customFormat="1" ht="15">
      <c r="B158" s="209">
        <v>2183</v>
      </c>
      <c r="C158" s="210">
        <v>233736</v>
      </c>
      <c r="D158" s="209" t="s">
        <v>1053</v>
      </c>
      <c r="E158" s="175" t="s">
        <v>614</v>
      </c>
      <c r="F158" s="209">
        <v>351</v>
      </c>
      <c r="G158" s="175"/>
      <c r="H158" s="175"/>
      <c r="I158" s="175"/>
      <c r="J158" s="175">
        <v>0</v>
      </c>
      <c r="K158" s="175" t="s">
        <v>1068</v>
      </c>
      <c r="L158" s="175"/>
      <c r="M158" s="175" t="s">
        <v>1069</v>
      </c>
      <c r="N158" s="211">
        <v>43998</v>
      </c>
      <c r="O158" s="211">
        <v>43998</v>
      </c>
      <c r="P158" s="175" t="s">
        <v>1248</v>
      </c>
      <c r="Q158" s="209">
        <v>700</v>
      </c>
      <c r="R158" s="209">
        <v>14050</v>
      </c>
      <c r="S158" s="212">
        <v>14415.13</v>
      </c>
      <c r="T158" s="209">
        <v>14056</v>
      </c>
      <c r="U158" s="212">
        <v>2917.35</v>
      </c>
      <c r="V158" s="212">
        <f t="shared" si="22"/>
        <v>11497.779999999999</v>
      </c>
      <c r="W158" s="213">
        <v>1887.7</v>
      </c>
      <c r="X158" s="209">
        <v>54260</v>
      </c>
      <c r="Y158" s="212">
        <v>171.61</v>
      </c>
      <c r="Z158" s="175" t="s">
        <v>1053</v>
      </c>
      <c r="AA158" s="175"/>
      <c r="AB158" s="175">
        <v>50103115</v>
      </c>
      <c r="AC158" s="175"/>
      <c r="AD158" s="175" t="s">
        <v>1058</v>
      </c>
      <c r="AE158" s="175" t="s">
        <v>1059</v>
      </c>
      <c r="AF158" s="209" t="s">
        <v>284</v>
      </c>
      <c r="AG158" s="175"/>
      <c r="AH158" s="209" t="s">
        <v>1060</v>
      </c>
      <c r="AI158" s="175">
        <v>0</v>
      </c>
      <c r="AJ158" s="175">
        <v>0</v>
      </c>
      <c r="AP158" s="206"/>
      <c r="AQ158" s="207"/>
      <c r="AR158" s="207"/>
      <c r="AS158" s="207"/>
      <c r="AT158" s="208"/>
      <c r="AU158" s="207"/>
      <c r="AV158" s="208"/>
    </row>
    <row r="159" spans="2:48" s="205" customFormat="1" ht="15">
      <c r="B159" s="209">
        <v>2183</v>
      </c>
      <c r="C159" s="210">
        <v>233561</v>
      </c>
      <c r="D159" s="209" t="s">
        <v>1053</v>
      </c>
      <c r="E159" s="175" t="s">
        <v>863</v>
      </c>
      <c r="F159" s="209">
        <v>702</v>
      </c>
      <c r="G159" s="175"/>
      <c r="H159" s="175"/>
      <c r="I159" s="175"/>
      <c r="J159" s="175">
        <v>0</v>
      </c>
      <c r="K159" s="175" t="s">
        <v>1068</v>
      </c>
      <c r="L159" s="175"/>
      <c r="M159" s="175" t="s">
        <v>1069</v>
      </c>
      <c r="N159" s="211">
        <v>43955</v>
      </c>
      <c r="O159" s="211">
        <v>43955</v>
      </c>
      <c r="P159" s="175" t="s">
        <v>1248</v>
      </c>
      <c r="Q159" s="209">
        <v>700</v>
      </c>
      <c r="R159" s="209">
        <v>14050</v>
      </c>
      <c r="S159" s="212">
        <v>25637.46</v>
      </c>
      <c r="T159" s="209">
        <v>14056</v>
      </c>
      <c r="U159" s="212">
        <v>5798.95</v>
      </c>
      <c r="V159" s="212">
        <f t="shared" si="22"/>
        <v>19838.509999999998</v>
      </c>
      <c r="W159" s="213">
        <v>3357.29</v>
      </c>
      <c r="X159" s="209">
        <v>54260</v>
      </c>
      <c r="Y159" s="212">
        <v>305.20999999999998</v>
      </c>
      <c r="Z159" s="175" t="s">
        <v>1053</v>
      </c>
      <c r="AA159" s="175"/>
      <c r="AB159" s="175">
        <v>50099849</v>
      </c>
      <c r="AC159" s="175"/>
      <c r="AD159" s="175" t="s">
        <v>1058</v>
      </c>
      <c r="AE159" s="175" t="s">
        <v>1059</v>
      </c>
      <c r="AF159" s="209" t="s">
        <v>284</v>
      </c>
      <c r="AG159" s="175"/>
      <c r="AH159" s="209" t="s">
        <v>1060</v>
      </c>
      <c r="AI159" s="175">
        <v>0</v>
      </c>
      <c r="AJ159" s="175">
        <v>0</v>
      </c>
      <c r="AP159" s="206"/>
      <c r="AQ159" s="207"/>
      <c r="AR159" s="207"/>
      <c r="AS159" s="207"/>
      <c r="AT159" s="208"/>
      <c r="AU159" s="207"/>
      <c r="AV159" s="208"/>
    </row>
    <row r="160" spans="2:48" s="205" customFormat="1" ht="15">
      <c r="B160" s="209">
        <v>2183</v>
      </c>
      <c r="C160" s="210">
        <v>233145</v>
      </c>
      <c r="D160" s="209">
        <v>232602</v>
      </c>
      <c r="E160" s="175" t="s">
        <v>1227</v>
      </c>
      <c r="F160" s="209"/>
      <c r="G160" s="175"/>
      <c r="H160" s="175"/>
      <c r="I160" s="175"/>
      <c r="J160" s="175">
        <v>0</v>
      </c>
      <c r="K160" s="175" t="s">
        <v>1222</v>
      </c>
      <c r="L160" s="175"/>
      <c r="M160" s="175" t="s">
        <v>1108</v>
      </c>
      <c r="N160" s="211">
        <v>43972</v>
      </c>
      <c r="O160" s="211">
        <v>43972</v>
      </c>
      <c r="P160" s="175" t="s">
        <v>1249</v>
      </c>
      <c r="Q160" s="209">
        <v>500</v>
      </c>
      <c r="R160" s="209">
        <v>14040</v>
      </c>
      <c r="S160" s="212">
        <v>2570.6999999999998</v>
      </c>
      <c r="T160" s="209">
        <v>14046</v>
      </c>
      <c r="U160" s="212">
        <v>771.22</v>
      </c>
      <c r="V160" s="212">
        <f t="shared" si="22"/>
        <v>1799.4799999999998</v>
      </c>
      <c r="W160" s="213">
        <v>471.3</v>
      </c>
      <c r="X160" s="209">
        <v>51260</v>
      </c>
      <c r="Y160" s="212">
        <v>42.85</v>
      </c>
      <c r="Z160" s="175" t="s">
        <v>1053</v>
      </c>
      <c r="AA160" s="175"/>
      <c r="AB160" s="175" t="s">
        <v>1250</v>
      </c>
      <c r="AC160" s="175"/>
      <c r="AD160" s="175" t="s">
        <v>1058</v>
      </c>
      <c r="AE160" s="175" t="s">
        <v>1059</v>
      </c>
      <c r="AF160" s="209" t="s">
        <v>284</v>
      </c>
      <c r="AG160" s="175"/>
      <c r="AH160" s="209" t="s">
        <v>1060</v>
      </c>
      <c r="AI160" s="175">
        <v>0</v>
      </c>
      <c r="AJ160" s="175">
        <v>0</v>
      </c>
      <c r="AP160" s="206"/>
      <c r="AQ160" s="207"/>
      <c r="AR160" s="207"/>
      <c r="AS160" s="207"/>
      <c r="AT160" s="208"/>
      <c r="AU160" s="207"/>
      <c r="AV160" s="208"/>
    </row>
    <row r="161" spans="2:48" s="205" customFormat="1" ht="15">
      <c r="B161" s="209">
        <v>2183</v>
      </c>
      <c r="C161" s="210">
        <v>232776</v>
      </c>
      <c r="D161" s="209" t="s">
        <v>1053</v>
      </c>
      <c r="E161" s="175" t="s">
        <v>1251</v>
      </c>
      <c r="F161" s="209">
        <v>702</v>
      </c>
      <c r="G161" s="175"/>
      <c r="H161" s="175"/>
      <c r="I161" s="175"/>
      <c r="J161" s="175">
        <v>0</v>
      </c>
      <c r="K161" s="175" t="s">
        <v>1068</v>
      </c>
      <c r="L161" s="175"/>
      <c r="M161" s="175" t="s">
        <v>1069</v>
      </c>
      <c r="N161" s="211">
        <v>43955</v>
      </c>
      <c r="O161" s="211">
        <v>43955</v>
      </c>
      <c r="P161" s="175" t="s">
        <v>1248</v>
      </c>
      <c r="Q161" s="209">
        <v>700</v>
      </c>
      <c r="R161" s="209">
        <v>14050</v>
      </c>
      <c r="S161" s="212">
        <v>30066.73</v>
      </c>
      <c r="T161" s="209">
        <v>14056</v>
      </c>
      <c r="U161" s="212">
        <v>6800.81</v>
      </c>
      <c r="V161" s="212">
        <f t="shared" si="22"/>
        <v>23265.919999999998</v>
      </c>
      <c r="W161" s="213">
        <v>3937.31</v>
      </c>
      <c r="X161" s="209">
        <v>54260</v>
      </c>
      <c r="Y161" s="212">
        <v>357.93</v>
      </c>
      <c r="Z161" s="175" t="s">
        <v>1053</v>
      </c>
      <c r="AA161" s="175"/>
      <c r="AB161" s="175">
        <v>50095394</v>
      </c>
      <c r="AC161" s="175"/>
      <c r="AD161" s="175" t="s">
        <v>1058</v>
      </c>
      <c r="AE161" s="175" t="s">
        <v>1059</v>
      </c>
      <c r="AF161" s="209" t="s">
        <v>284</v>
      </c>
      <c r="AG161" s="175"/>
      <c r="AH161" s="209" t="s">
        <v>1060</v>
      </c>
      <c r="AI161" s="175">
        <v>0</v>
      </c>
      <c r="AJ161" s="175">
        <v>0</v>
      </c>
      <c r="AP161" s="206"/>
      <c r="AQ161" s="207"/>
      <c r="AR161" s="207"/>
      <c r="AS161" s="207"/>
      <c r="AT161" s="208"/>
      <c r="AU161" s="207"/>
      <c r="AV161" s="208"/>
    </row>
    <row r="162" spans="2:48" s="205" customFormat="1" ht="15">
      <c r="B162" s="209">
        <v>2183</v>
      </c>
      <c r="C162" s="210">
        <v>232602</v>
      </c>
      <c r="D162" s="209" t="s">
        <v>1053</v>
      </c>
      <c r="E162" s="175" t="s">
        <v>847</v>
      </c>
      <c r="F162" s="209"/>
      <c r="G162" s="175"/>
      <c r="H162" s="175" t="s">
        <v>1252</v>
      </c>
      <c r="I162" s="175"/>
      <c r="J162" s="175">
        <v>2020</v>
      </c>
      <c r="K162" s="175" t="s">
        <v>1253</v>
      </c>
      <c r="L162" s="175"/>
      <c r="M162" s="175" t="s">
        <v>1254</v>
      </c>
      <c r="N162" s="211">
        <v>43952</v>
      </c>
      <c r="O162" s="211">
        <v>43952</v>
      </c>
      <c r="P162" s="175" t="s">
        <v>1255</v>
      </c>
      <c r="Q162" s="209">
        <v>500</v>
      </c>
      <c r="R162" s="209">
        <v>14040</v>
      </c>
      <c r="S162" s="212">
        <v>24681.4</v>
      </c>
      <c r="T162" s="209">
        <v>14046</v>
      </c>
      <c r="U162" s="212">
        <v>7815.77</v>
      </c>
      <c r="V162" s="212">
        <f t="shared" si="22"/>
        <v>16865.63</v>
      </c>
      <c r="W162" s="213">
        <v>4524.92</v>
      </c>
      <c r="X162" s="209">
        <v>51260</v>
      </c>
      <c r="Y162" s="212">
        <v>411.35</v>
      </c>
      <c r="Z162" s="175" t="s">
        <v>1053</v>
      </c>
      <c r="AA162" s="175"/>
      <c r="AB162" s="175"/>
      <c r="AC162" s="175">
        <v>6063</v>
      </c>
      <c r="AD162" s="175" t="s">
        <v>1058</v>
      </c>
      <c r="AE162" s="175" t="s">
        <v>1059</v>
      </c>
      <c r="AF162" s="209" t="s">
        <v>284</v>
      </c>
      <c r="AG162" s="175"/>
      <c r="AH162" s="209" t="s">
        <v>1060</v>
      </c>
      <c r="AI162" s="175">
        <v>0</v>
      </c>
      <c r="AJ162" s="175">
        <v>0</v>
      </c>
      <c r="AP162" s="206"/>
      <c r="AQ162" s="207"/>
      <c r="AR162" s="207"/>
      <c r="AS162" s="207"/>
      <c r="AT162" s="208"/>
      <c r="AU162" s="207"/>
      <c r="AV162" s="208"/>
    </row>
    <row r="163" spans="2:48" s="205" customFormat="1" ht="15">
      <c r="B163" s="209">
        <v>2183</v>
      </c>
      <c r="C163" s="210">
        <v>231609</v>
      </c>
      <c r="D163" s="209" t="s">
        <v>1053</v>
      </c>
      <c r="E163" s="175" t="s">
        <v>1085</v>
      </c>
      <c r="F163" s="209">
        <v>1080</v>
      </c>
      <c r="G163" s="175"/>
      <c r="H163" s="175"/>
      <c r="I163" s="175"/>
      <c r="J163" s="175">
        <v>0</v>
      </c>
      <c r="K163" s="175" t="s">
        <v>1068</v>
      </c>
      <c r="L163" s="175"/>
      <c r="M163" s="175" t="s">
        <v>1069</v>
      </c>
      <c r="N163" s="211">
        <v>43880</v>
      </c>
      <c r="O163" s="211">
        <v>43880</v>
      </c>
      <c r="P163" s="175" t="s">
        <v>1248</v>
      </c>
      <c r="Q163" s="209">
        <v>700</v>
      </c>
      <c r="R163" s="209">
        <v>14050</v>
      </c>
      <c r="S163" s="212">
        <v>35932.589999999997</v>
      </c>
      <c r="T163" s="209">
        <v>14056</v>
      </c>
      <c r="U163" s="212">
        <v>8983.15</v>
      </c>
      <c r="V163" s="212">
        <f t="shared" si="22"/>
        <v>26949.439999999995</v>
      </c>
      <c r="W163" s="213">
        <v>4705.46</v>
      </c>
      <c r="X163" s="209">
        <v>54260</v>
      </c>
      <c r="Y163" s="212">
        <v>427.77</v>
      </c>
      <c r="Z163" s="175" t="s">
        <v>1053</v>
      </c>
      <c r="AA163" s="175"/>
      <c r="AB163" s="175">
        <v>50081037</v>
      </c>
      <c r="AC163" s="175"/>
      <c r="AD163" s="175" t="s">
        <v>1058</v>
      </c>
      <c r="AE163" s="175" t="s">
        <v>1059</v>
      </c>
      <c r="AF163" s="209" t="s">
        <v>284</v>
      </c>
      <c r="AG163" s="175"/>
      <c r="AH163" s="209" t="s">
        <v>1060</v>
      </c>
      <c r="AI163" s="175">
        <v>0</v>
      </c>
      <c r="AJ163" s="175">
        <v>0</v>
      </c>
      <c r="AP163" s="206"/>
      <c r="AQ163" s="207"/>
      <c r="AR163" s="207"/>
      <c r="AS163" s="207"/>
      <c r="AT163" s="208"/>
      <c r="AU163" s="207"/>
      <c r="AV163" s="208"/>
    </row>
    <row r="164" spans="2:48" s="205" customFormat="1" ht="15">
      <c r="B164" s="209">
        <v>2183</v>
      </c>
      <c r="C164" s="210">
        <v>231608</v>
      </c>
      <c r="D164" s="209" t="s">
        <v>1053</v>
      </c>
      <c r="E164" s="175" t="s">
        <v>738</v>
      </c>
      <c r="F164" s="209">
        <v>936</v>
      </c>
      <c r="G164" s="175"/>
      <c r="H164" s="175"/>
      <c r="I164" s="175"/>
      <c r="J164" s="175">
        <v>0</v>
      </c>
      <c r="K164" s="175" t="s">
        <v>1068</v>
      </c>
      <c r="L164" s="175"/>
      <c r="M164" s="175" t="s">
        <v>1069</v>
      </c>
      <c r="N164" s="211">
        <v>43880</v>
      </c>
      <c r="O164" s="211">
        <v>43880</v>
      </c>
      <c r="P164" s="175" t="s">
        <v>1248</v>
      </c>
      <c r="Q164" s="209">
        <v>700</v>
      </c>
      <c r="R164" s="209">
        <v>14050</v>
      </c>
      <c r="S164" s="212">
        <v>37525.410000000003</v>
      </c>
      <c r="T164" s="209">
        <v>14056</v>
      </c>
      <c r="U164" s="212">
        <v>9381.33</v>
      </c>
      <c r="V164" s="212">
        <f t="shared" si="22"/>
        <v>28144.080000000002</v>
      </c>
      <c r="W164" s="213">
        <v>4914.03</v>
      </c>
      <c r="X164" s="209">
        <v>54260</v>
      </c>
      <c r="Y164" s="212">
        <v>446.73</v>
      </c>
      <c r="Z164" s="175" t="s">
        <v>1053</v>
      </c>
      <c r="AA164" s="175"/>
      <c r="AB164" s="175">
        <v>50081037</v>
      </c>
      <c r="AC164" s="175"/>
      <c r="AD164" s="175" t="s">
        <v>1058</v>
      </c>
      <c r="AE164" s="175" t="s">
        <v>1059</v>
      </c>
      <c r="AF164" s="209" t="s">
        <v>284</v>
      </c>
      <c r="AG164" s="175"/>
      <c r="AH164" s="209" t="s">
        <v>1060</v>
      </c>
      <c r="AI164" s="175">
        <v>0</v>
      </c>
      <c r="AJ164" s="175">
        <v>0</v>
      </c>
      <c r="AP164" s="206"/>
      <c r="AQ164" s="207"/>
      <c r="AR164" s="207"/>
      <c r="AS164" s="207"/>
      <c r="AT164" s="208"/>
      <c r="AU164" s="207"/>
      <c r="AV164" s="208"/>
    </row>
    <row r="165" spans="2:48" s="205" customFormat="1" ht="15">
      <c r="B165" s="209">
        <v>2183</v>
      </c>
      <c r="C165" s="210">
        <v>230207</v>
      </c>
      <c r="D165" s="209">
        <v>61094</v>
      </c>
      <c r="E165" s="175" t="s">
        <v>846</v>
      </c>
      <c r="F165" s="209"/>
      <c r="G165" s="175"/>
      <c r="H165" s="175"/>
      <c r="I165" s="175"/>
      <c r="J165" s="175">
        <v>0</v>
      </c>
      <c r="K165" s="175" t="s">
        <v>1256</v>
      </c>
      <c r="L165" s="175"/>
      <c r="M165" s="175" t="s">
        <v>1108</v>
      </c>
      <c r="N165" s="211">
        <v>43865</v>
      </c>
      <c r="O165" s="211">
        <v>43865</v>
      </c>
      <c r="P165" s="175" t="s">
        <v>1257</v>
      </c>
      <c r="Q165" s="209">
        <v>300</v>
      </c>
      <c r="R165" s="209">
        <v>14040</v>
      </c>
      <c r="S165" s="212">
        <v>14301.64</v>
      </c>
      <c r="T165" s="209">
        <v>14046</v>
      </c>
      <c r="U165" s="212">
        <v>8739.89</v>
      </c>
      <c r="V165" s="212">
        <f t="shared" si="22"/>
        <v>5561.75</v>
      </c>
      <c r="W165" s="213">
        <v>4369.9399999999996</v>
      </c>
      <c r="X165" s="209">
        <v>51260</v>
      </c>
      <c r="Y165" s="212">
        <v>397.26</v>
      </c>
      <c r="Z165" s="175" t="s">
        <v>1053</v>
      </c>
      <c r="AA165" s="175"/>
      <c r="AB165" s="175" t="s">
        <v>1258</v>
      </c>
      <c r="AC165" s="175"/>
      <c r="AD165" s="175" t="s">
        <v>1058</v>
      </c>
      <c r="AE165" s="175" t="s">
        <v>1059</v>
      </c>
      <c r="AF165" s="209" t="s">
        <v>284</v>
      </c>
      <c r="AG165" s="175"/>
      <c r="AH165" s="209" t="s">
        <v>1060</v>
      </c>
      <c r="AI165" s="175">
        <v>0</v>
      </c>
      <c r="AJ165" s="175">
        <v>0</v>
      </c>
      <c r="AP165" s="206"/>
      <c r="AQ165" s="207"/>
      <c r="AR165" s="207"/>
      <c r="AS165" s="207"/>
      <c r="AT165" s="208"/>
      <c r="AU165" s="207"/>
      <c r="AV165" s="208"/>
    </row>
    <row r="166" spans="2:48" s="205" customFormat="1" ht="15">
      <c r="B166" s="209">
        <v>2183</v>
      </c>
      <c r="C166" s="210">
        <v>229285</v>
      </c>
      <c r="D166" s="209" t="s">
        <v>1053</v>
      </c>
      <c r="E166" s="175" t="s">
        <v>1259</v>
      </c>
      <c r="F166" s="209">
        <v>875</v>
      </c>
      <c r="G166" s="175"/>
      <c r="H166" s="175"/>
      <c r="I166" s="175"/>
      <c r="J166" s="175">
        <v>0</v>
      </c>
      <c r="K166" s="175" t="s">
        <v>1068</v>
      </c>
      <c r="L166" s="175"/>
      <c r="M166" s="175" t="s">
        <v>1069</v>
      </c>
      <c r="N166" s="211">
        <v>43880</v>
      </c>
      <c r="O166" s="211">
        <v>43880</v>
      </c>
      <c r="P166" s="175" t="s">
        <v>1248</v>
      </c>
      <c r="Q166" s="209">
        <v>700</v>
      </c>
      <c r="R166" s="209">
        <v>14050</v>
      </c>
      <c r="S166" s="212">
        <v>29112.05</v>
      </c>
      <c r="T166" s="209">
        <v>14056</v>
      </c>
      <c r="U166" s="212">
        <v>7278.02</v>
      </c>
      <c r="V166" s="212">
        <f t="shared" si="22"/>
        <v>21834.03</v>
      </c>
      <c r="W166" s="213">
        <v>3812.3</v>
      </c>
      <c r="X166" s="209">
        <v>54260</v>
      </c>
      <c r="Y166" s="212">
        <v>346.57</v>
      </c>
      <c r="Z166" s="175" t="s">
        <v>1053</v>
      </c>
      <c r="AA166" s="175"/>
      <c r="AB166" s="175">
        <v>50082390</v>
      </c>
      <c r="AC166" s="175"/>
      <c r="AD166" s="175" t="s">
        <v>1058</v>
      </c>
      <c r="AE166" s="175" t="s">
        <v>1059</v>
      </c>
      <c r="AF166" s="209" t="s">
        <v>284</v>
      </c>
      <c r="AG166" s="175"/>
      <c r="AH166" s="209" t="s">
        <v>1060</v>
      </c>
      <c r="AI166" s="175">
        <v>0</v>
      </c>
      <c r="AJ166" s="175">
        <v>0</v>
      </c>
      <c r="AP166" s="206"/>
      <c r="AQ166" s="207"/>
      <c r="AR166" s="207"/>
      <c r="AS166" s="207"/>
      <c r="AT166" s="208"/>
      <c r="AU166" s="207"/>
      <c r="AV166" s="208"/>
    </row>
    <row r="167" spans="2:48" s="205" customFormat="1" ht="15">
      <c r="B167" s="209">
        <v>2183</v>
      </c>
      <c r="C167" s="210">
        <v>229180</v>
      </c>
      <c r="D167" s="209" t="s">
        <v>1053</v>
      </c>
      <c r="E167" s="175" t="s">
        <v>1260</v>
      </c>
      <c r="F167" s="209"/>
      <c r="G167" s="175"/>
      <c r="H167" s="175"/>
      <c r="I167" s="175"/>
      <c r="J167" s="175">
        <v>0</v>
      </c>
      <c r="K167" s="175" t="s">
        <v>1261</v>
      </c>
      <c r="L167" s="175"/>
      <c r="M167" s="175"/>
      <c r="N167" s="211">
        <v>43872</v>
      </c>
      <c r="O167" s="211">
        <v>43872</v>
      </c>
      <c r="P167" s="175" t="s">
        <v>1262</v>
      </c>
      <c r="Q167" s="209">
        <v>300</v>
      </c>
      <c r="R167" s="209">
        <v>14110</v>
      </c>
      <c r="S167" s="212">
        <v>893.55</v>
      </c>
      <c r="T167" s="209">
        <v>14116</v>
      </c>
      <c r="U167" s="212">
        <v>546.03</v>
      </c>
      <c r="V167" s="212">
        <f t="shared" si="22"/>
        <v>347.52</v>
      </c>
      <c r="W167" s="213">
        <v>273.01</v>
      </c>
      <c r="X167" s="209">
        <v>70260</v>
      </c>
      <c r="Y167" s="212">
        <v>24.82</v>
      </c>
      <c r="Z167" s="175" t="s">
        <v>1053</v>
      </c>
      <c r="AA167" s="175"/>
      <c r="AB167" s="215">
        <v>43902</v>
      </c>
      <c r="AC167" s="175"/>
      <c r="AD167" s="175" t="s">
        <v>1058</v>
      </c>
      <c r="AE167" s="175" t="s">
        <v>1059</v>
      </c>
      <c r="AF167" s="209" t="s">
        <v>284</v>
      </c>
      <c r="AG167" s="175"/>
      <c r="AH167" s="209" t="s">
        <v>1060</v>
      </c>
      <c r="AI167" s="175">
        <v>0</v>
      </c>
      <c r="AJ167" s="175">
        <v>0</v>
      </c>
      <c r="AP167" s="206"/>
      <c r="AQ167" s="207"/>
      <c r="AR167" s="207"/>
      <c r="AS167" s="207"/>
      <c r="AT167" s="208"/>
      <c r="AU167" s="207"/>
      <c r="AV167" s="208"/>
    </row>
    <row r="168" spans="2:48" s="205" customFormat="1" ht="15">
      <c r="B168" s="209">
        <v>2183</v>
      </c>
      <c r="C168" s="210">
        <v>229007</v>
      </c>
      <c r="D168" s="209" t="s">
        <v>1053</v>
      </c>
      <c r="E168" s="175" t="s">
        <v>1263</v>
      </c>
      <c r="F168" s="209">
        <v>702</v>
      </c>
      <c r="G168" s="175"/>
      <c r="H168" s="175"/>
      <c r="I168" s="175"/>
      <c r="J168" s="175">
        <v>0</v>
      </c>
      <c r="K168" s="175" t="s">
        <v>1068</v>
      </c>
      <c r="L168" s="175"/>
      <c r="M168" s="175" t="s">
        <v>1069</v>
      </c>
      <c r="N168" s="211">
        <v>43880</v>
      </c>
      <c r="O168" s="211">
        <v>43880</v>
      </c>
      <c r="P168" s="175" t="s">
        <v>1248</v>
      </c>
      <c r="Q168" s="209">
        <v>700</v>
      </c>
      <c r="R168" s="209">
        <v>14050</v>
      </c>
      <c r="S168" s="212">
        <v>32333.43</v>
      </c>
      <c r="T168" s="209">
        <v>14056</v>
      </c>
      <c r="U168" s="212">
        <v>8083.36</v>
      </c>
      <c r="V168" s="212">
        <f t="shared" si="22"/>
        <v>24250.07</v>
      </c>
      <c r="W168" s="213">
        <v>4234.1400000000003</v>
      </c>
      <c r="X168" s="209">
        <v>54260</v>
      </c>
      <c r="Y168" s="212">
        <v>384.92</v>
      </c>
      <c r="Z168" s="175" t="s">
        <v>1053</v>
      </c>
      <c r="AA168" s="175"/>
      <c r="AB168" s="175">
        <v>50080688</v>
      </c>
      <c r="AC168" s="175"/>
      <c r="AD168" s="175" t="s">
        <v>1058</v>
      </c>
      <c r="AE168" s="175" t="s">
        <v>1059</v>
      </c>
      <c r="AF168" s="209" t="s">
        <v>284</v>
      </c>
      <c r="AG168" s="175"/>
      <c r="AH168" s="209" t="s">
        <v>1060</v>
      </c>
      <c r="AI168" s="175">
        <v>0</v>
      </c>
      <c r="AJ168" s="175">
        <v>0</v>
      </c>
      <c r="AP168" s="206"/>
      <c r="AQ168" s="207"/>
      <c r="AR168" s="207"/>
      <c r="AS168" s="207"/>
      <c r="AT168" s="208"/>
      <c r="AU168" s="207"/>
      <c r="AV168" s="208"/>
    </row>
    <row r="169" spans="2:48" s="205" customFormat="1" ht="15">
      <c r="B169" s="209">
        <v>2183</v>
      </c>
      <c r="C169" s="210">
        <v>229006</v>
      </c>
      <c r="D169" s="209" t="s">
        <v>1053</v>
      </c>
      <c r="E169" s="175" t="s">
        <v>736</v>
      </c>
      <c r="F169" s="209">
        <v>702</v>
      </c>
      <c r="G169" s="175"/>
      <c r="H169" s="175"/>
      <c r="I169" s="175"/>
      <c r="J169" s="175">
        <v>0</v>
      </c>
      <c r="K169" s="175" t="s">
        <v>1068</v>
      </c>
      <c r="L169" s="175"/>
      <c r="M169" s="175" t="s">
        <v>1069</v>
      </c>
      <c r="N169" s="211">
        <v>43880</v>
      </c>
      <c r="O169" s="211">
        <v>43880</v>
      </c>
      <c r="P169" s="175" t="s">
        <v>1248</v>
      </c>
      <c r="Q169" s="209">
        <v>700</v>
      </c>
      <c r="R169" s="209">
        <v>14050</v>
      </c>
      <c r="S169" s="212">
        <v>32333.439999999999</v>
      </c>
      <c r="T169" s="209">
        <v>14056</v>
      </c>
      <c r="U169" s="212">
        <v>8083.36</v>
      </c>
      <c r="V169" s="212">
        <f t="shared" si="22"/>
        <v>24250.079999999998</v>
      </c>
      <c r="W169" s="213">
        <v>4234.1400000000003</v>
      </c>
      <c r="X169" s="209">
        <v>54260</v>
      </c>
      <c r="Y169" s="212">
        <v>384.92</v>
      </c>
      <c r="Z169" s="175" t="s">
        <v>1053</v>
      </c>
      <c r="AA169" s="175"/>
      <c r="AB169" s="175">
        <v>50080688</v>
      </c>
      <c r="AC169" s="175"/>
      <c r="AD169" s="175" t="s">
        <v>1058</v>
      </c>
      <c r="AE169" s="175" t="s">
        <v>1059</v>
      </c>
      <c r="AF169" s="209" t="s">
        <v>284</v>
      </c>
      <c r="AG169" s="175"/>
      <c r="AH169" s="209" t="s">
        <v>1060</v>
      </c>
      <c r="AI169" s="175">
        <v>0</v>
      </c>
      <c r="AJ169" s="175">
        <v>0</v>
      </c>
      <c r="AP169" s="206"/>
      <c r="AQ169" s="207"/>
      <c r="AR169" s="207"/>
      <c r="AS169" s="207"/>
      <c r="AT169" s="208"/>
      <c r="AU169" s="207"/>
      <c r="AV169" s="208"/>
    </row>
    <row r="170" spans="2:48" s="205" customFormat="1" ht="15">
      <c r="B170" s="209">
        <v>2183</v>
      </c>
      <c r="C170" s="210">
        <v>228950</v>
      </c>
      <c r="D170" s="209" t="s">
        <v>1053</v>
      </c>
      <c r="E170" s="175" t="s">
        <v>802</v>
      </c>
      <c r="F170" s="209">
        <v>702</v>
      </c>
      <c r="G170" s="175"/>
      <c r="H170" s="175"/>
      <c r="I170" s="175"/>
      <c r="J170" s="175">
        <v>0</v>
      </c>
      <c r="K170" s="175" t="s">
        <v>1068</v>
      </c>
      <c r="L170" s="175"/>
      <c r="M170" s="175" t="s">
        <v>1069</v>
      </c>
      <c r="N170" s="211">
        <v>43879</v>
      </c>
      <c r="O170" s="211">
        <v>43879</v>
      </c>
      <c r="P170" s="175" t="s">
        <v>1248</v>
      </c>
      <c r="Q170" s="209">
        <v>700</v>
      </c>
      <c r="R170" s="209">
        <v>14050</v>
      </c>
      <c r="S170" s="212">
        <v>32333.43</v>
      </c>
      <c r="T170" s="209">
        <v>14056</v>
      </c>
      <c r="U170" s="212">
        <v>8083.36</v>
      </c>
      <c r="V170" s="212">
        <f t="shared" si="22"/>
        <v>24250.07</v>
      </c>
      <c r="W170" s="213">
        <v>4234.1400000000003</v>
      </c>
      <c r="X170" s="209">
        <v>54260</v>
      </c>
      <c r="Y170" s="212">
        <v>384.92</v>
      </c>
      <c r="Z170" s="175" t="s">
        <v>1053</v>
      </c>
      <c r="AA170" s="175"/>
      <c r="AB170" s="175">
        <v>50080502</v>
      </c>
      <c r="AC170" s="175"/>
      <c r="AD170" s="175" t="s">
        <v>1058</v>
      </c>
      <c r="AE170" s="175" t="s">
        <v>1059</v>
      </c>
      <c r="AF170" s="209" t="s">
        <v>284</v>
      </c>
      <c r="AG170" s="175"/>
      <c r="AH170" s="209" t="s">
        <v>1060</v>
      </c>
      <c r="AI170" s="175">
        <v>0</v>
      </c>
      <c r="AJ170" s="175">
        <v>0</v>
      </c>
      <c r="AP170" s="206"/>
      <c r="AQ170" s="207"/>
      <c r="AR170" s="207"/>
      <c r="AS170" s="207"/>
      <c r="AT170" s="208"/>
      <c r="AU170" s="207"/>
      <c r="AV170" s="208"/>
    </row>
    <row r="171" spans="2:48" s="205" customFormat="1" ht="15">
      <c r="B171" s="209">
        <v>2183</v>
      </c>
      <c r="C171" s="210">
        <v>227353</v>
      </c>
      <c r="D171" s="209" t="s">
        <v>1053</v>
      </c>
      <c r="E171" s="175" t="s">
        <v>1264</v>
      </c>
      <c r="F171" s="209">
        <v>5</v>
      </c>
      <c r="G171" s="175"/>
      <c r="H171" s="175"/>
      <c r="I171" s="175"/>
      <c r="J171" s="175">
        <v>0</v>
      </c>
      <c r="K171" s="175" t="s">
        <v>1265</v>
      </c>
      <c r="L171" s="175"/>
      <c r="M171" s="175" t="s">
        <v>1145</v>
      </c>
      <c r="N171" s="211">
        <v>43831</v>
      </c>
      <c r="O171" s="211">
        <v>43831</v>
      </c>
      <c r="P171" s="175" t="s">
        <v>1266</v>
      </c>
      <c r="Q171" s="209">
        <v>1111</v>
      </c>
      <c r="R171" s="209">
        <v>14050</v>
      </c>
      <c r="S171" s="212">
        <v>25561.63</v>
      </c>
      <c r="T171" s="209">
        <v>14056</v>
      </c>
      <c r="U171" s="212">
        <v>4111.3100000000004</v>
      </c>
      <c r="V171" s="212">
        <f t="shared" si="22"/>
        <v>21450.32</v>
      </c>
      <c r="W171" s="213">
        <v>1966.28</v>
      </c>
      <c r="X171" s="209">
        <v>54260</v>
      </c>
      <c r="Y171" s="212">
        <v>178.75</v>
      </c>
      <c r="Z171" s="175" t="s">
        <v>1053</v>
      </c>
      <c r="AA171" s="175"/>
      <c r="AB171" s="175" t="s">
        <v>1267</v>
      </c>
      <c r="AC171" s="175"/>
      <c r="AD171" s="175" t="s">
        <v>1058</v>
      </c>
      <c r="AE171" s="175" t="s">
        <v>1059</v>
      </c>
      <c r="AF171" s="209" t="s">
        <v>284</v>
      </c>
      <c r="AG171" s="175"/>
      <c r="AH171" s="209" t="s">
        <v>1060</v>
      </c>
      <c r="AI171" s="175">
        <v>0</v>
      </c>
      <c r="AJ171" s="175">
        <v>0</v>
      </c>
      <c r="AP171" s="206"/>
      <c r="AQ171" s="207"/>
      <c r="AR171" s="207"/>
      <c r="AS171" s="207"/>
      <c r="AT171" s="208"/>
      <c r="AU171" s="207"/>
      <c r="AV171" s="208"/>
    </row>
    <row r="172" spans="2:48" s="205" customFormat="1" ht="15">
      <c r="B172" s="209">
        <v>2183</v>
      </c>
      <c r="C172" s="210">
        <v>225953</v>
      </c>
      <c r="D172" s="209">
        <v>223829</v>
      </c>
      <c r="E172" s="175" t="s">
        <v>729</v>
      </c>
      <c r="F172" s="209"/>
      <c r="G172" s="175"/>
      <c r="H172" s="175"/>
      <c r="I172" s="175"/>
      <c r="J172" s="175">
        <v>0</v>
      </c>
      <c r="K172" s="175" t="s">
        <v>1268</v>
      </c>
      <c r="L172" s="175"/>
      <c r="M172" s="175" t="s">
        <v>1108</v>
      </c>
      <c r="N172" s="211">
        <v>43770</v>
      </c>
      <c r="O172" s="211">
        <v>43770</v>
      </c>
      <c r="P172" s="175" t="s">
        <v>1269</v>
      </c>
      <c r="Q172" s="209">
        <v>1000</v>
      </c>
      <c r="R172" s="209">
        <v>14040</v>
      </c>
      <c r="S172" s="212">
        <v>956.38</v>
      </c>
      <c r="T172" s="209">
        <v>14046</v>
      </c>
      <c r="U172" s="212">
        <v>199.25</v>
      </c>
      <c r="V172" s="212">
        <f t="shared" si="22"/>
        <v>757.13</v>
      </c>
      <c r="W172" s="213">
        <v>87.67</v>
      </c>
      <c r="X172" s="209">
        <v>51260</v>
      </c>
      <c r="Y172" s="212">
        <v>7.97</v>
      </c>
      <c r="Z172" s="175" t="s">
        <v>1053</v>
      </c>
      <c r="AA172" s="175"/>
      <c r="AB172" s="175">
        <v>26365</v>
      </c>
      <c r="AC172" s="175"/>
      <c r="AD172" s="175" t="s">
        <v>1058</v>
      </c>
      <c r="AE172" s="175" t="s">
        <v>1059</v>
      </c>
      <c r="AF172" s="209" t="s">
        <v>284</v>
      </c>
      <c r="AG172" s="175"/>
      <c r="AH172" s="209" t="s">
        <v>1060</v>
      </c>
      <c r="AI172" s="175">
        <v>0</v>
      </c>
      <c r="AJ172" s="175">
        <v>0</v>
      </c>
      <c r="AP172" s="206"/>
      <c r="AQ172" s="207"/>
      <c r="AR172" s="207"/>
      <c r="AS172" s="207"/>
      <c r="AT172" s="208"/>
      <c r="AU172" s="207"/>
      <c r="AV172" s="208"/>
    </row>
    <row r="173" spans="2:48" s="205" customFormat="1" ht="15">
      <c r="B173" s="209">
        <v>2183</v>
      </c>
      <c r="C173" s="210">
        <v>225952</v>
      </c>
      <c r="D173" s="209">
        <v>219760</v>
      </c>
      <c r="E173" s="175" t="s">
        <v>729</v>
      </c>
      <c r="F173" s="209"/>
      <c r="G173" s="175"/>
      <c r="H173" s="175"/>
      <c r="I173" s="175"/>
      <c r="J173" s="175">
        <v>0</v>
      </c>
      <c r="K173" s="175" t="s">
        <v>1268</v>
      </c>
      <c r="L173" s="175"/>
      <c r="M173" s="175" t="s">
        <v>1108</v>
      </c>
      <c r="N173" s="211">
        <v>43738</v>
      </c>
      <c r="O173" s="211">
        <v>43738</v>
      </c>
      <c r="P173" s="175" t="s">
        <v>1270</v>
      </c>
      <c r="Q173" s="209">
        <v>1000</v>
      </c>
      <c r="R173" s="209">
        <v>14040</v>
      </c>
      <c r="S173" s="212">
        <v>868.94</v>
      </c>
      <c r="T173" s="209">
        <v>14046</v>
      </c>
      <c r="U173" s="212">
        <v>188.22</v>
      </c>
      <c r="V173" s="212">
        <f t="shared" si="22"/>
        <v>680.72</v>
      </c>
      <c r="W173" s="213">
        <v>79.63</v>
      </c>
      <c r="X173" s="209">
        <v>51260</v>
      </c>
      <c r="Y173" s="212">
        <v>7.24</v>
      </c>
      <c r="Z173" s="175" t="s">
        <v>1053</v>
      </c>
      <c r="AA173" s="175"/>
      <c r="AB173" s="175">
        <v>26366</v>
      </c>
      <c r="AC173" s="175"/>
      <c r="AD173" s="175" t="s">
        <v>1058</v>
      </c>
      <c r="AE173" s="175" t="s">
        <v>1059</v>
      </c>
      <c r="AF173" s="209" t="s">
        <v>284</v>
      </c>
      <c r="AG173" s="175"/>
      <c r="AH173" s="209" t="s">
        <v>1060</v>
      </c>
      <c r="AI173" s="175">
        <v>0</v>
      </c>
      <c r="AJ173" s="175">
        <v>0</v>
      </c>
      <c r="AP173" s="206"/>
      <c r="AQ173" s="207"/>
      <c r="AR173" s="207"/>
      <c r="AS173" s="207"/>
      <c r="AT173" s="208"/>
      <c r="AU173" s="207"/>
      <c r="AV173" s="208"/>
    </row>
    <row r="174" spans="2:48" s="205" customFormat="1" ht="15">
      <c r="B174" s="209">
        <v>2183</v>
      </c>
      <c r="C174" s="210">
        <v>225450</v>
      </c>
      <c r="D174" s="209" t="s">
        <v>1053</v>
      </c>
      <c r="E174" s="175" t="s">
        <v>834</v>
      </c>
      <c r="F174" s="209"/>
      <c r="G174" s="175"/>
      <c r="H174" s="175" t="s">
        <v>1271</v>
      </c>
      <c r="I174" s="175"/>
      <c r="J174" s="175">
        <v>2020</v>
      </c>
      <c r="K174" s="175" t="s">
        <v>1196</v>
      </c>
      <c r="L174" s="175" t="s">
        <v>1220</v>
      </c>
      <c r="M174" s="175" t="s">
        <v>1152</v>
      </c>
      <c r="N174" s="211">
        <v>43830</v>
      </c>
      <c r="O174" s="211">
        <v>43830</v>
      </c>
      <c r="P174" s="175" t="s">
        <v>1272</v>
      </c>
      <c r="Q174" s="209">
        <v>1000</v>
      </c>
      <c r="R174" s="209">
        <v>14040</v>
      </c>
      <c r="S174" s="212">
        <v>360730.61</v>
      </c>
      <c r="T174" s="209">
        <v>14046</v>
      </c>
      <c r="U174" s="212">
        <v>69140.03</v>
      </c>
      <c r="V174" s="212">
        <f t="shared" si="22"/>
        <v>291590.57999999996</v>
      </c>
      <c r="W174" s="213">
        <v>33066.97</v>
      </c>
      <c r="X174" s="209">
        <v>51260</v>
      </c>
      <c r="Y174" s="212">
        <v>3006.09</v>
      </c>
      <c r="Z174" s="175" t="s">
        <v>1053</v>
      </c>
      <c r="AA174" s="175"/>
      <c r="AB174" s="175"/>
      <c r="AC174" s="175">
        <v>3695</v>
      </c>
      <c r="AD174" s="175" t="s">
        <v>1058</v>
      </c>
      <c r="AE174" s="175" t="s">
        <v>1059</v>
      </c>
      <c r="AF174" s="209" t="s">
        <v>284</v>
      </c>
      <c r="AG174" s="175"/>
      <c r="AH174" s="209" t="s">
        <v>1060</v>
      </c>
      <c r="AI174" s="175">
        <v>0</v>
      </c>
      <c r="AJ174" s="175">
        <v>0</v>
      </c>
      <c r="AP174" s="206"/>
      <c r="AQ174" s="207"/>
      <c r="AR174" s="207"/>
      <c r="AS174" s="207"/>
      <c r="AT174" s="208"/>
      <c r="AU174" s="207"/>
      <c r="AV174" s="208"/>
    </row>
    <row r="175" spans="2:48" s="205" customFormat="1" ht="15">
      <c r="B175" s="209">
        <v>2183</v>
      </c>
      <c r="C175" s="210">
        <v>225390</v>
      </c>
      <c r="D175" s="209" t="s">
        <v>1053</v>
      </c>
      <c r="E175" s="175" t="s">
        <v>827</v>
      </c>
      <c r="F175" s="209">
        <v>15</v>
      </c>
      <c r="G175" s="175"/>
      <c r="H175" s="175"/>
      <c r="I175" s="175"/>
      <c r="J175" s="175">
        <v>0</v>
      </c>
      <c r="K175" s="175" t="s">
        <v>1093</v>
      </c>
      <c r="L175" s="175"/>
      <c r="M175" s="175" t="s">
        <v>1207</v>
      </c>
      <c r="N175" s="211">
        <v>43783</v>
      </c>
      <c r="O175" s="211">
        <v>43783</v>
      </c>
      <c r="P175" s="175" t="s">
        <v>1273</v>
      </c>
      <c r="Q175" s="209">
        <v>1200</v>
      </c>
      <c r="R175" s="209">
        <v>14050</v>
      </c>
      <c r="S175" s="212">
        <v>13074.53</v>
      </c>
      <c r="T175" s="209">
        <v>14056</v>
      </c>
      <c r="U175" s="212">
        <v>2269.89</v>
      </c>
      <c r="V175" s="212">
        <f t="shared" si="22"/>
        <v>10804.640000000001</v>
      </c>
      <c r="W175" s="213">
        <v>998.75</v>
      </c>
      <c r="X175" s="209">
        <v>54260</v>
      </c>
      <c r="Y175" s="212">
        <v>90.79</v>
      </c>
      <c r="Z175" s="175" t="s">
        <v>1053</v>
      </c>
      <c r="AA175" s="175"/>
      <c r="AB175" s="175">
        <v>37220241</v>
      </c>
      <c r="AC175" s="175"/>
      <c r="AD175" s="175" t="s">
        <v>1058</v>
      </c>
      <c r="AE175" s="175" t="s">
        <v>1059</v>
      </c>
      <c r="AF175" s="209" t="s">
        <v>284</v>
      </c>
      <c r="AG175" s="175"/>
      <c r="AH175" s="209" t="s">
        <v>1060</v>
      </c>
      <c r="AI175" s="175">
        <v>0</v>
      </c>
      <c r="AJ175" s="175">
        <v>0</v>
      </c>
      <c r="AP175" s="206"/>
      <c r="AQ175" s="207"/>
      <c r="AR175" s="207"/>
      <c r="AS175" s="207"/>
      <c r="AT175" s="208"/>
      <c r="AU175" s="207"/>
      <c r="AV175" s="208"/>
    </row>
    <row r="176" spans="2:48" s="205" customFormat="1" ht="15">
      <c r="B176" s="209">
        <v>2183</v>
      </c>
      <c r="C176" s="210">
        <v>225389</v>
      </c>
      <c r="D176" s="209" t="s">
        <v>1053</v>
      </c>
      <c r="E176" s="175" t="s">
        <v>828</v>
      </c>
      <c r="F176" s="209">
        <v>20</v>
      </c>
      <c r="G176" s="175"/>
      <c r="H176" s="175"/>
      <c r="I176" s="175"/>
      <c r="J176" s="175">
        <v>0</v>
      </c>
      <c r="K176" s="175" t="s">
        <v>1093</v>
      </c>
      <c r="L176" s="175"/>
      <c r="M176" s="175" t="s">
        <v>1143</v>
      </c>
      <c r="N176" s="211">
        <v>43783</v>
      </c>
      <c r="O176" s="211">
        <v>43783</v>
      </c>
      <c r="P176" s="175" t="s">
        <v>1273</v>
      </c>
      <c r="Q176" s="209">
        <v>1200</v>
      </c>
      <c r="R176" s="209">
        <v>14050</v>
      </c>
      <c r="S176" s="212">
        <v>10646.34</v>
      </c>
      <c r="T176" s="209">
        <v>14056</v>
      </c>
      <c r="U176" s="212">
        <v>1848.34</v>
      </c>
      <c r="V176" s="212">
        <f t="shared" si="22"/>
        <v>8798</v>
      </c>
      <c r="W176" s="213">
        <v>813.27</v>
      </c>
      <c r="X176" s="209">
        <v>54260</v>
      </c>
      <c r="Y176" s="212">
        <v>73.94</v>
      </c>
      <c r="Z176" s="175" t="s">
        <v>1053</v>
      </c>
      <c r="AA176" s="175"/>
      <c r="AB176" s="175">
        <v>37220241</v>
      </c>
      <c r="AC176" s="175"/>
      <c r="AD176" s="175" t="s">
        <v>1058</v>
      </c>
      <c r="AE176" s="175" t="s">
        <v>1059</v>
      </c>
      <c r="AF176" s="209" t="s">
        <v>284</v>
      </c>
      <c r="AG176" s="175"/>
      <c r="AH176" s="209" t="s">
        <v>1060</v>
      </c>
      <c r="AI176" s="175">
        <v>0</v>
      </c>
      <c r="AJ176" s="175">
        <v>0</v>
      </c>
      <c r="AP176" s="206"/>
      <c r="AQ176" s="207"/>
      <c r="AR176" s="207"/>
      <c r="AS176" s="207"/>
      <c r="AT176" s="208"/>
      <c r="AU176" s="207"/>
      <c r="AV176" s="208"/>
    </row>
    <row r="177" spans="2:48" s="205" customFormat="1" ht="15">
      <c r="B177" s="209">
        <v>2183</v>
      </c>
      <c r="C177" s="210">
        <v>225388</v>
      </c>
      <c r="D177" s="209" t="s">
        <v>1053</v>
      </c>
      <c r="E177" s="175" t="s">
        <v>829</v>
      </c>
      <c r="F177" s="209">
        <v>35</v>
      </c>
      <c r="G177" s="175"/>
      <c r="H177" s="175"/>
      <c r="I177" s="175"/>
      <c r="J177" s="175">
        <v>0</v>
      </c>
      <c r="K177" s="175" t="s">
        <v>1093</v>
      </c>
      <c r="L177" s="175"/>
      <c r="M177" s="175" t="s">
        <v>1136</v>
      </c>
      <c r="N177" s="211">
        <v>43783</v>
      </c>
      <c r="O177" s="211">
        <v>43783</v>
      </c>
      <c r="P177" s="175" t="s">
        <v>1273</v>
      </c>
      <c r="Q177" s="209">
        <v>1200</v>
      </c>
      <c r="R177" s="209">
        <v>14050</v>
      </c>
      <c r="S177" s="212">
        <v>20566.95</v>
      </c>
      <c r="T177" s="209">
        <v>14056</v>
      </c>
      <c r="U177" s="212">
        <v>3570.64</v>
      </c>
      <c r="V177" s="212">
        <f t="shared" si="22"/>
        <v>16996.310000000001</v>
      </c>
      <c r="W177" s="213">
        <v>1571.08</v>
      </c>
      <c r="X177" s="209">
        <v>54260</v>
      </c>
      <c r="Y177" s="212">
        <v>142.82</v>
      </c>
      <c r="Z177" s="175" t="s">
        <v>1053</v>
      </c>
      <c r="AA177" s="175"/>
      <c r="AB177" s="175">
        <v>37220183</v>
      </c>
      <c r="AC177" s="175"/>
      <c r="AD177" s="175" t="s">
        <v>1058</v>
      </c>
      <c r="AE177" s="175" t="s">
        <v>1059</v>
      </c>
      <c r="AF177" s="209" t="s">
        <v>284</v>
      </c>
      <c r="AG177" s="175"/>
      <c r="AH177" s="209" t="s">
        <v>1060</v>
      </c>
      <c r="AI177" s="175">
        <v>0</v>
      </c>
      <c r="AJ177" s="175">
        <v>0</v>
      </c>
      <c r="AP177" s="206"/>
      <c r="AQ177" s="207"/>
      <c r="AR177" s="207"/>
      <c r="AS177" s="207"/>
      <c r="AT177" s="208"/>
      <c r="AU177" s="207"/>
      <c r="AV177" s="208"/>
    </row>
    <row r="178" spans="2:48" s="205" customFormat="1" ht="15">
      <c r="B178" s="209">
        <v>2183</v>
      </c>
      <c r="C178" s="210">
        <v>225387</v>
      </c>
      <c r="D178" s="209" t="s">
        <v>1053</v>
      </c>
      <c r="E178" s="175" t="s">
        <v>830</v>
      </c>
      <c r="F178" s="209">
        <v>15</v>
      </c>
      <c r="G178" s="175"/>
      <c r="H178" s="175"/>
      <c r="I178" s="175"/>
      <c r="J178" s="175">
        <v>0</v>
      </c>
      <c r="K178" s="175" t="s">
        <v>1093</v>
      </c>
      <c r="L178" s="175"/>
      <c r="M178" s="175" t="s">
        <v>1133</v>
      </c>
      <c r="N178" s="211">
        <v>43783</v>
      </c>
      <c r="O178" s="211">
        <v>43783</v>
      </c>
      <c r="P178" s="175" t="s">
        <v>1273</v>
      </c>
      <c r="Q178" s="209">
        <v>1200</v>
      </c>
      <c r="R178" s="209">
        <v>14050</v>
      </c>
      <c r="S178" s="212">
        <v>8893.2000000000007</v>
      </c>
      <c r="T178" s="209">
        <v>14056</v>
      </c>
      <c r="U178" s="212">
        <v>1543.96</v>
      </c>
      <c r="V178" s="212">
        <f t="shared" si="22"/>
        <v>7349.2400000000007</v>
      </c>
      <c r="W178" s="213">
        <v>679.34</v>
      </c>
      <c r="X178" s="209">
        <v>54260</v>
      </c>
      <c r="Y178" s="212">
        <v>61.76</v>
      </c>
      <c r="Z178" s="175" t="s">
        <v>1053</v>
      </c>
      <c r="AA178" s="175"/>
      <c r="AB178" s="175">
        <v>37220183</v>
      </c>
      <c r="AC178" s="175"/>
      <c r="AD178" s="175" t="s">
        <v>1058</v>
      </c>
      <c r="AE178" s="175" t="s">
        <v>1059</v>
      </c>
      <c r="AF178" s="209" t="s">
        <v>284</v>
      </c>
      <c r="AG178" s="175"/>
      <c r="AH178" s="209" t="s">
        <v>1060</v>
      </c>
      <c r="AI178" s="175">
        <v>0</v>
      </c>
      <c r="AJ178" s="175">
        <v>0</v>
      </c>
      <c r="AP178" s="206"/>
      <c r="AQ178" s="207"/>
      <c r="AR178" s="207"/>
      <c r="AS178" s="207"/>
      <c r="AT178" s="208"/>
      <c r="AU178" s="207"/>
      <c r="AV178" s="208"/>
    </row>
    <row r="179" spans="2:48" s="205" customFormat="1" ht="15">
      <c r="B179" s="209">
        <v>2183</v>
      </c>
      <c r="C179" s="210">
        <v>225296</v>
      </c>
      <c r="D179" s="209">
        <v>221755</v>
      </c>
      <c r="E179" s="175" t="s">
        <v>1274</v>
      </c>
      <c r="F179" s="209"/>
      <c r="G179" s="175"/>
      <c r="H179" s="175"/>
      <c r="I179" s="175"/>
      <c r="J179" s="175">
        <v>0</v>
      </c>
      <c r="K179" s="175" t="s">
        <v>1275</v>
      </c>
      <c r="L179" s="175"/>
      <c r="M179" s="175" t="s">
        <v>1108</v>
      </c>
      <c r="N179" s="211">
        <v>43770</v>
      </c>
      <c r="O179" s="211">
        <v>43770</v>
      </c>
      <c r="P179" s="175" t="s">
        <v>1276</v>
      </c>
      <c r="Q179" s="209">
        <v>1000</v>
      </c>
      <c r="R179" s="209">
        <v>14040</v>
      </c>
      <c r="S179" s="212">
        <v>1079.17</v>
      </c>
      <c r="T179" s="209">
        <v>14046</v>
      </c>
      <c r="U179" s="212">
        <v>224.82</v>
      </c>
      <c r="V179" s="212">
        <f t="shared" si="22"/>
        <v>854.35000000000014</v>
      </c>
      <c r="W179" s="213">
        <v>98.92</v>
      </c>
      <c r="X179" s="209">
        <v>51260</v>
      </c>
      <c r="Y179" s="212">
        <v>8.99</v>
      </c>
      <c r="Z179" s="175" t="s">
        <v>1053</v>
      </c>
      <c r="AA179" s="175"/>
      <c r="AB179" s="175">
        <v>102261195</v>
      </c>
      <c r="AC179" s="175"/>
      <c r="AD179" s="175" t="s">
        <v>1058</v>
      </c>
      <c r="AE179" s="175" t="s">
        <v>1059</v>
      </c>
      <c r="AF179" s="209" t="s">
        <v>284</v>
      </c>
      <c r="AG179" s="175"/>
      <c r="AH179" s="209" t="s">
        <v>1060</v>
      </c>
      <c r="AI179" s="175">
        <v>0</v>
      </c>
      <c r="AJ179" s="175">
        <v>0</v>
      </c>
      <c r="AP179" s="206"/>
      <c r="AQ179" s="207"/>
      <c r="AR179" s="207"/>
      <c r="AS179" s="207"/>
      <c r="AT179" s="208"/>
      <c r="AU179" s="207"/>
      <c r="AV179" s="208"/>
    </row>
    <row r="180" spans="2:48" s="205" customFormat="1" ht="15">
      <c r="B180" s="209">
        <v>2183</v>
      </c>
      <c r="C180" s="210">
        <v>225295</v>
      </c>
      <c r="D180" s="209">
        <v>219763</v>
      </c>
      <c r="E180" s="175" t="s">
        <v>1277</v>
      </c>
      <c r="F180" s="209"/>
      <c r="G180" s="175"/>
      <c r="H180" s="175"/>
      <c r="I180" s="175"/>
      <c r="J180" s="175">
        <v>0</v>
      </c>
      <c r="K180" s="175" t="s">
        <v>1275</v>
      </c>
      <c r="L180" s="175"/>
      <c r="M180" s="175" t="s">
        <v>1108</v>
      </c>
      <c r="N180" s="211">
        <v>43770</v>
      </c>
      <c r="O180" s="211">
        <v>43770</v>
      </c>
      <c r="P180" s="175" t="s">
        <v>1278</v>
      </c>
      <c r="Q180" s="209">
        <v>1000</v>
      </c>
      <c r="R180" s="209">
        <v>14040</v>
      </c>
      <c r="S180" s="212">
        <v>3988.84</v>
      </c>
      <c r="T180" s="209">
        <v>14046</v>
      </c>
      <c r="U180" s="212">
        <v>831</v>
      </c>
      <c r="V180" s="212">
        <f t="shared" si="22"/>
        <v>3157.84</v>
      </c>
      <c r="W180" s="213">
        <v>365.64</v>
      </c>
      <c r="X180" s="209">
        <v>51260</v>
      </c>
      <c r="Y180" s="212">
        <v>33.24</v>
      </c>
      <c r="Z180" s="175" t="s">
        <v>1053</v>
      </c>
      <c r="AA180" s="175"/>
      <c r="AB180" s="175">
        <v>102261053</v>
      </c>
      <c r="AC180" s="175"/>
      <c r="AD180" s="175" t="s">
        <v>1058</v>
      </c>
      <c r="AE180" s="175" t="s">
        <v>1059</v>
      </c>
      <c r="AF180" s="209" t="s">
        <v>284</v>
      </c>
      <c r="AG180" s="175"/>
      <c r="AH180" s="209" t="s">
        <v>1060</v>
      </c>
      <c r="AI180" s="175">
        <v>0</v>
      </c>
      <c r="AJ180" s="175">
        <v>0</v>
      </c>
      <c r="AP180" s="206"/>
      <c r="AQ180" s="207"/>
      <c r="AR180" s="207"/>
      <c r="AS180" s="207"/>
      <c r="AT180" s="208"/>
      <c r="AU180" s="207"/>
      <c r="AV180" s="208"/>
    </row>
    <row r="181" spans="2:48" s="205" customFormat="1" ht="15">
      <c r="B181" s="209">
        <v>2183</v>
      </c>
      <c r="C181" s="210">
        <v>225294</v>
      </c>
      <c r="D181" s="209">
        <v>219761</v>
      </c>
      <c r="E181" s="175" t="s">
        <v>1279</v>
      </c>
      <c r="F181" s="209"/>
      <c r="G181" s="175"/>
      <c r="H181" s="175"/>
      <c r="I181" s="175"/>
      <c r="J181" s="175">
        <v>0</v>
      </c>
      <c r="K181" s="175" t="s">
        <v>1275</v>
      </c>
      <c r="L181" s="175"/>
      <c r="M181" s="175" t="s">
        <v>1108</v>
      </c>
      <c r="N181" s="211">
        <v>43770</v>
      </c>
      <c r="O181" s="211">
        <v>43770</v>
      </c>
      <c r="P181" s="175" t="s">
        <v>1280</v>
      </c>
      <c r="Q181" s="209">
        <v>1000</v>
      </c>
      <c r="R181" s="209">
        <v>14040</v>
      </c>
      <c r="S181" s="212">
        <v>68.010000000000005</v>
      </c>
      <c r="T181" s="209">
        <v>14046</v>
      </c>
      <c r="U181" s="212">
        <v>14.16</v>
      </c>
      <c r="V181" s="212">
        <f t="shared" si="22"/>
        <v>53.850000000000009</v>
      </c>
      <c r="W181" s="213">
        <v>6.23</v>
      </c>
      <c r="X181" s="209">
        <v>51260</v>
      </c>
      <c r="Y181" s="212">
        <v>0.56000000000000005</v>
      </c>
      <c r="Z181" s="175" t="s">
        <v>1053</v>
      </c>
      <c r="AA181" s="175"/>
      <c r="AB181" s="175">
        <v>102261195</v>
      </c>
      <c r="AC181" s="175"/>
      <c r="AD181" s="175" t="s">
        <v>1058</v>
      </c>
      <c r="AE181" s="175" t="s">
        <v>1059</v>
      </c>
      <c r="AF181" s="209" t="s">
        <v>284</v>
      </c>
      <c r="AG181" s="175"/>
      <c r="AH181" s="209" t="s">
        <v>1060</v>
      </c>
      <c r="AI181" s="175">
        <v>0</v>
      </c>
      <c r="AJ181" s="175">
        <v>0</v>
      </c>
      <c r="AP181" s="206"/>
      <c r="AQ181" s="207"/>
      <c r="AR181" s="207"/>
      <c r="AS181" s="207"/>
      <c r="AT181" s="208"/>
      <c r="AU181" s="207"/>
      <c r="AV181" s="208"/>
    </row>
    <row r="182" spans="2:48" s="205" customFormat="1" ht="15">
      <c r="B182" s="209">
        <v>2183</v>
      </c>
      <c r="C182" s="210">
        <v>225293</v>
      </c>
      <c r="D182" s="209">
        <v>219761</v>
      </c>
      <c r="E182" s="175" t="s">
        <v>1279</v>
      </c>
      <c r="F182" s="209"/>
      <c r="G182" s="175"/>
      <c r="H182" s="175"/>
      <c r="I182" s="175"/>
      <c r="J182" s="175">
        <v>0</v>
      </c>
      <c r="K182" s="175" t="s">
        <v>1275</v>
      </c>
      <c r="L182" s="175"/>
      <c r="M182" s="175" t="s">
        <v>1108</v>
      </c>
      <c r="N182" s="211">
        <v>43770</v>
      </c>
      <c r="O182" s="211">
        <v>43770</v>
      </c>
      <c r="P182" s="175" t="s">
        <v>1280</v>
      </c>
      <c r="Q182" s="209">
        <v>1000</v>
      </c>
      <c r="R182" s="209">
        <v>14040</v>
      </c>
      <c r="S182" s="212">
        <v>1011.16</v>
      </c>
      <c r="T182" s="209">
        <v>14046</v>
      </c>
      <c r="U182" s="212">
        <v>210.66</v>
      </c>
      <c r="V182" s="212">
        <f t="shared" si="22"/>
        <v>800.5</v>
      </c>
      <c r="W182" s="213">
        <v>92.69</v>
      </c>
      <c r="X182" s="209">
        <v>51260</v>
      </c>
      <c r="Y182" s="212">
        <v>8.42</v>
      </c>
      <c r="Z182" s="175" t="s">
        <v>1053</v>
      </c>
      <c r="AA182" s="175"/>
      <c r="AB182" s="175">
        <v>102261053</v>
      </c>
      <c r="AC182" s="175"/>
      <c r="AD182" s="175" t="s">
        <v>1058</v>
      </c>
      <c r="AE182" s="175" t="s">
        <v>1059</v>
      </c>
      <c r="AF182" s="209" t="s">
        <v>284</v>
      </c>
      <c r="AG182" s="175"/>
      <c r="AH182" s="209" t="s">
        <v>1060</v>
      </c>
      <c r="AI182" s="175">
        <v>0</v>
      </c>
      <c r="AJ182" s="175">
        <v>0</v>
      </c>
      <c r="AP182" s="206"/>
      <c r="AQ182" s="207"/>
      <c r="AR182" s="207"/>
      <c r="AS182" s="207"/>
      <c r="AT182" s="208"/>
      <c r="AU182" s="207"/>
      <c r="AV182" s="208"/>
    </row>
    <row r="183" spans="2:48" s="205" customFormat="1" ht="15">
      <c r="B183" s="209">
        <v>2183</v>
      </c>
      <c r="C183" s="210">
        <v>224109</v>
      </c>
      <c r="D183" s="209">
        <v>223830</v>
      </c>
      <c r="E183" s="175" t="s">
        <v>1281</v>
      </c>
      <c r="F183" s="209"/>
      <c r="G183" s="175"/>
      <c r="H183" s="175"/>
      <c r="I183" s="175"/>
      <c r="J183" s="175">
        <v>0</v>
      </c>
      <c r="K183" s="175" t="s">
        <v>1282</v>
      </c>
      <c r="L183" s="175"/>
      <c r="M183" s="175" t="s">
        <v>1108</v>
      </c>
      <c r="N183" s="211">
        <v>43770</v>
      </c>
      <c r="O183" s="211">
        <v>43770</v>
      </c>
      <c r="P183" s="175" t="s">
        <v>1283</v>
      </c>
      <c r="Q183" s="209">
        <v>1000</v>
      </c>
      <c r="R183" s="209">
        <v>14040</v>
      </c>
      <c r="S183" s="212">
        <v>808.82</v>
      </c>
      <c r="T183" s="209">
        <v>14046</v>
      </c>
      <c r="U183" s="212">
        <v>168.5</v>
      </c>
      <c r="V183" s="212">
        <f t="shared" si="22"/>
        <v>640.32000000000005</v>
      </c>
      <c r="W183" s="213">
        <v>74.14</v>
      </c>
      <c r="X183" s="209">
        <v>51260</v>
      </c>
      <c r="Y183" s="212">
        <v>6.74</v>
      </c>
      <c r="Z183" s="175" t="s">
        <v>1053</v>
      </c>
      <c r="AA183" s="175"/>
      <c r="AB183" s="175">
        <v>26247</v>
      </c>
      <c r="AC183" s="175"/>
      <c r="AD183" s="175" t="s">
        <v>1058</v>
      </c>
      <c r="AE183" s="175" t="s">
        <v>1059</v>
      </c>
      <c r="AF183" s="209" t="s">
        <v>284</v>
      </c>
      <c r="AG183" s="175"/>
      <c r="AH183" s="209" t="s">
        <v>1060</v>
      </c>
      <c r="AI183" s="175">
        <v>0</v>
      </c>
      <c r="AJ183" s="175">
        <v>0</v>
      </c>
      <c r="AP183" s="206"/>
      <c r="AQ183" s="207"/>
      <c r="AR183" s="207"/>
      <c r="AS183" s="207"/>
      <c r="AT183" s="208"/>
      <c r="AU183" s="207"/>
      <c r="AV183" s="208"/>
    </row>
    <row r="184" spans="2:48" s="205" customFormat="1" ht="15">
      <c r="B184" s="209">
        <v>2183</v>
      </c>
      <c r="C184" s="210">
        <v>224108</v>
      </c>
      <c r="D184" s="209">
        <v>223830</v>
      </c>
      <c r="E184" s="175" t="s">
        <v>888</v>
      </c>
      <c r="F184" s="209"/>
      <c r="G184" s="175"/>
      <c r="H184" s="175"/>
      <c r="I184" s="175"/>
      <c r="J184" s="175">
        <v>0</v>
      </c>
      <c r="K184" s="175" t="s">
        <v>1191</v>
      </c>
      <c r="L184" s="175"/>
      <c r="M184" s="175" t="s">
        <v>1108</v>
      </c>
      <c r="N184" s="211">
        <v>43770</v>
      </c>
      <c r="O184" s="211">
        <v>43770</v>
      </c>
      <c r="P184" s="175" t="s">
        <v>1283</v>
      </c>
      <c r="Q184" s="209">
        <v>500</v>
      </c>
      <c r="R184" s="209">
        <v>14040</v>
      </c>
      <c r="S184" s="212">
        <v>633.95000000000005</v>
      </c>
      <c r="T184" s="209">
        <v>14046</v>
      </c>
      <c r="U184" s="212">
        <v>264.14</v>
      </c>
      <c r="V184" s="212">
        <f t="shared" si="22"/>
        <v>369.81000000000006</v>
      </c>
      <c r="W184" s="213">
        <v>116.22</v>
      </c>
      <c r="X184" s="209">
        <v>51260</v>
      </c>
      <c r="Y184" s="212">
        <v>10.56</v>
      </c>
      <c r="Z184" s="175" t="s">
        <v>1053</v>
      </c>
      <c r="AA184" s="175"/>
      <c r="AB184" s="175">
        <v>5230400</v>
      </c>
      <c r="AC184" s="175"/>
      <c r="AD184" s="175" t="s">
        <v>1058</v>
      </c>
      <c r="AE184" s="175" t="s">
        <v>1059</v>
      </c>
      <c r="AF184" s="209" t="s">
        <v>284</v>
      </c>
      <c r="AG184" s="175"/>
      <c r="AH184" s="209" t="s">
        <v>1060</v>
      </c>
      <c r="AI184" s="175">
        <v>0</v>
      </c>
      <c r="AJ184" s="175">
        <v>0</v>
      </c>
      <c r="AP184" s="206"/>
      <c r="AQ184" s="207"/>
      <c r="AR184" s="207"/>
      <c r="AS184" s="207"/>
      <c r="AT184" s="208"/>
      <c r="AU184" s="207"/>
      <c r="AV184" s="208"/>
    </row>
    <row r="185" spans="2:48" s="205" customFormat="1" ht="15">
      <c r="B185" s="209">
        <v>2183</v>
      </c>
      <c r="C185" s="210">
        <v>224107</v>
      </c>
      <c r="D185" s="209">
        <v>221755</v>
      </c>
      <c r="E185" s="175" t="s">
        <v>888</v>
      </c>
      <c r="F185" s="209"/>
      <c r="G185" s="175"/>
      <c r="H185" s="175"/>
      <c r="I185" s="175"/>
      <c r="J185" s="175">
        <v>0</v>
      </c>
      <c r="K185" s="175" t="s">
        <v>1191</v>
      </c>
      <c r="L185" s="175"/>
      <c r="M185" s="175" t="s">
        <v>1108</v>
      </c>
      <c r="N185" s="211">
        <v>43770</v>
      </c>
      <c r="O185" s="211">
        <v>43770</v>
      </c>
      <c r="P185" s="175" t="s">
        <v>1276</v>
      </c>
      <c r="Q185" s="209">
        <v>500</v>
      </c>
      <c r="R185" s="209">
        <v>14040</v>
      </c>
      <c r="S185" s="212">
        <v>633.95000000000005</v>
      </c>
      <c r="T185" s="209">
        <v>14046</v>
      </c>
      <c r="U185" s="212">
        <v>264.14</v>
      </c>
      <c r="V185" s="212">
        <f t="shared" si="22"/>
        <v>369.81000000000006</v>
      </c>
      <c r="W185" s="213">
        <v>116.22</v>
      </c>
      <c r="X185" s="209">
        <v>51260</v>
      </c>
      <c r="Y185" s="212">
        <v>10.56</v>
      </c>
      <c r="Z185" s="175" t="s">
        <v>1053</v>
      </c>
      <c r="AA185" s="175"/>
      <c r="AB185" s="175">
        <v>5230473</v>
      </c>
      <c r="AC185" s="175"/>
      <c r="AD185" s="175" t="s">
        <v>1058</v>
      </c>
      <c r="AE185" s="175" t="s">
        <v>1059</v>
      </c>
      <c r="AF185" s="209" t="s">
        <v>284</v>
      </c>
      <c r="AG185" s="175"/>
      <c r="AH185" s="209" t="s">
        <v>1060</v>
      </c>
      <c r="AI185" s="175">
        <v>0</v>
      </c>
      <c r="AJ185" s="175">
        <v>0</v>
      </c>
      <c r="AP185" s="206"/>
      <c r="AQ185" s="207"/>
      <c r="AR185" s="207"/>
      <c r="AS185" s="207"/>
      <c r="AT185" s="208"/>
      <c r="AU185" s="207"/>
      <c r="AV185" s="208"/>
    </row>
    <row r="186" spans="2:48" s="205" customFormat="1" ht="15">
      <c r="B186" s="209">
        <v>2183</v>
      </c>
      <c r="C186" s="210">
        <v>224106</v>
      </c>
      <c r="D186" s="209">
        <v>221755</v>
      </c>
      <c r="E186" s="175" t="s">
        <v>729</v>
      </c>
      <c r="F186" s="209"/>
      <c r="G186" s="175"/>
      <c r="H186" s="175"/>
      <c r="I186" s="175"/>
      <c r="J186" s="175">
        <v>0</v>
      </c>
      <c r="K186" s="175" t="s">
        <v>1268</v>
      </c>
      <c r="L186" s="175"/>
      <c r="M186" s="175" t="s">
        <v>1108</v>
      </c>
      <c r="N186" s="211">
        <v>43770</v>
      </c>
      <c r="O186" s="211">
        <v>43770</v>
      </c>
      <c r="P186" s="175" t="s">
        <v>1276</v>
      </c>
      <c r="Q186" s="209">
        <v>1000</v>
      </c>
      <c r="R186" s="209">
        <v>14040</v>
      </c>
      <c r="S186" s="212">
        <v>868.94</v>
      </c>
      <c r="T186" s="209">
        <v>14046</v>
      </c>
      <c r="U186" s="212">
        <v>180.98</v>
      </c>
      <c r="V186" s="212">
        <f t="shared" si="22"/>
        <v>687.96</v>
      </c>
      <c r="W186" s="213">
        <v>79.63</v>
      </c>
      <c r="X186" s="209">
        <v>51260</v>
      </c>
      <c r="Y186" s="212">
        <v>7.24</v>
      </c>
      <c r="Z186" s="175" t="s">
        <v>1053</v>
      </c>
      <c r="AA186" s="175"/>
      <c r="AB186" s="175">
        <v>26182</v>
      </c>
      <c r="AC186" s="175"/>
      <c r="AD186" s="175" t="s">
        <v>1058</v>
      </c>
      <c r="AE186" s="175" t="s">
        <v>1059</v>
      </c>
      <c r="AF186" s="209" t="s">
        <v>284</v>
      </c>
      <c r="AG186" s="175"/>
      <c r="AH186" s="209" t="s">
        <v>1060</v>
      </c>
      <c r="AI186" s="175">
        <v>0</v>
      </c>
      <c r="AJ186" s="175">
        <v>0</v>
      </c>
      <c r="AP186" s="206"/>
      <c r="AQ186" s="207"/>
      <c r="AR186" s="207"/>
      <c r="AS186" s="207"/>
      <c r="AT186" s="208"/>
      <c r="AU186" s="207"/>
      <c r="AV186" s="208"/>
    </row>
    <row r="187" spans="2:48" s="205" customFormat="1" ht="15">
      <c r="B187" s="209">
        <v>2183</v>
      </c>
      <c r="C187" s="210">
        <v>224105</v>
      </c>
      <c r="D187" s="209">
        <v>219763</v>
      </c>
      <c r="E187" s="175" t="s">
        <v>888</v>
      </c>
      <c r="F187" s="209"/>
      <c r="G187" s="175"/>
      <c r="H187" s="175"/>
      <c r="I187" s="175"/>
      <c r="J187" s="175">
        <v>0</v>
      </c>
      <c r="K187" s="175" t="s">
        <v>1191</v>
      </c>
      <c r="L187" s="175"/>
      <c r="M187" s="175" t="s">
        <v>1108</v>
      </c>
      <c r="N187" s="211">
        <v>43770</v>
      </c>
      <c r="O187" s="211">
        <v>43770</v>
      </c>
      <c r="P187" s="175" t="s">
        <v>1278</v>
      </c>
      <c r="Q187" s="209">
        <v>500</v>
      </c>
      <c r="R187" s="209">
        <v>14040</v>
      </c>
      <c r="S187" s="212">
        <v>633.95000000000005</v>
      </c>
      <c r="T187" s="209">
        <v>14046</v>
      </c>
      <c r="U187" s="212">
        <v>264.14</v>
      </c>
      <c r="V187" s="212">
        <f t="shared" si="22"/>
        <v>369.81000000000006</v>
      </c>
      <c r="W187" s="213">
        <v>116.22</v>
      </c>
      <c r="X187" s="209">
        <v>51260</v>
      </c>
      <c r="Y187" s="212">
        <v>10.56</v>
      </c>
      <c r="Z187" s="175" t="s">
        <v>1053</v>
      </c>
      <c r="AA187" s="175"/>
      <c r="AB187" s="175">
        <v>5230471</v>
      </c>
      <c r="AC187" s="175"/>
      <c r="AD187" s="175" t="s">
        <v>1058</v>
      </c>
      <c r="AE187" s="175" t="s">
        <v>1059</v>
      </c>
      <c r="AF187" s="209" t="s">
        <v>284</v>
      </c>
      <c r="AG187" s="175"/>
      <c r="AH187" s="209" t="s">
        <v>1060</v>
      </c>
      <c r="AI187" s="175">
        <v>0</v>
      </c>
      <c r="AJ187" s="175">
        <v>0</v>
      </c>
      <c r="AP187" s="206"/>
      <c r="AQ187" s="207"/>
      <c r="AR187" s="207"/>
      <c r="AS187" s="207"/>
      <c r="AT187" s="208"/>
      <c r="AU187" s="207"/>
      <c r="AV187" s="208"/>
    </row>
    <row r="188" spans="2:48" s="205" customFormat="1" ht="15">
      <c r="B188" s="209">
        <v>2183</v>
      </c>
      <c r="C188" s="210">
        <v>224104</v>
      </c>
      <c r="D188" s="209">
        <v>219763</v>
      </c>
      <c r="E188" s="175" t="s">
        <v>729</v>
      </c>
      <c r="F188" s="209"/>
      <c r="G188" s="175"/>
      <c r="H188" s="175"/>
      <c r="I188" s="175"/>
      <c r="J188" s="175">
        <v>0</v>
      </c>
      <c r="K188" s="175" t="s">
        <v>1268</v>
      </c>
      <c r="L188" s="175"/>
      <c r="M188" s="175" t="s">
        <v>1108</v>
      </c>
      <c r="N188" s="211">
        <v>43770</v>
      </c>
      <c r="O188" s="211">
        <v>43770</v>
      </c>
      <c r="P188" s="175" t="s">
        <v>1278</v>
      </c>
      <c r="Q188" s="209">
        <v>1000</v>
      </c>
      <c r="R188" s="209">
        <v>14040</v>
      </c>
      <c r="S188" s="212">
        <v>220.79</v>
      </c>
      <c r="T188" s="209">
        <v>14046</v>
      </c>
      <c r="U188" s="212">
        <v>46</v>
      </c>
      <c r="V188" s="212">
        <f t="shared" si="22"/>
        <v>174.79</v>
      </c>
      <c r="W188" s="213">
        <v>20.239999999999998</v>
      </c>
      <c r="X188" s="209">
        <v>51260</v>
      </c>
      <c r="Y188" s="212">
        <v>1.84</v>
      </c>
      <c r="Z188" s="175" t="s">
        <v>1053</v>
      </c>
      <c r="AA188" s="175"/>
      <c r="AB188" s="175">
        <v>26181</v>
      </c>
      <c r="AC188" s="175"/>
      <c r="AD188" s="175" t="s">
        <v>1058</v>
      </c>
      <c r="AE188" s="175" t="s">
        <v>1059</v>
      </c>
      <c r="AF188" s="209" t="s">
        <v>284</v>
      </c>
      <c r="AG188" s="175"/>
      <c r="AH188" s="209" t="s">
        <v>1060</v>
      </c>
      <c r="AI188" s="175">
        <v>0</v>
      </c>
      <c r="AJ188" s="175">
        <v>0</v>
      </c>
      <c r="AP188" s="206"/>
      <c r="AQ188" s="207"/>
      <c r="AR188" s="207"/>
      <c r="AS188" s="207"/>
      <c r="AT188" s="208"/>
      <c r="AU188" s="207"/>
      <c r="AV188" s="208"/>
    </row>
    <row r="189" spans="2:48" s="205" customFormat="1" ht="15">
      <c r="B189" s="209">
        <v>2183</v>
      </c>
      <c r="C189" s="210">
        <v>224103</v>
      </c>
      <c r="D189" s="209">
        <v>219762</v>
      </c>
      <c r="E189" s="175" t="s">
        <v>888</v>
      </c>
      <c r="F189" s="209"/>
      <c r="G189" s="175"/>
      <c r="H189" s="175"/>
      <c r="I189" s="175"/>
      <c r="J189" s="175">
        <v>0</v>
      </c>
      <c r="K189" s="175" t="s">
        <v>1191</v>
      </c>
      <c r="L189" s="175"/>
      <c r="M189" s="175" t="s">
        <v>1108</v>
      </c>
      <c r="N189" s="211">
        <v>43726</v>
      </c>
      <c r="O189" s="211">
        <v>43726</v>
      </c>
      <c r="P189" s="175" t="s">
        <v>1284</v>
      </c>
      <c r="Q189" s="209">
        <v>500</v>
      </c>
      <c r="R189" s="209">
        <v>14040</v>
      </c>
      <c r="S189" s="212">
        <v>633.95000000000005</v>
      </c>
      <c r="T189" s="209">
        <v>14046</v>
      </c>
      <c r="U189" s="212">
        <v>274.70999999999998</v>
      </c>
      <c r="V189" s="212">
        <f t="shared" si="22"/>
        <v>359.24000000000007</v>
      </c>
      <c r="W189" s="213">
        <v>116.22</v>
      </c>
      <c r="X189" s="209">
        <v>51260</v>
      </c>
      <c r="Y189" s="212">
        <v>10.56</v>
      </c>
      <c r="Z189" s="175" t="s">
        <v>1053</v>
      </c>
      <c r="AA189" s="175"/>
      <c r="AB189" s="175">
        <v>5230502</v>
      </c>
      <c r="AC189" s="175"/>
      <c r="AD189" s="175" t="s">
        <v>1058</v>
      </c>
      <c r="AE189" s="175" t="s">
        <v>1059</v>
      </c>
      <c r="AF189" s="209" t="s">
        <v>284</v>
      </c>
      <c r="AG189" s="175"/>
      <c r="AH189" s="209" t="s">
        <v>1060</v>
      </c>
      <c r="AI189" s="175">
        <v>0</v>
      </c>
      <c r="AJ189" s="175">
        <v>0</v>
      </c>
      <c r="AP189" s="206"/>
      <c r="AQ189" s="207"/>
      <c r="AR189" s="207"/>
      <c r="AS189" s="207"/>
      <c r="AT189" s="208"/>
      <c r="AU189" s="207"/>
      <c r="AV189" s="208"/>
    </row>
    <row r="190" spans="2:48" s="205" customFormat="1" ht="15">
      <c r="B190" s="209">
        <v>2183</v>
      </c>
      <c r="C190" s="210">
        <v>224102</v>
      </c>
      <c r="D190" s="209">
        <v>219761</v>
      </c>
      <c r="E190" s="175" t="s">
        <v>1281</v>
      </c>
      <c r="F190" s="209"/>
      <c r="G190" s="175"/>
      <c r="H190" s="175"/>
      <c r="I190" s="175"/>
      <c r="J190" s="175">
        <v>0</v>
      </c>
      <c r="K190" s="175" t="s">
        <v>1282</v>
      </c>
      <c r="L190" s="175"/>
      <c r="M190" s="175" t="s">
        <v>1108</v>
      </c>
      <c r="N190" s="211">
        <v>43770</v>
      </c>
      <c r="O190" s="211">
        <v>43770</v>
      </c>
      <c r="P190" s="175" t="s">
        <v>1280</v>
      </c>
      <c r="Q190" s="209">
        <v>1000</v>
      </c>
      <c r="R190" s="209">
        <v>14040</v>
      </c>
      <c r="S190" s="212">
        <v>956.38</v>
      </c>
      <c r="T190" s="209">
        <v>14046</v>
      </c>
      <c r="U190" s="212">
        <v>199.25</v>
      </c>
      <c r="V190" s="212">
        <f t="shared" si="22"/>
        <v>757.13</v>
      </c>
      <c r="W190" s="213">
        <v>87.67</v>
      </c>
      <c r="X190" s="209">
        <v>51260</v>
      </c>
      <c r="Y190" s="212">
        <v>7.97</v>
      </c>
      <c r="Z190" s="175" t="s">
        <v>1053</v>
      </c>
      <c r="AA190" s="175"/>
      <c r="AB190" s="175">
        <v>26246</v>
      </c>
      <c r="AC190" s="175"/>
      <c r="AD190" s="175" t="s">
        <v>1058</v>
      </c>
      <c r="AE190" s="175" t="s">
        <v>1059</v>
      </c>
      <c r="AF190" s="209" t="s">
        <v>284</v>
      </c>
      <c r="AG190" s="175"/>
      <c r="AH190" s="209" t="s">
        <v>1060</v>
      </c>
      <c r="AI190" s="175">
        <v>0</v>
      </c>
      <c r="AJ190" s="175">
        <v>0</v>
      </c>
      <c r="AP190" s="206"/>
      <c r="AQ190" s="207"/>
      <c r="AR190" s="207"/>
      <c r="AS190" s="207"/>
      <c r="AT190" s="208"/>
      <c r="AU190" s="207"/>
      <c r="AV190" s="208"/>
    </row>
    <row r="191" spans="2:48" s="205" customFormat="1" ht="15">
      <c r="B191" s="209">
        <v>2183</v>
      </c>
      <c r="C191" s="210">
        <v>224101</v>
      </c>
      <c r="D191" s="209">
        <v>219760</v>
      </c>
      <c r="E191" s="175" t="s">
        <v>888</v>
      </c>
      <c r="F191" s="209"/>
      <c r="G191" s="175"/>
      <c r="H191" s="175"/>
      <c r="I191" s="175"/>
      <c r="J191" s="175">
        <v>0</v>
      </c>
      <c r="K191" s="175" t="s">
        <v>1191</v>
      </c>
      <c r="L191" s="175"/>
      <c r="M191" s="175" t="s">
        <v>1108</v>
      </c>
      <c r="N191" s="211">
        <v>43770</v>
      </c>
      <c r="O191" s="211">
        <v>43770</v>
      </c>
      <c r="P191" s="175" t="s">
        <v>1270</v>
      </c>
      <c r="Q191" s="209">
        <v>500</v>
      </c>
      <c r="R191" s="209">
        <v>14040</v>
      </c>
      <c r="S191" s="212">
        <v>633.95000000000005</v>
      </c>
      <c r="T191" s="209">
        <v>14046</v>
      </c>
      <c r="U191" s="212">
        <v>264.14</v>
      </c>
      <c r="V191" s="212">
        <f t="shared" si="22"/>
        <v>369.81000000000006</v>
      </c>
      <c r="W191" s="213">
        <v>116.22</v>
      </c>
      <c r="X191" s="209">
        <v>51260</v>
      </c>
      <c r="Y191" s="212">
        <v>10.56</v>
      </c>
      <c r="Z191" s="175" t="s">
        <v>1053</v>
      </c>
      <c r="AA191" s="175"/>
      <c r="AB191" s="175">
        <v>5230390</v>
      </c>
      <c r="AC191" s="175"/>
      <c r="AD191" s="175" t="s">
        <v>1058</v>
      </c>
      <c r="AE191" s="175" t="s">
        <v>1059</v>
      </c>
      <c r="AF191" s="209" t="s">
        <v>284</v>
      </c>
      <c r="AG191" s="175"/>
      <c r="AH191" s="209" t="s">
        <v>1060</v>
      </c>
      <c r="AI191" s="175">
        <v>0</v>
      </c>
      <c r="AJ191" s="175">
        <v>0</v>
      </c>
      <c r="AP191" s="206"/>
      <c r="AQ191" s="207"/>
      <c r="AR191" s="207"/>
      <c r="AS191" s="207"/>
      <c r="AT191" s="208"/>
      <c r="AU191" s="207"/>
      <c r="AV191" s="208"/>
    </row>
    <row r="192" spans="2:48" s="205" customFormat="1" ht="15">
      <c r="B192" s="209">
        <v>2183</v>
      </c>
      <c r="C192" s="210">
        <v>223830</v>
      </c>
      <c r="D192" s="209" t="s">
        <v>1053</v>
      </c>
      <c r="E192" s="175" t="s">
        <v>836</v>
      </c>
      <c r="F192" s="209"/>
      <c r="G192" s="175"/>
      <c r="H192" s="175" t="s">
        <v>1285</v>
      </c>
      <c r="I192" s="175"/>
      <c r="J192" s="175">
        <v>2020</v>
      </c>
      <c r="K192" s="175" t="s">
        <v>1196</v>
      </c>
      <c r="L192" s="175" t="s">
        <v>1220</v>
      </c>
      <c r="M192" s="175" t="s">
        <v>1286</v>
      </c>
      <c r="N192" s="211">
        <v>43770</v>
      </c>
      <c r="O192" s="211">
        <v>43770</v>
      </c>
      <c r="P192" s="175" t="s">
        <v>1287</v>
      </c>
      <c r="Q192" s="209">
        <v>1000</v>
      </c>
      <c r="R192" s="209">
        <v>14040</v>
      </c>
      <c r="S192" s="212">
        <v>339497.26</v>
      </c>
      <c r="T192" s="209">
        <v>14046</v>
      </c>
      <c r="U192" s="212">
        <v>70728.61</v>
      </c>
      <c r="V192" s="212">
        <f t="shared" si="22"/>
        <v>268768.65000000002</v>
      </c>
      <c r="W192" s="213">
        <v>31120.59</v>
      </c>
      <c r="X192" s="209">
        <v>51260</v>
      </c>
      <c r="Y192" s="212">
        <v>2829.15</v>
      </c>
      <c r="Z192" s="175" t="s">
        <v>1053</v>
      </c>
      <c r="AA192" s="175"/>
      <c r="AB192" s="175"/>
      <c r="AC192" s="175">
        <v>2056</v>
      </c>
      <c r="AD192" s="175" t="s">
        <v>1058</v>
      </c>
      <c r="AE192" s="175" t="s">
        <v>1059</v>
      </c>
      <c r="AF192" s="209" t="s">
        <v>284</v>
      </c>
      <c r="AG192" s="175"/>
      <c r="AH192" s="209" t="s">
        <v>1060</v>
      </c>
      <c r="AI192" s="175">
        <v>0</v>
      </c>
      <c r="AJ192" s="175">
        <v>0</v>
      </c>
      <c r="AP192" s="206"/>
      <c r="AQ192" s="207"/>
      <c r="AR192" s="207"/>
      <c r="AS192" s="207"/>
      <c r="AT192" s="208"/>
      <c r="AU192" s="207"/>
      <c r="AV192" s="208"/>
    </row>
    <row r="193" spans="2:48" s="205" customFormat="1" ht="15">
      <c r="B193" s="209">
        <v>2183</v>
      </c>
      <c r="C193" s="210">
        <v>223829</v>
      </c>
      <c r="D193" s="209" t="s">
        <v>1053</v>
      </c>
      <c r="E193" s="175" t="s">
        <v>834</v>
      </c>
      <c r="F193" s="209"/>
      <c r="G193" s="175"/>
      <c r="H193" s="175" t="s">
        <v>1288</v>
      </c>
      <c r="I193" s="175"/>
      <c r="J193" s="175">
        <v>2020</v>
      </c>
      <c r="K193" s="175" t="s">
        <v>1196</v>
      </c>
      <c r="L193" s="175" t="s">
        <v>1220</v>
      </c>
      <c r="M193" s="175" t="s">
        <v>1152</v>
      </c>
      <c r="N193" s="211">
        <v>43770</v>
      </c>
      <c r="O193" s="211">
        <v>43770</v>
      </c>
      <c r="P193" s="175" t="s">
        <v>1289</v>
      </c>
      <c r="Q193" s="209">
        <v>1000</v>
      </c>
      <c r="R193" s="209">
        <v>14040</v>
      </c>
      <c r="S193" s="212">
        <v>360730.61</v>
      </c>
      <c r="T193" s="209">
        <v>14046</v>
      </c>
      <c r="U193" s="212">
        <v>75152.210000000006</v>
      </c>
      <c r="V193" s="212">
        <f t="shared" si="22"/>
        <v>285578.39999999997</v>
      </c>
      <c r="W193" s="213">
        <v>33066.97</v>
      </c>
      <c r="X193" s="209">
        <v>51260</v>
      </c>
      <c r="Y193" s="212">
        <v>3006.09</v>
      </c>
      <c r="Z193" s="175" t="s">
        <v>1053</v>
      </c>
      <c r="AA193" s="175"/>
      <c r="AB193" s="175"/>
      <c r="AC193" s="175">
        <v>3693</v>
      </c>
      <c r="AD193" s="175" t="s">
        <v>1058</v>
      </c>
      <c r="AE193" s="175" t="s">
        <v>1059</v>
      </c>
      <c r="AF193" s="209" t="s">
        <v>284</v>
      </c>
      <c r="AG193" s="175"/>
      <c r="AH193" s="209" t="s">
        <v>1060</v>
      </c>
      <c r="AI193" s="175">
        <v>0</v>
      </c>
      <c r="AJ193" s="175">
        <v>0</v>
      </c>
      <c r="AP193" s="206"/>
      <c r="AQ193" s="207"/>
      <c r="AR193" s="207"/>
      <c r="AS193" s="207"/>
      <c r="AT193" s="208"/>
      <c r="AU193" s="207"/>
      <c r="AV193" s="208"/>
    </row>
    <row r="194" spans="2:48" s="205" customFormat="1" ht="15">
      <c r="B194" s="209">
        <v>2183</v>
      </c>
      <c r="C194" s="210">
        <v>223699</v>
      </c>
      <c r="D194" s="209">
        <v>221755</v>
      </c>
      <c r="E194" s="175" t="s">
        <v>731</v>
      </c>
      <c r="F194" s="209"/>
      <c r="G194" s="175"/>
      <c r="H194" s="175"/>
      <c r="I194" s="175"/>
      <c r="J194" s="175">
        <v>0</v>
      </c>
      <c r="K194" s="175" t="s">
        <v>1120</v>
      </c>
      <c r="L194" s="175"/>
      <c r="M194" s="175" t="s">
        <v>1108</v>
      </c>
      <c r="N194" s="211">
        <v>43770</v>
      </c>
      <c r="O194" s="211">
        <v>43770</v>
      </c>
      <c r="P194" s="175" t="s">
        <v>1276</v>
      </c>
      <c r="Q194" s="209">
        <v>500</v>
      </c>
      <c r="R194" s="209">
        <v>14040</v>
      </c>
      <c r="S194" s="212">
        <v>791.55</v>
      </c>
      <c r="T194" s="209">
        <v>14046</v>
      </c>
      <c r="U194" s="212">
        <v>329.82</v>
      </c>
      <c r="V194" s="212">
        <f t="shared" si="22"/>
        <v>461.72999999999996</v>
      </c>
      <c r="W194" s="213">
        <v>145.12</v>
      </c>
      <c r="X194" s="209">
        <v>51260</v>
      </c>
      <c r="Y194" s="212">
        <v>13.19</v>
      </c>
      <c r="Z194" s="175" t="s">
        <v>1053</v>
      </c>
      <c r="AA194" s="175"/>
      <c r="AB194" s="175">
        <v>4335</v>
      </c>
      <c r="AC194" s="175"/>
      <c r="AD194" s="175" t="s">
        <v>1058</v>
      </c>
      <c r="AE194" s="175" t="s">
        <v>1059</v>
      </c>
      <c r="AF194" s="209" t="s">
        <v>284</v>
      </c>
      <c r="AG194" s="175"/>
      <c r="AH194" s="209" t="s">
        <v>1060</v>
      </c>
      <c r="AI194" s="175">
        <v>0</v>
      </c>
      <c r="AJ194" s="175">
        <v>0</v>
      </c>
      <c r="AP194" s="206"/>
      <c r="AQ194" s="207"/>
      <c r="AR194" s="207"/>
      <c r="AS194" s="207"/>
      <c r="AT194" s="208"/>
      <c r="AU194" s="207"/>
      <c r="AV194" s="208"/>
    </row>
    <row r="195" spans="2:48" s="205" customFormat="1" ht="15">
      <c r="B195" s="209">
        <v>2183</v>
      </c>
      <c r="C195" s="210">
        <v>223698</v>
      </c>
      <c r="D195" s="209">
        <v>218238</v>
      </c>
      <c r="E195" s="175" t="s">
        <v>731</v>
      </c>
      <c r="F195" s="209"/>
      <c r="G195" s="175"/>
      <c r="H195" s="175"/>
      <c r="I195" s="175"/>
      <c r="J195" s="175">
        <v>0</v>
      </c>
      <c r="K195" s="175" t="s">
        <v>1120</v>
      </c>
      <c r="L195" s="175"/>
      <c r="M195" s="175" t="s">
        <v>1108</v>
      </c>
      <c r="N195" s="211">
        <v>43620</v>
      </c>
      <c r="O195" s="211">
        <v>43620</v>
      </c>
      <c r="P195" s="175" t="s">
        <v>1290</v>
      </c>
      <c r="Q195" s="209">
        <v>500</v>
      </c>
      <c r="R195" s="209">
        <v>14040</v>
      </c>
      <c r="S195" s="212">
        <v>791.55</v>
      </c>
      <c r="T195" s="209">
        <v>14046</v>
      </c>
      <c r="U195" s="212">
        <v>395.78</v>
      </c>
      <c r="V195" s="212">
        <f t="shared" si="22"/>
        <v>395.77</v>
      </c>
      <c r="W195" s="213">
        <v>145.12</v>
      </c>
      <c r="X195" s="209">
        <v>51260</v>
      </c>
      <c r="Y195" s="212">
        <v>13.19</v>
      </c>
      <c r="Z195" s="175" t="s">
        <v>1053</v>
      </c>
      <c r="AA195" s="175"/>
      <c r="AB195" s="175">
        <v>4334</v>
      </c>
      <c r="AC195" s="175"/>
      <c r="AD195" s="175" t="s">
        <v>1058</v>
      </c>
      <c r="AE195" s="175" t="s">
        <v>1059</v>
      </c>
      <c r="AF195" s="209" t="s">
        <v>284</v>
      </c>
      <c r="AG195" s="175"/>
      <c r="AH195" s="209" t="s">
        <v>1060</v>
      </c>
      <c r="AI195" s="175">
        <v>0</v>
      </c>
      <c r="AJ195" s="175">
        <v>0</v>
      </c>
      <c r="AP195" s="206"/>
      <c r="AQ195" s="207"/>
      <c r="AR195" s="207"/>
      <c r="AS195" s="207"/>
      <c r="AT195" s="208"/>
      <c r="AU195" s="207"/>
      <c r="AV195" s="208"/>
    </row>
    <row r="196" spans="2:48" s="205" customFormat="1" ht="15">
      <c r="B196" s="209">
        <v>2183</v>
      </c>
      <c r="C196" s="210">
        <v>223697</v>
      </c>
      <c r="D196" s="209">
        <v>219763</v>
      </c>
      <c r="E196" s="175" t="s">
        <v>731</v>
      </c>
      <c r="F196" s="209"/>
      <c r="G196" s="175"/>
      <c r="H196" s="175"/>
      <c r="I196" s="175"/>
      <c r="J196" s="175">
        <v>0</v>
      </c>
      <c r="K196" s="175" t="s">
        <v>1120</v>
      </c>
      <c r="L196" s="175"/>
      <c r="M196" s="175" t="s">
        <v>1108</v>
      </c>
      <c r="N196" s="211">
        <v>43770</v>
      </c>
      <c r="O196" s="211">
        <v>43770</v>
      </c>
      <c r="P196" s="175" t="s">
        <v>1278</v>
      </c>
      <c r="Q196" s="209">
        <v>500</v>
      </c>
      <c r="R196" s="209">
        <v>14040</v>
      </c>
      <c r="S196" s="212">
        <v>791.55</v>
      </c>
      <c r="T196" s="209">
        <v>14046</v>
      </c>
      <c r="U196" s="212">
        <v>329.82</v>
      </c>
      <c r="V196" s="212">
        <f t="shared" si="22"/>
        <v>461.72999999999996</v>
      </c>
      <c r="W196" s="213">
        <v>145.12</v>
      </c>
      <c r="X196" s="209">
        <v>51260</v>
      </c>
      <c r="Y196" s="212">
        <v>13.19</v>
      </c>
      <c r="Z196" s="175" t="s">
        <v>1053</v>
      </c>
      <c r="AA196" s="175"/>
      <c r="AB196" s="175">
        <v>4332</v>
      </c>
      <c r="AC196" s="175"/>
      <c r="AD196" s="175" t="s">
        <v>1058</v>
      </c>
      <c r="AE196" s="175" t="s">
        <v>1059</v>
      </c>
      <c r="AF196" s="209" t="s">
        <v>284</v>
      </c>
      <c r="AG196" s="175"/>
      <c r="AH196" s="209" t="s">
        <v>1060</v>
      </c>
      <c r="AI196" s="175">
        <v>0</v>
      </c>
      <c r="AJ196" s="175">
        <v>0</v>
      </c>
      <c r="AP196" s="206"/>
      <c r="AQ196" s="207"/>
      <c r="AR196" s="207"/>
      <c r="AS196" s="207"/>
      <c r="AT196" s="208"/>
      <c r="AU196" s="207"/>
      <c r="AV196" s="208"/>
    </row>
    <row r="197" spans="2:48" s="205" customFormat="1" ht="15">
      <c r="B197" s="209">
        <v>2183</v>
      </c>
      <c r="C197" s="210">
        <v>223696</v>
      </c>
      <c r="D197" s="209">
        <v>219762</v>
      </c>
      <c r="E197" s="175" t="s">
        <v>731</v>
      </c>
      <c r="F197" s="209"/>
      <c r="G197" s="175"/>
      <c r="H197" s="175"/>
      <c r="I197" s="175"/>
      <c r="J197" s="175">
        <v>0</v>
      </c>
      <c r="K197" s="175" t="s">
        <v>1120</v>
      </c>
      <c r="L197" s="175"/>
      <c r="M197" s="175" t="s">
        <v>1108</v>
      </c>
      <c r="N197" s="211">
        <v>43726</v>
      </c>
      <c r="O197" s="211">
        <v>43726</v>
      </c>
      <c r="P197" s="175" t="s">
        <v>1284</v>
      </c>
      <c r="Q197" s="209">
        <v>500</v>
      </c>
      <c r="R197" s="209">
        <v>14040</v>
      </c>
      <c r="S197" s="212">
        <v>791.55</v>
      </c>
      <c r="T197" s="209">
        <v>14046</v>
      </c>
      <c r="U197" s="212">
        <v>343.01</v>
      </c>
      <c r="V197" s="212">
        <f t="shared" si="22"/>
        <v>448.53999999999996</v>
      </c>
      <c r="W197" s="213">
        <v>145.12</v>
      </c>
      <c r="X197" s="209">
        <v>51260</v>
      </c>
      <c r="Y197" s="212">
        <v>13.19</v>
      </c>
      <c r="Z197" s="175" t="s">
        <v>1053</v>
      </c>
      <c r="AA197" s="175"/>
      <c r="AB197" s="175">
        <v>4331</v>
      </c>
      <c r="AC197" s="175"/>
      <c r="AD197" s="175" t="s">
        <v>1058</v>
      </c>
      <c r="AE197" s="175" t="s">
        <v>1059</v>
      </c>
      <c r="AF197" s="209" t="s">
        <v>284</v>
      </c>
      <c r="AG197" s="175"/>
      <c r="AH197" s="209" t="s">
        <v>1060</v>
      </c>
      <c r="AI197" s="175">
        <v>0</v>
      </c>
      <c r="AJ197" s="175">
        <v>0</v>
      </c>
      <c r="AP197" s="206"/>
      <c r="AQ197" s="207"/>
      <c r="AR197" s="207"/>
      <c r="AS197" s="207"/>
      <c r="AT197" s="208"/>
      <c r="AU197" s="207"/>
      <c r="AV197" s="208"/>
    </row>
    <row r="198" spans="2:48" s="205" customFormat="1" ht="15">
      <c r="B198" s="209">
        <v>2183</v>
      </c>
      <c r="C198" s="210">
        <v>223695</v>
      </c>
      <c r="D198" s="209">
        <v>219760</v>
      </c>
      <c r="E198" s="175" t="s">
        <v>731</v>
      </c>
      <c r="F198" s="209"/>
      <c r="G198" s="175"/>
      <c r="H198" s="175"/>
      <c r="I198" s="175"/>
      <c r="J198" s="175">
        <v>0</v>
      </c>
      <c r="K198" s="175" t="s">
        <v>1120</v>
      </c>
      <c r="L198" s="175"/>
      <c r="M198" s="175" t="s">
        <v>1108</v>
      </c>
      <c r="N198" s="211">
        <v>43770</v>
      </c>
      <c r="O198" s="211">
        <v>43770</v>
      </c>
      <c r="P198" s="175" t="s">
        <v>1270</v>
      </c>
      <c r="Q198" s="209">
        <v>500</v>
      </c>
      <c r="R198" s="209">
        <v>14040</v>
      </c>
      <c r="S198" s="212">
        <v>791.55</v>
      </c>
      <c r="T198" s="209">
        <v>14046</v>
      </c>
      <c r="U198" s="212">
        <v>329.82</v>
      </c>
      <c r="V198" s="212">
        <f t="shared" si="22"/>
        <v>461.72999999999996</v>
      </c>
      <c r="W198" s="213">
        <v>145.12</v>
      </c>
      <c r="X198" s="209">
        <v>51260</v>
      </c>
      <c r="Y198" s="212">
        <v>13.19</v>
      </c>
      <c r="Z198" s="175" t="s">
        <v>1053</v>
      </c>
      <c r="AA198" s="175"/>
      <c r="AB198" s="175">
        <v>4333</v>
      </c>
      <c r="AC198" s="175"/>
      <c r="AD198" s="175" t="s">
        <v>1058</v>
      </c>
      <c r="AE198" s="175" t="s">
        <v>1059</v>
      </c>
      <c r="AF198" s="209" t="s">
        <v>284</v>
      </c>
      <c r="AG198" s="175"/>
      <c r="AH198" s="209" t="s">
        <v>1060</v>
      </c>
      <c r="AI198" s="175">
        <v>0</v>
      </c>
      <c r="AJ198" s="175">
        <v>0</v>
      </c>
      <c r="AP198" s="206"/>
      <c r="AQ198" s="207"/>
      <c r="AR198" s="207"/>
      <c r="AS198" s="207"/>
      <c r="AT198" s="208"/>
      <c r="AU198" s="207"/>
      <c r="AV198" s="208"/>
    </row>
    <row r="199" spans="2:48" s="205" customFormat="1" ht="15">
      <c r="B199" s="209">
        <v>2183</v>
      </c>
      <c r="C199" s="210">
        <v>223127</v>
      </c>
      <c r="D199" s="209" t="s">
        <v>1053</v>
      </c>
      <c r="E199" s="175" t="s">
        <v>1291</v>
      </c>
      <c r="F199" s="209">
        <v>77</v>
      </c>
      <c r="G199" s="175"/>
      <c r="H199" s="175"/>
      <c r="I199" s="175"/>
      <c r="J199" s="175">
        <v>0</v>
      </c>
      <c r="K199" s="175"/>
      <c r="L199" s="175"/>
      <c r="M199" s="175" t="s">
        <v>1136</v>
      </c>
      <c r="N199" s="211">
        <v>43770</v>
      </c>
      <c r="O199" s="211">
        <v>43770</v>
      </c>
      <c r="P199" s="175" t="s">
        <v>1216</v>
      </c>
      <c r="Q199" s="209">
        <v>0</v>
      </c>
      <c r="R199" s="209">
        <v>14050</v>
      </c>
      <c r="S199" s="212">
        <v>0</v>
      </c>
      <c r="T199" s="209">
        <v>14056</v>
      </c>
      <c r="U199" s="212">
        <v>0</v>
      </c>
      <c r="V199" s="212">
        <f t="shared" si="22"/>
        <v>0</v>
      </c>
      <c r="W199" s="213">
        <v>0</v>
      </c>
      <c r="X199" s="209">
        <v>54260</v>
      </c>
      <c r="Y199" s="212">
        <v>0</v>
      </c>
      <c r="Z199" s="175" t="s">
        <v>1053</v>
      </c>
      <c r="AA199" s="175"/>
      <c r="AB199" s="175"/>
      <c r="AC199" s="175"/>
      <c r="AD199" s="175" t="s">
        <v>1058</v>
      </c>
      <c r="AE199" s="175" t="s">
        <v>1059</v>
      </c>
      <c r="AF199" s="209" t="s">
        <v>1217</v>
      </c>
      <c r="AG199" s="175"/>
      <c r="AH199" s="209" t="s">
        <v>1060</v>
      </c>
      <c r="AI199" s="175">
        <v>0</v>
      </c>
      <c r="AJ199" s="175">
        <v>0</v>
      </c>
      <c r="AP199" s="206"/>
      <c r="AQ199" s="207"/>
      <c r="AR199" s="207"/>
      <c r="AS199" s="207"/>
      <c r="AT199" s="208"/>
      <c r="AU199" s="207"/>
      <c r="AV199" s="208"/>
    </row>
    <row r="200" spans="2:48" s="205" customFormat="1" ht="15">
      <c r="B200" s="209">
        <v>2183</v>
      </c>
      <c r="C200" s="210">
        <v>222715</v>
      </c>
      <c r="D200" s="209">
        <v>219763</v>
      </c>
      <c r="E200" s="175" t="s">
        <v>1292</v>
      </c>
      <c r="F200" s="209"/>
      <c r="G200" s="175"/>
      <c r="H200" s="175"/>
      <c r="I200" s="175"/>
      <c r="J200" s="175">
        <v>2020</v>
      </c>
      <c r="K200" s="175" t="s">
        <v>1293</v>
      </c>
      <c r="L200" s="175"/>
      <c r="M200" s="175" t="s">
        <v>1108</v>
      </c>
      <c r="N200" s="211">
        <v>43770</v>
      </c>
      <c r="O200" s="211">
        <v>43770</v>
      </c>
      <c r="P200" s="175" t="s">
        <v>1278</v>
      </c>
      <c r="Q200" s="209">
        <v>1000</v>
      </c>
      <c r="R200" s="209">
        <v>14040</v>
      </c>
      <c r="S200" s="212">
        <v>71276.72</v>
      </c>
      <c r="T200" s="209">
        <v>14046</v>
      </c>
      <c r="U200" s="212">
        <v>14849.32</v>
      </c>
      <c r="V200" s="212">
        <f t="shared" si="22"/>
        <v>56427.4</v>
      </c>
      <c r="W200" s="213">
        <v>6533.7</v>
      </c>
      <c r="X200" s="209">
        <v>51260</v>
      </c>
      <c r="Y200" s="212">
        <v>593.97</v>
      </c>
      <c r="Z200" s="175" t="s">
        <v>1053</v>
      </c>
      <c r="AA200" s="175"/>
      <c r="AB200" s="175">
        <v>4103237</v>
      </c>
      <c r="AC200" s="175"/>
      <c r="AD200" s="175" t="s">
        <v>1058</v>
      </c>
      <c r="AE200" s="175" t="s">
        <v>1059</v>
      </c>
      <c r="AF200" s="209" t="s">
        <v>284</v>
      </c>
      <c r="AG200" s="175"/>
      <c r="AH200" s="209" t="s">
        <v>1060</v>
      </c>
      <c r="AI200" s="175">
        <v>0</v>
      </c>
      <c r="AJ200" s="175">
        <v>0</v>
      </c>
      <c r="AP200" s="206"/>
      <c r="AQ200" s="207"/>
      <c r="AR200" s="207"/>
      <c r="AS200" s="207"/>
      <c r="AT200" s="208"/>
      <c r="AU200" s="207"/>
      <c r="AV200" s="208"/>
    </row>
    <row r="201" spans="2:48" s="205" customFormat="1" ht="15">
      <c r="B201" s="209">
        <v>2183</v>
      </c>
      <c r="C201" s="210">
        <v>222714</v>
      </c>
      <c r="D201" s="209">
        <v>219760</v>
      </c>
      <c r="E201" s="175" t="s">
        <v>1294</v>
      </c>
      <c r="F201" s="209"/>
      <c r="G201" s="175"/>
      <c r="H201" s="175"/>
      <c r="I201" s="175"/>
      <c r="J201" s="175">
        <v>2020</v>
      </c>
      <c r="K201" s="175" t="s">
        <v>1293</v>
      </c>
      <c r="L201" s="175"/>
      <c r="M201" s="175" t="s">
        <v>1108</v>
      </c>
      <c r="N201" s="211">
        <v>43770</v>
      </c>
      <c r="O201" s="211">
        <v>43770</v>
      </c>
      <c r="P201" s="175" t="s">
        <v>1270</v>
      </c>
      <c r="Q201" s="209">
        <v>1000</v>
      </c>
      <c r="R201" s="209">
        <v>14040</v>
      </c>
      <c r="S201" s="212">
        <v>175977.73</v>
      </c>
      <c r="T201" s="209">
        <v>14046</v>
      </c>
      <c r="U201" s="212">
        <v>36661.980000000003</v>
      </c>
      <c r="V201" s="212">
        <f t="shared" si="22"/>
        <v>139315.75</v>
      </c>
      <c r="W201" s="213">
        <v>16131.27</v>
      </c>
      <c r="X201" s="209">
        <v>51260</v>
      </c>
      <c r="Y201" s="212">
        <v>1466.48</v>
      </c>
      <c r="Z201" s="175" t="s">
        <v>1053</v>
      </c>
      <c r="AA201" s="175"/>
      <c r="AB201" s="175">
        <v>4103213</v>
      </c>
      <c r="AC201" s="175"/>
      <c r="AD201" s="175" t="s">
        <v>1058</v>
      </c>
      <c r="AE201" s="175" t="s">
        <v>1059</v>
      </c>
      <c r="AF201" s="209" t="s">
        <v>284</v>
      </c>
      <c r="AG201" s="175"/>
      <c r="AH201" s="209" t="s">
        <v>1060</v>
      </c>
      <c r="AI201" s="175">
        <v>0</v>
      </c>
      <c r="AJ201" s="175">
        <v>0</v>
      </c>
      <c r="AP201" s="206"/>
      <c r="AQ201" s="207"/>
      <c r="AR201" s="207"/>
      <c r="AS201" s="207"/>
      <c r="AT201" s="208"/>
      <c r="AU201" s="207"/>
      <c r="AV201" s="208"/>
    </row>
    <row r="202" spans="2:48" s="205" customFormat="1" ht="15">
      <c r="B202" s="209">
        <v>2183</v>
      </c>
      <c r="C202" s="210">
        <v>222161</v>
      </c>
      <c r="D202" s="209">
        <v>219336</v>
      </c>
      <c r="E202" s="175" t="s">
        <v>1295</v>
      </c>
      <c r="F202" s="209"/>
      <c r="G202" s="175"/>
      <c r="H202" s="175"/>
      <c r="I202" s="175"/>
      <c r="J202" s="175">
        <v>0</v>
      </c>
      <c r="K202" s="175" t="s">
        <v>1222</v>
      </c>
      <c r="L202" s="175"/>
      <c r="M202" s="175" t="s">
        <v>1108</v>
      </c>
      <c r="N202" s="211">
        <v>43712</v>
      </c>
      <c r="O202" s="211">
        <v>43712</v>
      </c>
      <c r="P202" s="175" t="s">
        <v>1296</v>
      </c>
      <c r="Q202" s="209">
        <v>500</v>
      </c>
      <c r="R202" s="209">
        <v>14040</v>
      </c>
      <c r="S202" s="212">
        <v>2471.54</v>
      </c>
      <c r="T202" s="209">
        <v>14046</v>
      </c>
      <c r="U202" s="212">
        <v>1112.2</v>
      </c>
      <c r="V202" s="212">
        <f t="shared" si="22"/>
        <v>1359.34</v>
      </c>
      <c r="W202" s="213">
        <v>453.12</v>
      </c>
      <c r="X202" s="209">
        <v>51260</v>
      </c>
      <c r="Y202" s="212">
        <v>41.19</v>
      </c>
      <c r="Z202" s="175" t="s">
        <v>1053</v>
      </c>
      <c r="AA202" s="175"/>
      <c r="AB202" s="175" t="s">
        <v>1297</v>
      </c>
      <c r="AC202" s="175"/>
      <c r="AD202" s="175" t="s">
        <v>1058</v>
      </c>
      <c r="AE202" s="175" t="s">
        <v>1059</v>
      </c>
      <c r="AF202" s="209" t="s">
        <v>284</v>
      </c>
      <c r="AG202" s="175"/>
      <c r="AH202" s="209" t="s">
        <v>1060</v>
      </c>
      <c r="AI202" s="175">
        <v>0</v>
      </c>
      <c r="AJ202" s="175">
        <v>0</v>
      </c>
      <c r="AP202" s="206"/>
      <c r="AQ202" s="207"/>
      <c r="AR202" s="207"/>
      <c r="AS202" s="207"/>
      <c r="AT202" s="208"/>
      <c r="AU202" s="207"/>
      <c r="AV202" s="208"/>
    </row>
    <row r="203" spans="2:48" s="205" customFormat="1" ht="15">
      <c r="B203" s="209">
        <v>2183</v>
      </c>
      <c r="C203" s="210">
        <v>222160</v>
      </c>
      <c r="D203" s="209">
        <v>219762</v>
      </c>
      <c r="E203" s="175" t="s">
        <v>1298</v>
      </c>
      <c r="F203" s="209"/>
      <c r="G203" s="175"/>
      <c r="H203" s="175" t="s">
        <v>1299</v>
      </c>
      <c r="I203" s="175"/>
      <c r="J203" s="175">
        <v>2020</v>
      </c>
      <c r="K203" s="175" t="s">
        <v>1222</v>
      </c>
      <c r="L203" s="175"/>
      <c r="M203" s="175" t="s">
        <v>1108</v>
      </c>
      <c r="N203" s="211">
        <v>43726</v>
      </c>
      <c r="O203" s="211">
        <v>43726</v>
      </c>
      <c r="P203" s="175" t="s">
        <v>1284</v>
      </c>
      <c r="Q203" s="209">
        <v>1000</v>
      </c>
      <c r="R203" s="209">
        <v>14040</v>
      </c>
      <c r="S203" s="212">
        <v>4598.5</v>
      </c>
      <c r="T203" s="209">
        <v>14046</v>
      </c>
      <c r="U203" s="212">
        <v>996.34</v>
      </c>
      <c r="V203" s="212">
        <f t="shared" si="22"/>
        <v>3602.16</v>
      </c>
      <c r="W203" s="213">
        <v>421.53</v>
      </c>
      <c r="X203" s="209">
        <v>51260</v>
      </c>
      <c r="Y203" s="212">
        <v>38.32</v>
      </c>
      <c r="Z203" s="175" t="s">
        <v>1053</v>
      </c>
      <c r="AA203" s="175"/>
      <c r="AB203" s="175" t="s">
        <v>1300</v>
      </c>
      <c r="AC203" s="175"/>
      <c r="AD203" s="175" t="s">
        <v>1058</v>
      </c>
      <c r="AE203" s="175" t="s">
        <v>1059</v>
      </c>
      <c r="AF203" s="209" t="s">
        <v>284</v>
      </c>
      <c r="AG203" s="175"/>
      <c r="AH203" s="209" t="s">
        <v>1060</v>
      </c>
      <c r="AI203" s="175">
        <v>0</v>
      </c>
      <c r="AJ203" s="175">
        <v>0</v>
      </c>
      <c r="AP203" s="206"/>
      <c r="AQ203" s="207"/>
      <c r="AR203" s="207"/>
      <c r="AS203" s="207"/>
      <c r="AT203" s="208"/>
      <c r="AU203" s="207"/>
      <c r="AV203" s="208"/>
    </row>
    <row r="204" spans="2:48" s="205" customFormat="1" ht="15">
      <c r="B204" s="209">
        <v>2183</v>
      </c>
      <c r="C204" s="210">
        <v>222098</v>
      </c>
      <c r="D204" s="209">
        <v>174009</v>
      </c>
      <c r="E204" s="175" t="s">
        <v>1301</v>
      </c>
      <c r="F204" s="209"/>
      <c r="G204" s="175"/>
      <c r="H204" s="175"/>
      <c r="I204" s="175"/>
      <c r="J204" s="175">
        <v>0</v>
      </c>
      <c r="K204" s="175" t="s">
        <v>1302</v>
      </c>
      <c r="L204" s="175"/>
      <c r="M204" s="175" t="s">
        <v>1303</v>
      </c>
      <c r="N204" s="211">
        <v>42277</v>
      </c>
      <c r="O204" s="211">
        <v>42277</v>
      </c>
      <c r="P204" s="175" t="s">
        <v>1304</v>
      </c>
      <c r="Q204" s="209">
        <v>300</v>
      </c>
      <c r="R204" s="209">
        <v>14040</v>
      </c>
      <c r="S204" s="212">
        <v>18252.93</v>
      </c>
      <c r="T204" s="209">
        <v>14046</v>
      </c>
      <c r="U204" s="212">
        <v>18252.93</v>
      </c>
      <c r="V204" s="212">
        <f t="shared" si="22"/>
        <v>0</v>
      </c>
      <c r="W204" s="213">
        <v>0</v>
      </c>
      <c r="X204" s="209">
        <v>51260</v>
      </c>
      <c r="Y204" s="212">
        <v>0</v>
      </c>
      <c r="Z204" s="175" t="s">
        <v>1053</v>
      </c>
      <c r="AA204" s="175"/>
      <c r="AB204" s="175" t="s">
        <v>1305</v>
      </c>
      <c r="AC204" s="175"/>
      <c r="AD204" s="175" t="s">
        <v>1058</v>
      </c>
      <c r="AE204" s="175" t="s">
        <v>1059</v>
      </c>
      <c r="AF204" s="209" t="s">
        <v>284</v>
      </c>
      <c r="AG204" s="214">
        <v>43738</v>
      </c>
      <c r="AH204" s="209" t="s">
        <v>1060</v>
      </c>
      <c r="AI204" s="175">
        <v>0</v>
      </c>
      <c r="AJ204" s="175">
        <v>18252.93</v>
      </c>
      <c r="AP204" s="206"/>
      <c r="AQ204" s="207"/>
      <c r="AR204" s="207"/>
      <c r="AS204" s="207"/>
      <c r="AT204" s="208"/>
      <c r="AU204" s="207"/>
      <c r="AV204" s="208"/>
    </row>
    <row r="205" spans="2:48" s="205" customFormat="1" ht="15">
      <c r="B205" s="209">
        <v>2183</v>
      </c>
      <c r="C205" s="210">
        <v>222097</v>
      </c>
      <c r="D205" s="209" t="s">
        <v>1053</v>
      </c>
      <c r="E205" s="175" t="s">
        <v>1306</v>
      </c>
      <c r="F205" s="209">
        <v>0</v>
      </c>
      <c r="G205" s="175"/>
      <c r="H205" s="175" t="s">
        <v>1307</v>
      </c>
      <c r="I205" s="175"/>
      <c r="J205" s="175">
        <v>2002</v>
      </c>
      <c r="K205" s="175" t="s">
        <v>1308</v>
      </c>
      <c r="L205" s="175" t="s">
        <v>1309</v>
      </c>
      <c r="M205" s="175" t="s">
        <v>1310</v>
      </c>
      <c r="N205" s="211">
        <v>39755</v>
      </c>
      <c r="O205" s="211">
        <v>39755</v>
      </c>
      <c r="P205" s="175"/>
      <c r="Q205" s="209">
        <v>300</v>
      </c>
      <c r="R205" s="209">
        <v>14040</v>
      </c>
      <c r="S205" s="212">
        <v>36500</v>
      </c>
      <c r="T205" s="209">
        <v>14046</v>
      </c>
      <c r="U205" s="212">
        <v>36500</v>
      </c>
      <c r="V205" s="212">
        <f t="shared" si="22"/>
        <v>0</v>
      </c>
      <c r="W205" s="213">
        <v>0</v>
      </c>
      <c r="X205" s="209">
        <v>51260</v>
      </c>
      <c r="Y205" s="212">
        <v>0</v>
      </c>
      <c r="Z205" s="175" t="s">
        <v>1059</v>
      </c>
      <c r="AA205" s="175" t="s">
        <v>1140</v>
      </c>
      <c r="AB205" s="175"/>
      <c r="AC205" s="175">
        <v>9183</v>
      </c>
      <c r="AD205" s="175" t="s">
        <v>1058</v>
      </c>
      <c r="AE205" s="175" t="s">
        <v>1059</v>
      </c>
      <c r="AF205" s="209" t="s">
        <v>284</v>
      </c>
      <c r="AG205" s="214">
        <v>43738</v>
      </c>
      <c r="AH205" s="209" t="s">
        <v>1060</v>
      </c>
      <c r="AI205" s="175">
        <v>0</v>
      </c>
      <c r="AJ205" s="175">
        <v>36500</v>
      </c>
      <c r="AP205" s="206"/>
      <c r="AQ205" s="207"/>
      <c r="AR205" s="207"/>
      <c r="AS205" s="207"/>
      <c r="AT205" s="208"/>
      <c r="AU205" s="207"/>
      <c r="AV205" s="208"/>
    </row>
    <row r="206" spans="2:48" s="205" customFormat="1" ht="15">
      <c r="B206" s="209">
        <v>2183</v>
      </c>
      <c r="C206" s="210">
        <v>222096</v>
      </c>
      <c r="D206" s="209">
        <v>174007</v>
      </c>
      <c r="E206" s="175" t="s">
        <v>1311</v>
      </c>
      <c r="F206" s="209"/>
      <c r="G206" s="175"/>
      <c r="H206" s="175"/>
      <c r="I206" s="175"/>
      <c r="J206" s="175">
        <v>0</v>
      </c>
      <c r="K206" s="175" t="s">
        <v>1302</v>
      </c>
      <c r="L206" s="175"/>
      <c r="M206" s="175" t="s">
        <v>1303</v>
      </c>
      <c r="N206" s="211">
        <v>42277</v>
      </c>
      <c r="O206" s="211">
        <v>42277</v>
      </c>
      <c r="P206" s="175" t="s">
        <v>1312</v>
      </c>
      <c r="Q206" s="209">
        <v>300</v>
      </c>
      <c r="R206" s="209">
        <v>14040</v>
      </c>
      <c r="S206" s="212">
        <v>19982.97</v>
      </c>
      <c r="T206" s="209">
        <v>14046</v>
      </c>
      <c r="U206" s="212">
        <v>19982.97</v>
      </c>
      <c r="V206" s="212">
        <f t="shared" ref="V206:V269" si="23">S206-U206</f>
        <v>0</v>
      </c>
      <c r="W206" s="213">
        <v>0</v>
      </c>
      <c r="X206" s="209">
        <v>51260</v>
      </c>
      <c r="Y206" s="212">
        <v>0</v>
      </c>
      <c r="Z206" s="175" t="s">
        <v>1053</v>
      </c>
      <c r="AA206" s="175"/>
      <c r="AB206" s="175" t="s">
        <v>1313</v>
      </c>
      <c r="AC206" s="175"/>
      <c r="AD206" s="175" t="s">
        <v>1058</v>
      </c>
      <c r="AE206" s="175" t="s">
        <v>1059</v>
      </c>
      <c r="AF206" s="209" t="s">
        <v>284</v>
      </c>
      <c r="AG206" s="214">
        <v>43738</v>
      </c>
      <c r="AH206" s="209" t="s">
        <v>1060</v>
      </c>
      <c r="AI206" s="175">
        <v>0</v>
      </c>
      <c r="AJ206" s="175">
        <v>19982.97</v>
      </c>
      <c r="AP206" s="206"/>
      <c r="AQ206" s="207"/>
      <c r="AR206" s="207"/>
      <c r="AS206" s="207"/>
      <c r="AT206" s="208"/>
      <c r="AU206" s="207"/>
      <c r="AV206" s="208"/>
    </row>
    <row r="207" spans="2:48" s="205" customFormat="1" ht="15">
      <c r="B207" s="209">
        <v>2183</v>
      </c>
      <c r="C207" s="210">
        <v>222095</v>
      </c>
      <c r="D207" s="209" t="s">
        <v>1053</v>
      </c>
      <c r="E207" s="175" t="s">
        <v>1314</v>
      </c>
      <c r="F207" s="209">
        <v>0</v>
      </c>
      <c r="G207" s="175"/>
      <c r="H207" s="175" t="s">
        <v>1315</v>
      </c>
      <c r="I207" s="175"/>
      <c r="J207" s="175">
        <v>2002</v>
      </c>
      <c r="K207" s="175" t="s">
        <v>1316</v>
      </c>
      <c r="L207" s="175" t="s">
        <v>1309</v>
      </c>
      <c r="M207" s="175" t="s">
        <v>1317</v>
      </c>
      <c r="N207" s="211">
        <v>39755</v>
      </c>
      <c r="O207" s="211">
        <v>39755</v>
      </c>
      <c r="P207" s="175"/>
      <c r="Q207" s="209">
        <v>300</v>
      </c>
      <c r="R207" s="209">
        <v>14040</v>
      </c>
      <c r="S207" s="212">
        <v>13500</v>
      </c>
      <c r="T207" s="209">
        <v>14046</v>
      </c>
      <c r="U207" s="212">
        <v>13500</v>
      </c>
      <c r="V207" s="212">
        <f t="shared" si="23"/>
        <v>0</v>
      </c>
      <c r="W207" s="213">
        <v>0</v>
      </c>
      <c r="X207" s="209">
        <v>51260</v>
      </c>
      <c r="Y207" s="212">
        <v>0</v>
      </c>
      <c r="Z207" s="175" t="s">
        <v>1059</v>
      </c>
      <c r="AA207" s="175" t="s">
        <v>1140</v>
      </c>
      <c r="AB207" s="175"/>
      <c r="AC207" s="175">
        <v>8496</v>
      </c>
      <c r="AD207" s="175" t="s">
        <v>1058</v>
      </c>
      <c r="AE207" s="175" t="s">
        <v>1059</v>
      </c>
      <c r="AF207" s="209" t="s">
        <v>284</v>
      </c>
      <c r="AG207" s="214">
        <v>43738</v>
      </c>
      <c r="AH207" s="209" t="s">
        <v>1060</v>
      </c>
      <c r="AI207" s="175">
        <v>0</v>
      </c>
      <c r="AJ207" s="175">
        <v>13500</v>
      </c>
      <c r="AP207" s="206"/>
      <c r="AQ207" s="207"/>
      <c r="AR207" s="207"/>
      <c r="AS207" s="207"/>
      <c r="AT207" s="208"/>
      <c r="AU207" s="207"/>
      <c r="AV207" s="208"/>
    </row>
    <row r="208" spans="2:48" s="205" customFormat="1" ht="15">
      <c r="B208" s="209">
        <v>2183</v>
      </c>
      <c r="C208" s="210">
        <v>222012</v>
      </c>
      <c r="D208" s="209">
        <v>219761</v>
      </c>
      <c r="E208" s="175" t="s">
        <v>1294</v>
      </c>
      <c r="F208" s="209"/>
      <c r="G208" s="175"/>
      <c r="H208" s="175" t="s">
        <v>1318</v>
      </c>
      <c r="I208" s="175"/>
      <c r="J208" s="175">
        <v>2020</v>
      </c>
      <c r="K208" s="175" t="s">
        <v>1293</v>
      </c>
      <c r="L208" s="175"/>
      <c r="M208" s="175" t="s">
        <v>1108</v>
      </c>
      <c r="N208" s="211">
        <v>43739</v>
      </c>
      <c r="O208" s="211">
        <v>43739</v>
      </c>
      <c r="P208" s="175" t="s">
        <v>1280</v>
      </c>
      <c r="Q208" s="209">
        <v>1000</v>
      </c>
      <c r="R208" s="209">
        <v>14040</v>
      </c>
      <c r="S208" s="212">
        <v>175977.73</v>
      </c>
      <c r="T208" s="209">
        <v>14046</v>
      </c>
      <c r="U208" s="212">
        <v>38128.46</v>
      </c>
      <c r="V208" s="212">
        <f t="shared" si="23"/>
        <v>137849.27000000002</v>
      </c>
      <c r="W208" s="213">
        <v>16131.27</v>
      </c>
      <c r="X208" s="209">
        <v>51260</v>
      </c>
      <c r="Y208" s="212">
        <v>1466.48</v>
      </c>
      <c r="Z208" s="175" t="s">
        <v>1053</v>
      </c>
      <c r="AA208" s="175"/>
      <c r="AB208" s="175">
        <v>4103214</v>
      </c>
      <c r="AC208" s="175"/>
      <c r="AD208" s="175" t="s">
        <v>1058</v>
      </c>
      <c r="AE208" s="175" t="s">
        <v>1059</v>
      </c>
      <c r="AF208" s="209" t="s">
        <v>284</v>
      </c>
      <c r="AG208" s="175"/>
      <c r="AH208" s="209" t="s">
        <v>1060</v>
      </c>
      <c r="AI208" s="175">
        <v>0</v>
      </c>
      <c r="AJ208" s="175">
        <v>0</v>
      </c>
      <c r="AP208" s="206"/>
      <c r="AQ208" s="207"/>
      <c r="AR208" s="207"/>
      <c r="AS208" s="207"/>
      <c r="AT208" s="208"/>
      <c r="AU208" s="207"/>
      <c r="AV208" s="208"/>
    </row>
    <row r="209" spans="1:48" s="205" customFormat="1" ht="15">
      <c r="A209" s="145"/>
      <c r="B209" s="166">
        <v>2183</v>
      </c>
      <c r="C209" s="167">
        <v>221755</v>
      </c>
      <c r="D209" s="166" t="s">
        <v>1053</v>
      </c>
      <c r="E209" s="168" t="s">
        <v>834</v>
      </c>
      <c r="F209" s="166"/>
      <c r="G209" s="168"/>
      <c r="H209" s="168" t="s">
        <v>1319</v>
      </c>
      <c r="I209" s="168"/>
      <c r="J209" s="168">
        <v>2020</v>
      </c>
      <c r="K209" s="168" t="s">
        <v>1196</v>
      </c>
      <c r="L209" s="168" t="s">
        <v>1220</v>
      </c>
      <c r="M209" s="168" t="s">
        <v>1152</v>
      </c>
      <c r="N209" s="169">
        <v>43769</v>
      </c>
      <c r="O209" s="169">
        <v>43769</v>
      </c>
      <c r="P209" s="168" t="s">
        <v>1320</v>
      </c>
      <c r="Q209" s="166">
        <v>1000</v>
      </c>
      <c r="R209" s="166">
        <v>14040</v>
      </c>
      <c r="S209" s="170">
        <v>361686.99</v>
      </c>
      <c r="T209" s="166">
        <v>14046</v>
      </c>
      <c r="U209" s="170">
        <v>75351.460000000006</v>
      </c>
      <c r="V209" s="170">
        <f t="shared" si="23"/>
        <v>286335.52999999997</v>
      </c>
      <c r="W209" s="171">
        <v>33154.639999999999</v>
      </c>
      <c r="X209" s="166">
        <v>51260</v>
      </c>
      <c r="Y209" s="170">
        <v>3014.06</v>
      </c>
      <c r="Z209" s="168" t="s">
        <v>1053</v>
      </c>
      <c r="AA209" s="168"/>
      <c r="AB209" s="168"/>
      <c r="AC209" s="168">
        <v>3691</v>
      </c>
      <c r="AD209" s="168" t="s">
        <v>1058</v>
      </c>
      <c r="AE209" s="168" t="s">
        <v>1059</v>
      </c>
      <c r="AF209" s="166" t="s">
        <v>284</v>
      </c>
      <c r="AG209" s="168"/>
      <c r="AH209" s="166" t="s">
        <v>1060</v>
      </c>
      <c r="AI209" s="168">
        <v>0</v>
      </c>
      <c r="AJ209" s="168">
        <v>0</v>
      </c>
      <c r="AP209" s="206"/>
      <c r="AQ209" s="207"/>
      <c r="AR209" s="207"/>
      <c r="AS209" s="207"/>
      <c r="AT209" s="208"/>
      <c r="AU209" s="207"/>
      <c r="AV209" s="208"/>
    </row>
    <row r="210" spans="1:48" s="205" customFormat="1" ht="15">
      <c r="A210" s="145"/>
      <c r="B210" s="166">
        <v>2183</v>
      </c>
      <c r="C210" s="167">
        <v>221711</v>
      </c>
      <c r="D210" s="166" t="s">
        <v>1053</v>
      </c>
      <c r="E210" s="168" t="s">
        <v>821</v>
      </c>
      <c r="F210" s="166">
        <v>475</v>
      </c>
      <c r="G210" s="168"/>
      <c r="H210" s="168"/>
      <c r="I210" s="168"/>
      <c r="J210" s="168">
        <v>0</v>
      </c>
      <c r="K210" s="168" t="s">
        <v>1241</v>
      </c>
      <c r="L210" s="168"/>
      <c r="M210" s="168" t="s">
        <v>1069</v>
      </c>
      <c r="N210" s="169">
        <v>43725</v>
      </c>
      <c r="O210" s="169">
        <v>43725</v>
      </c>
      <c r="P210" s="168" t="s">
        <v>1321</v>
      </c>
      <c r="Q210" s="166">
        <v>700</v>
      </c>
      <c r="R210" s="166">
        <v>14050</v>
      </c>
      <c r="S210" s="170">
        <v>16956.259999999998</v>
      </c>
      <c r="T210" s="166">
        <v>14056</v>
      </c>
      <c r="U210" s="170">
        <v>5248.36</v>
      </c>
      <c r="V210" s="170">
        <f t="shared" si="23"/>
        <v>11707.899999999998</v>
      </c>
      <c r="W210" s="171">
        <v>2220.46</v>
      </c>
      <c r="X210" s="166">
        <v>54260</v>
      </c>
      <c r="Y210" s="170">
        <v>201.86</v>
      </c>
      <c r="Z210" s="168" t="s">
        <v>1053</v>
      </c>
      <c r="AA210" s="168"/>
      <c r="AB210" s="168">
        <v>65625738</v>
      </c>
      <c r="AC210" s="168"/>
      <c r="AD210" s="168" t="s">
        <v>1058</v>
      </c>
      <c r="AE210" s="168" t="s">
        <v>1059</v>
      </c>
      <c r="AF210" s="166" t="s">
        <v>284</v>
      </c>
      <c r="AG210" s="168"/>
      <c r="AH210" s="166" t="s">
        <v>1060</v>
      </c>
      <c r="AI210" s="168">
        <v>0</v>
      </c>
      <c r="AJ210" s="168">
        <v>0</v>
      </c>
      <c r="AP210" s="206"/>
      <c r="AQ210" s="207"/>
      <c r="AR210" s="207"/>
      <c r="AS210" s="207"/>
      <c r="AT210" s="208"/>
      <c r="AU210" s="207"/>
      <c r="AV210" s="208"/>
    </row>
    <row r="211" spans="1:48" s="205" customFormat="1" ht="15">
      <c r="A211" s="145"/>
      <c r="B211" s="166">
        <v>2183</v>
      </c>
      <c r="C211" s="167">
        <v>221710</v>
      </c>
      <c r="D211" s="166" t="s">
        <v>1053</v>
      </c>
      <c r="E211" s="168" t="s">
        <v>735</v>
      </c>
      <c r="F211" s="166">
        <v>945</v>
      </c>
      <c r="G211" s="168"/>
      <c r="H211" s="168"/>
      <c r="I211" s="168"/>
      <c r="J211" s="168">
        <v>0</v>
      </c>
      <c r="K211" s="168" t="s">
        <v>1241</v>
      </c>
      <c r="L211" s="168"/>
      <c r="M211" s="168" t="s">
        <v>1069</v>
      </c>
      <c r="N211" s="169">
        <v>43725</v>
      </c>
      <c r="O211" s="169">
        <v>43725</v>
      </c>
      <c r="P211" s="168" t="s">
        <v>1321</v>
      </c>
      <c r="Q211" s="166">
        <v>700</v>
      </c>
      <c r="R211" s="166">
        <v>14050</v>
      </c>
      <c r="S211" s="170">
        <v>37349.120000000003</v>
      </c>
      <c r="T211" s="166">
        <v>14056</v>
      </c>
      <c r="U211" s="170">
        <v>11560.45</v>
      </c>
      <c r="V211" s="170">
        <f t="shared" si="23"/>
        <v>25788.670000000002</v>
      </c>
      <c r="W211" s="171">
        <v>4890.96</v>
      </c>
      <c r="X211" s="166">
        <v>54260</v>
      </c>
      <c r="Y211" s="170">
        <v>444.63</v>
      </c>
      <c r="Z211" s="168" t="s">
        <v>1053</v>
      </c>
      <c r="AA211" s="168"/>
      <c r="AB211" s="168">
        <v>65624147</v>
      </c>
      <c r="AC211" s="168"/>
      <c r="AD211" s="168" t="s">
        <v>1058</v>
      </c>
      <c r="AE211" s="168" t="s">
        <v>1059</v>
      </c>
      <c r="AF211" s="166" t="s">
        <v>284</v>
      </c>
      <c r="AG211" s="168"/>
      <c r="AH211" s="166" t="s">
        <v>1060</v>
      </c>
      <c r="AI211" s="168">
        <v>0</v>
      </c>
      <c r="AJ211" s="168">
        <v>0</v>
      </c>
      <c r="AP211" s="206"/>
      <c r="AQ211" s="207"/>
      <c r="AR211" s="207"/>
      <c r="AS211" s="207"/>
      <c r="AT211" s="208"/>
      <c r="AU211" s="207"/>
      <c r="AV211" s="208"/>
    </row>
    <row r="212" spans="1:48" s="205" customFormat="1" ht="15">
      <c r="A212" s="145"/>
      <c r="B212" s="166">
        <v>2183</v>
      </c>
      <c r="C212" s="167">
        <v>221709</v>
      </c>
      <c r="D212" s="166" t="s">
        <v>1053</v>
      </c>
      <c r="E212" s="168" t="s">
        <v>736</v>
      </c>
      <c r="F212" s="166">
        <v>312</v>
      </c>
      <c r="G212" s="168"/>
      <c r="H212" s="168"/>
      <c r="I212" s="168"/>
      <c r="J212" s="168">
        <v>0</v>
      </c>
      <c r="K212" s="168" t="s">
        <v>1241</v>
      </c>
      <c r="L212" s="168"/>
      <c r="M212" s="168" t="s">
        <v>1069</v>
      </c>
      <c r="N212" s="169">
        <v>43725</v>
      </c>
      <c r="O212" s="169">
        <v>43725</v>
      </c>
      <c r="P212" s="168" t="s">
        <v>1321</v>
      </c>
      <c r="Q212" s="166">
        <v>700</v>
      </c>
      <c r="R212" s="166">
        <v>14050</v>
      </c>
      <c r="S212" s="170">
        <v>15229.77</v>
      </c>
      <c r="T212" s="166">
        <v>14056</v>
      </c>
      <c r="U212" s="170">
        <v>4713.97</v>
      </c>
      <c r="V212" s="170">
        <f t="shared" si="23"/>
        <v>10515.8</v>
      </c>
      <c r="W212" s="171">
        <v>1994.37</v>
      </c>
      <c r="X212" s="166">
        <v>54260</v>
      </c>
      <c r="Y212" s="170">
        <v>181.3</v>
      </c>
      <c r="Z212" s="168" t="s">
        <v>1053</v>
      </c>
      <c r="AA212" s="168"/>
      <c r="AB212" s="168">
        <v>65625244</v>
      </c>
      <c r="AC212" s="168"/>
      <c r="AD212" s="168" t="s">
        <v>1058</v>
      </c>
      <c r="AE212" s="168" t="s">
        <v>1059</v>
      </c>
      <c r="AF212" s="166" t="s">
        <v>284</v>
      </c>
      <c r="AG212" s="168"/>
      <c r="AH212" s="166" t="s">
        <v>1060</v>
      </c>
      <c r="AI212" s="168">
        <v>0</v>
      </c>
      <c r="AJ212" s="168">
        <v>0</v>
      </c>
      <c r="AP212" s="206"/>
      <c r="AQ212" s="207"/>
      <c r="AR212" s="207"/>
      <c r="AS212" s="207"/>
      <c r="AT212" s="208"/>
      <c r="AU212" s="207"/>
      <c r="AV212" s="208"/>
    </row>
    <row r="213" spans="1:48" s="205" customFormat="1" ht="15">
      <c r="A213" s="145"/>
      <c r="B213" s="166">
        <v>2183</v>
      </c>
      <c r="C213" s="167">
        <v>221429</v>
      </c>
      <c r="D213" s="166" t="s">
        <v>1053</v>
      </c>
      <c r="E213" s="168" t="s">
        <v>1322</v>
      </c>
      <c r="F213" s="166">
        <v>624</v>
      </c>
      <c r="G213" s="168"/>
      <c r="H213" s="168"/>
      <c r="I213" s="168"/>
      <c r="J213" s="168">
        <v>0</v>
      </c>
      <c r="K213" s="168" t="s">
        <v>1241</v>
      </c>
      <c r="L213" s="168"/>
      <c r="M213" s="168" t="s">
        <v>1069</v>
      </c>
      <c r="N213" s="169">
        <v>43725</v>
      </c>
      <c r="O213" s="169">
        <v>43725</v>
      </c>
      <c r="P213" s="168" t="s">
        <v>1321</v>
      </c>
      <c r="Q213" s="166">
        <v>700</v>
      </c>
      <c r="R213" s="166">
        <v>14050</v>
      </c>
      <c r="S213" s="170">
        <v>30459.55</v>
      </c>
      <c r="T213" s="166">
        <v>14056</v>
      </c>
      <c r="U213" s="170">
        <v>9427.9699999999993</v>
      </c>
      <c r="V213" s="170">
        <f t="shared" si="23"/>
        <v>21031.58</v>
      </c>
      <c r="W213" s="171">
        <v>3988.76</v>
      </c>
      <c r="X213" s="166">
        <v>54260</v>
      </c>
      <c r="Y213" s="170">
        <v>362.62</v>
      </c>
      <c r="Z213" s="168" t="s">
        <v>1053</v>
      </c>
      <c r="AA213" s="168"/>
      <c r="AB213" s="168">
        <v>65623938</v>
      </c>
      <c r="AC213" s="168"/>
      <c r="AD213" s="168" t="s">
        <v>1058</v>
      </c>
      <c r="AE213" s="168" t="s">
        <v>1059</v>
      </c>
      <c r="AF213" s="166" t="s">
        <v>284</v>
      </c>
      <c r="AG213" s="168"/>
      <c r="AH213" s="166" t="s">
        <v>1060</v>
      </c>
      <c r="AI213" s="168">
        <v>0</v>
      </c>
      <c r="AJ213" s="168">
        <v>0</v>
      </c>
      <c r="AP213" s="206"/>
      <c r="AQ213" s="207"/>
      <c r="AR213" s="207"/>
      <c r="AS213" s="207"/>
      <c r="AT213" s="208"/>
      <c r="AU213" s="207"/>
      <c r="AV213" s="208"/>
    </row>
    <row r="214" spans="1:48" s="205" customFormat="1" ht="15">
      <c r="A214" s="145"/>
      <c r="B214" s="166">
        <v>2183</v>
      </c>
      <c r="C214" s="167">
        <v>221428</v>
      </c>
      <c r="D214" s="166" t="s">
        <v>1053</v>
      </c>
      <c r="E214" s="168" t="s">
        <v>737</v>
      </c>
      <c r="F214" s="166">
        <v>864</v>
      </c>
      <c r="G214" s="168"/>
      <c r="H214" s="168"/>
      <c r="I214" s="168"/>
      <c r="J214" s="168">
        <v>0</v>
      </c>
      <c r="K214" s="168" t="s">
        <v>1241</v>
      </c>
      <c r="L214" s="168"/>
      <c r="M214" s="168" t="s">
        <v>1069</v>
      </c>
      <c r="N214" s="169">
        <v>43725</v>
      </c>
      <c r="O214" s="169">
        <v>43725</v>
      </c>
      <c r="P214" s="168" t="s">
        <v>1321</v>
      </c>
      <c r="Q214" s="166">
        <v>700</v>
      </c>
      <c r="R214" s="166">
        <v>14050</v>
      </c>
      <c r="S214" s="170">
        <v>38397.360000000001</v>
      </c>
      <c r="T214" s="166">
        <v>14056</v>
      </c>
      <c r="U214" s="170">
        <v>11884.89</v>
      </c>
      <c r="V214" s="170">
        <f t="shared" si="23"/>
        <v>26512.47</v>
      </c>
      <c r="W214" s="171">
        <v>5028.22</v>
      </c>
      <c r="X214" s="166">
        <v>54260</v>
      </c>
      <c r="Y214" s="170">
        <v>457.11</v>
      </c>
      <c r="Z214" s="168" t="s">
        <v>1053</v>
      </c>
      <c r="AA214" s="168"/>
      <c r="AB214" s="168">
        <v>65624146</v>
      </c>
      <c r="AC214" s="168"/>
      <c r="AD214" s="168" t="s">
        <v>1058</v>
      </c>
      <c r="AE214" s="168" t="s">
        <v>1059</v>
      </c>
      <c r="AF214" s="166" t="s">
        <v>284</v>
      </c>
      <c r="AG214" s="168"/>
      <c r="AH214" s="166" t="s">
        <v>1060</v>
      </c>
      <c r="AI214" s="168">
        <v>0</v>
      </c>
      <c r="AJ214" s="168">
        <v>0</v>
      </c>
      <c r="AP214" s="206"/>
      <c r="AQ214" s="207"/>
      <c r="AR214" s="207"/>
      <c r="AS214" s="207"/>
      <c r="AT214" s="208"/>
      <c r="AU214" s="207"/>
      <c r="AV214" s="208"/>
    </row>
    <row r="215" spans="1:48" s="205" customFormat="1" ht="15">
      <c r="A215" s="145"/>
      <c r="B215" s="166">
        <v>2183</v>
      </c>
      <c r="C215" s="167">
        <v>221427</v>
      </c>
      <c r="D215" s="166" t="s">
        <v>1053</v>
      </c>
      <c r="E215" s="168" t="s">
        <v>1263</v>
      </c>
      <c r="F215" s="166">
        <v>624</v>
      </c>
      <c r="G215" s="168"/>
      <c r="H215" s="168"/>
      <c r="I215" s="168"/>
      <c r="J215" s="168">
        <v>0</v>
      </c>
      <c r="K215" s="168" t="s">
        <v>1241</v>
      </c>
      <c r="L215" s="168"/>
      <c r="M215" s="168" t="s">
        <v>1069</v>
      </c>
      <c r="N215" s="169">
        <v>43725</v>
      </c>
      <c r="O215" s="169">
        <v>43725</v>
      </c>
      <c r="P215" s="168" t="s">
        <v>1321</v>
      </c>
      <c r="Q215" s="166">
        <v>700</v>
      </c>
      <c r="R215" s="166">
        <v>14050</v>
      </c>
      <c r="S215" s="170">
        <v>30459.55</v>
      </c>
      <c r="T215" s="166">
        <v>14056</v>
      </c>
      <c r="U215" s="170">
        <v>9427.9699999999993</v>
      </c>
      <c r="V215" s="170">
        <f t="shared" si="23"/>
        <v>21031.58</v>
      </c>
      <c r="W215" s="171">
        <v>3988.76</v>
      </c>
      <c r="X215" s="166">
        <v>54260</v>
      </c>
      <c r="Y215" s="170">
        <v>362.62</v>
      </c>
      <c r="Z215" s="168" t="s">
        <v>1053</v>
      </c>
      <c r="AA215" s="168"/>
      <c r="AB215" s="168">
        <v>65622660</v>
      </c>
      <c r="AC215" s="168"/>
      <c r="AD215" s="168" t="s">
        <v>1058</v>
      </c>
      <c r="AE215" s="168" t="s">
        <v>1059</v>
      </c>
      <c r="AF215" s="166" t="s">
        <v>284</v>
      </c>
      <c r="AG215" s="168"/>
      <c r="AH215" s="166" t="s">
        <v>1060</v>
      </c>
      <c r="AI215" s="168">
        <v>0</v>
      </c>
      <c r="AJ215" s="168">
        <v>0</v>
      </c>
      <c r="AP215" s="206"/>
      <c r="AQ215" s="207"/>
      <c r="AR215" s="207"/>
      <c r="AS215" s="207"/>
      <c r="AT215" s="208"/>
      <c r="AU215" s="207"/>
      <c r="AV215" s="208"/>
    </row>
    <row r="216" spans="1:48" s="205" customFormat="1" ht="15">
      <c r="A216" s="145"/>
      <c r="B216" s="166">
        <v>2183</v>
      </c>
      <c r="C216" s="167">
        <v>221315</v>
      </c>
      <c r="D216" s="166" t="s">
        <v>1053</v>
      </c>
      <c r="E216" s="168" t="s">
        <v>1323</v>
      </c>
      <c r="F216" s="166">
        <v>14</v>
      </c>
      <c r="G216" s="168"/>
      <c r="H216" s="168"/>
      <c r="I216" s="168"/>
      <c r="J216" s="168">
        <v>0</v>
      </c>
      <c r="K216" s="168" t="s">
        <v>1155</v>
      </c>
      <c r="L216" s="168"/>
      <c r="M216" s="168" t="s">
        <v>1129</v>
      </c>
      <c r="N216" s="169">
        <v>41547</v>
      </c>
      <c r="O216" s="169">
        <v>41547</v>
      </c>
      <c r="P216" s="168" t="s">
        <v>1324</v>
      </c>
      <c r="Q216" s="166">
        <v>1200</v>
      </c>
      <c r="R216" s="166">
        <v>14050</v>
      </c>
      <c r="S216" s="170">
        <v>6199.2</v>
      </c>
      <c r="T216" s="166">
        <v>14056</v>
      </c>
      <c r="U216" s="170">
        <v>4218.8999999999996</v>
      </c>
      <c r="V216" s="170">
        <f t="shared" si="23"/>
        <v>1980.3000000000002</v>
      </c>
      <c r="W216" s="171">
        <v>473.55</v>
      </c>
      <c r="X216" s="166">
        <v>54260</v>
      </c>
      <c r="Y216" s="170">
        <v>43.05</v>
      </c>
      <c r="Z216" s="168" t="s">
        <v>1053</v>
      </c>
      <c r="AA216" s="168"/>
      <c r="AB216" s="168">
        <v>87085</v>
      </c>
      <c r="AC216" s="168"/>
      <c r="AD216" s="168" t="s">
        <v>1058</v>
      </c>
      <c r="AE216" s="168" t="s">
        <v>1059</v>
      </c>
      <c r="AF216" s="166" t="s">
        <v>284</v>
      </c>
      <c r="AG216" s="216">
        <v>43738</v>
      </c>
      <c r="AH216" s="166" t="s">
        <v>1060</v>
      </c>
      <c r="AI216" s="168">
        <v>0</v>
      </c>
      <c r="AJ216" s="168">
        <v>3099.6</v>
      </c>
      <c r="AP216" s="206"/>
      <c r="AQ216" s="207"/>
      <c r="AR216" s="207"/>
      <c r="AS216" s="207"/>
      <c r="AT216" s="208"/>
      <c r="AU216" s="207"/>
      <c r="AV216" s="208"/>
    </row>
    <row r="217" spans="1:48" s="205" customFormat="1" ht="15">
      <c r="A217" s="145"/>
      <c r="B217" s="166">
        <v>2183</v>
      </c>
      <c r="C217" s="167">
        <v>221314</v>
      </c>
      <c r="D217" s="166" t="s">
        <v>1053</v>
      </c>
      <c r="E217" s="168" t="s">
        <v>1325</v>
      </c>
      <c r="F217" s="166">
        <v>54</v>
      </c>
      <c r="G217" s="168"/>
      <c r="H217" s="168"/>
      <c r="I217" s="168"/>
      <c r="J217" s="168">
        <v>0</v>
      </c>
      <c r="K217" s="168"/>
      <c r="L217" s="168"/>
      <c r="M217" s="168" t="s">
        <v>1207</v>
      </c>
      <c r="N217" s="169">
        <v>39755</v>
      </c>
      <c r="O217" s="169">
        <v>39755</v>
      </c>
      <c r="P217" s="168"/>
      <c r="Q217" s="166">
        <v>1200</v>
      </c>
      <c r="R217" s="166">
        <v>14050</v>
      </c>
      <c r="S217" s="170">
        <v>17280</v>
      </c>
      <c r="T217" s="166">
        <v>14056</v>
      </c>
      <c r="U217" s="170">
        <v>17280</v>
      </c>
      <c r="V217" s="170">
        <f t="shared" si="23"/>
        <v>0</v>
      </c>
      <c r="W217" s="171">
        <v>0</v>
      </c>
      <c r="X217" s="166">
        <v>54260</v>
      </c>
      <c r="Y217" s="170">
        <v>0</v>
      </c>
      <c r="Z217" s="168" t="s">
        <v>1059</v>
      </c>
      <c r="AA217" s="168" t="s">
        <v>1140</v>
      </c>
      <c r="AB217" s="168"/>
      <c r="AC217" s="168"/>
      <c r="AD217" s="168" t="s">
        <v>1058</v>
      </c>
      <c r="AE217" s="168" t="s">
        <v>1059</v>
      </c>
      <c r="AF217" s="166" t="s">
        <v>284</v>
      </c>
      <c r="AG217" s="216">
        <v>43738</v>
      </c>
      <c r="AH217" s="166" t="s">
        <v>1060</v>
      </c>
      <c r="AI217" s="168">
        <v>0</v>
      </c>
      <c r="AJ217" s="168">
        <v>15720</v>
      </c>
      <c r="AP217" s="206"/>
      <c r="AQ217" s="207"/>
      <c r="AR217" s="207"/>
      <c r="AS217" s="207"/>
      <c r="AT217" s="208"/>
      <c r="AU217" s="207"/>
      <c r="AV217" s="208"/>
    </row>
    <row r="218" spans="1:48" s="205" customFormat="1" ht="15">
      <c r="A218" s="145"/>
      <c r="B218" s="166">
        <v>2183</v>
      </c>
      <c r="C218" s="167">
        <v>221313</v>
      </c>
      <c r="D218" s="166" t="s">
        <v>1053</v>
      </c>
      <c r="E218" s="168" t="s">
        <v>1326</v>
      </c>
      <c r="F218" s="166">
        <v>13</v>
      </c>
      <c r="G218" s="168"/>
      <c r="H218" s="168"/>
      <c r="I218" s="168"/>
      <c r="J218" s="168">
        <v>0</v>
      </c>
      <c r="K218" s="168" t="s">
        <v>1155</v>
      </c>
      <c r="L218" s="168"/>
      <c r="M218" s="168" t="s">
        <v>1129</v>
      </c>
      <c r="N218" s="169">
        <v>41851</v>
      </c>
      <c r="O218" s="169">
        <v>41851</v>
      </c>
      <c r="P218" s="168" t="s">
        <v>1327</v>
      </c>
      <c r="Q218" s="166">
        <v>1200</v>
      </c>
      <c r="R218" s="166">
        <v>14050</v>
      </c>
      <c r="S218" s="170">
        <v>5854.68</v>
      </c>
      <c r="T218" s="166">
        <v>14056</v>
      </c>
      <c r="U218" s="170">
        <v>3577.86</v>
      </c>
      <c r="V218" s="170">
        <f t="shared" si="23"/>
        <v>2276.8200000000002</v>
      </c>
      <c r="W218" s="171">
        <v>447.23</v>
      </c>
      <c r="X218" s="166">
        <v>54260</v>
      </c>
      <c r="Y218" s="170">
        <v>40.65</v>
      </c>
      <c r="Z218" s="168" t="s">
        <v>1053</v>
      </c>
      <c r="AA218" s="168"/>
      <c r="AB218" s="168">
        <v>96918</v>
      </c>
      <c r="AC218" s="168"/>
      <c r="AD218" s="168" t="s">
        <v>1058</v>
      </c>
      <c r="AE218" s="168" t="s">
        <v>1059</v>
      </c>
      <c r="AF218" s="166" t="s">
        <v>284</v>
      </c>
      <c r="AG218" s="216">
        <v>43738</v>
      </c>
      <c r="AH218" s="166" t="s">
        <v>1060</v>
      </c>
      <c r="AI218" s="168">
        <v>0</v>
      </c>
      <c r="AJ218" s="168">
        <v>2520.77</v>
      </c>
      <c r="AP218" s="206"/>
      <c r="AQ218" s="207"/>
      <c r="AR218" s="207"/>
      <c r="AS218" s="207"/>
      <c r="AT218" s="208"/>
      <c r="AU218" s="207"/>
      <c r="AV218" s="208"/>
    </row>
    <row r="219" spans="1:48" s="205" customFormat="1" ht="15">
      <c r="A219" s="145"/>
      <c r="B219" s="166">
        <v>2183</v>
      </c>
      <c r="C219" s="167">
        <v>221312</v>
      </c>
      <c r="D219" s="166" t="s">
        <v>1053</v>
      </c>
      <c r="E219" s="168" t="s">
        <v>1328</v>
      </c>
      <c r="F219" s="166">
        <v>32</v>
      </c>
      <c r="G219" s="168"/>
      <c r="H219" s="168"/>
      <c r="I219" s="168"/>
      <c r="J219" s="168">
        <v>0</v>
      </c>
      <c r="K219" s="168"/>
      <c r="L219" s="168"/>
      <c r="M219" s="168" t="s">
        <v>1139</v>
      </c>
      <c r="N219" s="169">
        <v>39755</v>
      </c>
      <c r="O219" s="169">
        <v>39755</v>
      </c>
      <c r="P219" s="168"/>
      <c r="Q219" s="166">
        <v>1200</v>
      </c>
      <c r="R219" s="166">
        <v>14050</v>
      </c>
      <c r="S219" s="170">
        <v>7360</v>
      </c>
      <c r="T219" s="166">
        <v>14056</v>
      </c>
      <c r="U219" s="170">
        <v>7360</v>
      </c>
      <c r="V219" s="170">
        <f t="shared" si="23"/>
        <v>0</v>
      </c>
      <c r="W219" s="171">
        <v>0</v>
      </c>
      <c r="X219" s="166">
        <v>54260</v>
      </c>
      <c r="Y219" s="170">
        <v>0</v>
      </c>
      <c r="Z219" s="168" t="s">
        <v>1059</v>
      </c>
      <c r="AA219" s="168" t="s">
        <v>1140</v>
      </c>
      <c r="AB219" s="168"/>
      <c r="AC219" s="168"/>
      <c r="AD219" s="168" t="s">
        <v>1058</v>
      </c>
      <c r="AE219" s="168" t="s">
        <v>1059</v>
      </c>
      <c r="AF219" s="166" t="s">
        <v>284</v>
      </c>
      <c r="AG219" s="216">
        <v>43738</v>
      </c>
      <c r="AH219" s="166" t="s">
        <v>1060</v>
      </c>
      <c r="AI219" s="168">
        <v>0</v>
      </c>
      <c r="AJ219" s="168">
        <v>6695.53</v>
      </c>
      <c r="AP219" s="206"/>
      <c r="AQ219" s="207"/>
      <c r="AR219" s="207"/>
      <c r="AS219" s="207"/>
      <c r="AT219" s="208"/>
      <c r="AU219" s="207"/>
      <c r="AV219" s="208"/>
    </row>
    <row r="220" spans="1:48" s="205" customFormat="1" ht="15">
      <c r="A220" s="145"/>
      <c r="B220" s="166">
        <v>2183</v>
      </c>
      <c r="C220" s="167">
        <v>220531</v>
      </c>
      <c r="D220" s="166">
        <v>114306</v>
      </c>
      <c r="E220" s="168" t="s">
        <v>1329</v>
      </c>
      <c r="F220" s="166"/>
      <c r="G220" s="168"/>
      <c r="H220" s="168"/>
      <c r="I220" s="168"/>
      <c r="J220" s="168">
        <v>0</v>
      </c>
      <c r="K220" s="168" t="s">
        <v>1330</v>
      </c>
      <c r="L220" s="168"/>
      <c r="M220" s="168" t="s">
        <v>1108</v>
      </c>
      <c r="N220" s="169">
        <v>43649</v>
      </c>
      <c r="O220" s="169">
        <v>43649</v>
      </c>
      <c r="P220" s="168" t="s">
        <v>1331</v>
      </c>
      <c r="Q220" s="166">
        <v>300</v>
      </c>
      <c r="R220" s="166">
        <v>14040</v>
      </c>
      <c r="S220" s="170">
        <v>11853.69</v>
      </c>
      <c r="T220" s="166">
        <v>14046</v>
      </c>
      <c r="U220" s="170">
        <v>9548.81</v>
      </c>
      <c r="V220" s="170">
        <f t="shared" si="23"/>
        <v>2304.880000000001</v>
      </c>
      <c r="W220" s="171">
        <v>3621.96</v>
      </c>
      <c r="X220" s="166">
        <v>51260</v>
      </c>
      <c r="Y220" s="170">
        <v>329.27</v>
      </c>
      <c r="Z220" s="168" t="s">
        <v>1053</v>
      </c>
      <c r="AA220" s="168"/>
      <c r="AB220" s="168" t="s">
        <v>1332</v>
      </c>
      <c r="AC220" s="168"/>
      <c r="AD220" s="168" t="s">
        <v>1058</v>
      </c>
      <c r="AE220" s="168" t="s">
        <v>1059</v>
      </c>
      <c r="AF220" s="166" t="s">
        <v>284</v>
      </c>
      <c r="AG220" s="168"/>
      <c r="AH220" s="166" t="s">
        <v>1060</v>
      </c>
      <c r="AI220" s="168">
        <v>0</v>
      </c>
      <c r="AJ220" s="168">
        <v>0</v>
      </c>
      <c r="AP220" s="206"/>
      <c r="AQ220" s="207"/>
      <c r="AR220" s="207"/>
      <c r="AS220" s="207"/>
      <c r="AT220" s="208"/>
      <c r="AU220" s="207"/>
      <c r="AV220" s="208"/>
    </row>
    <row r="221" spans="1:48" s="205" customFormat="1" ht="15">
      <c r="A221" s="145"/>
      <c r="B221" s="166">
        <v>2183</v>
      </c>
      <c r="C221" s="167">
        <v>220530</v>
      </c>
      <c r="D221" s="166">
        <v>218238</v>
      </c>
      <c r="E221" s="168" t="s">
        <v>1333</v>
      </c>
      <c r="F221" s="166"/>
      <c r="G221" s="168"/>
      <c r="H221" s="168"/>
      <c r="I221" s="168"/>
      <c r="J221" s="168">
        <v>0</v>
      </c>
      <c r="K221" s="168" t="s">
        <v>1334</v>
      </c>
      <c r="L221" s="168"/>
      <c r="M221" s="168" t="s">
        <v>1108</v>
      </c>
      <c r="N221" s="169">
        <v>43620</v>
      </c>
      <c r="O221" s="169">
        <v>43620</v>
      </c>
      <c r="P221" s="168" t="s">
        <v>1290</v>
      </c>
      <c r="Q221" s="166">
        <v>500</v>
      </c>
      <c r="R221" s="166">
        <v>14040</v>
      </c>
      <c r="S221" s="170">
        <v>456.88</v>
      </c>
      <c r="T221" s="166">
        <v>14046</v>
      </c>
      <c r="U221" s="170">
        <v>228.45</v>
      </c>
      <c r="V221" s="170">
        <f t="shared" si="23"/>
        <v>228.43</v>
      </c>
      <c r="W221" s="171">
        <v>83.77</v>
      </c>
      <c r="X221" s="166">
        <v>51260</v>
      </c>
      <c r="Y221" s="170">
        <v>7.62</v>
      </c>
      <c r="Z221" s="168" t="s">
        <v>1053</v>
      </c>
      <c r="AA221" s="168"/>
      <c r="AB221" s="168">
        <v>5208742</v>
      </c>
      <c r="AC221" s="168"/>
      <c r="AD221" s="168" t="s">
        <v>1058</v>
      </c>
      <c r="AE221" s="168" t="s">
        <v>1059</v>
      </c>
      <c r="AF221" s="166" t="s">
        <v>284</v>
      </c>
      <c r="AG221" s="168"/>
      <c r="AH221" s="166" t="s">
        <v>1060</v>
      </c>
      <c r="AI221" s="168">
        <v>0</v>
      </c>
      <c r="AJ221" s="168">
        <v>0</v>
      </c>
      <c r="AP221" s="206"/>
      <c r="AQ221" s="207"/>
      <c r="AR221" s="207"/>
      <c r="AS221" s="207"/>
      <c r="AT221" s="208"/>
      <c r="AU221" s="207"/>
      <c r="AV221" s="208"/>
    </row>
    <row r="222" spans="1:48" s="205" customFormat="1" ht="15">
      <c r="A222" s="145"/>
      <c r="B222" s="166">
        <v>2183</v>
      </c>
      <c r="C222" s="167">
        <v>220529</v>
      </c>
      <c r="D222" s="166">
        <v>219762</v>
      </c>
      <c r="E222" s="168" t="s">
        <v>729</v>
      </c>
      <c r="F222" s="166"/>
      <c r="G222" s="168"/>
      <c r="H222" s="168"/>
      <c r="I222" s="168"/>
      <c r="J222" s="168">
        <v>0</v>
      </c>
      <c r="K222" s="168" t="s">
        <v>1268</v>
      </c>
      <c r="L222" s="168"/>
      <c r="M222" s="168" t="s">
        <v>1108</v>
      </c>
      <c r="N222" s="169">
        <v>43726</v>
      </c>
      <c r="O222" s="169">
        <v>43726</v>
      </c>
      <c r="P222" s="168" t="s">
        <v>1284</v>
      </c>
      <c r="Q222" s="166">
        <v>1000</v>
      </c>
      <c r="R222" s="166">
        <v>14040</v>
      </c>
      <c r="S222" s="170">
        <v>220.79</v>
      </c>
      <c r="T222" s="166">
        <v>14046</v>
      </c>
      <c r="U222" s="170">
        <v>47.84</v>
      </c>
      <c r="V222" s="170">
        <f t="shared" si="23"/>
        <v>172.95</v>
      </c>
      <c r="W222" s="171">
        <v>20.239999999999998</v>
      </c>
      <c r="X222" s="166">
        <v>51260</v>
      </c>
      <c r="Y222" s="170">
        <v>1.84</v>
      </c>
      <c r="Z222" s="168" t="s">
        <v>1053</v>
      </c>
      <c r="AA222" s="168"/>
      <c r="AB222" s="168">
        <v>25947</v>
      </c>
      <c r="AC222" s="168"/>
      <c r="AD222" s="168" t="s">
        <v>1058</v>
      </c>
      <c r="AE222" s="168" t="s">
        <v>1059</v>
      </c>
      <c r="AF222" s="166" t="s">
        <v>284</v>
      </c>
      <c r="AG222" s="168"/>
      <c r="AH222" s="166" t="s">
        <v>1060</v>
      </c>
      <c r="AI222" s="168">
        <v>0</v>
      </c>
      <c r="AJ222" s="168">
        <v>0</v>
      </c>
      <c r="AP222" s="206"/>
      <c r="AQ222" s="207"/>
      <c r="AR222" s="207"/>
      <c r="AS222" s="207"/>
      <c r="AT222" s="208"/>
      <c r="AU222" s="207"/>
      <c r="AV222" s="208"/>
    </row>
    <row r="223" spans="1:48" s="205" customFormat="1" ht="15">
      <c r="A223" s="145"/>
      <c r="B223" s="166">
        <v>2183</v>
      </c>
      <c r="C223" s="167">
        <v>220528</v>
      </c>
      <c r="D223" s="166">
        <v>218237</v>
      </c>
      <c r="E223" s="168" t="s">
        <v>1333</v>
      </c>
      <c r="F223" s="166"/>
      <c r="G223" s="168"/>
      <c r="H223" s="168"/>
      <c r="I223" s="168"/>
      <c r="J223" s="168">
        <v>0</v>
      </c>
      <c r="K223" s="168" t="s">
        <v>1334</v>
      </c>
      <c r="L223" s="168"/>
      <c r="M223" s="168" t="s">
        <v>1108</v>
      </c>
      <c r="N223" s="169">
        <v>43630</v>
      </c>
      <c r="O223" s="169">
        <v>43630</v>
      </c>
      <c r="P223" s="168" t="s">
        <v>1335</v>
      </c>
      <c r="Q223" s="166">
        <v>500</v>
      </c>
      <c r="R223" s="166">
        <v>14040</v>
      </c>
      <c r="S223" s="170">
        <v>456.88</v>
      </c>
      <c r="T223" s="166">
        <v>14046</v>
      </c>
      <c r="U223" s="170">
        <v>228.45</v>
      </c>
      <c r="V223" s="170">
        <f t="shared" si="23"/>
        <v>228.43</v>
      </c>
      <c r="W223" s="171">
        <v>83.77</v>
      </c>
      <c r="X223" s="166">
        <v>51260</v>
      </c>
      <c r="Y223" s="170">
        <v>7.62</v>
      </c>
      <c r="Z223" s="168" t="s">
        <v>1053</v>
      </c>
      <c r="AA223" s="168"/>
      <c r="AB223" s="168">
        <v>5208751</v>
      </c>
      <c r="AC223" s="168"/>
      <c r="AD223" s="168" t="s">
        <v>1058</v>
      </c>
      <c r="AE223" s="168" t="s">
        <v>1059</v>
      </c>
      <c r="AF223" s="166" t="s">
        <v>284</v>
      </c>
      <c r="AG223" s="168"/>
      <c r="AH223" s="166" t="s">
        <v>1060</v>
      </c>
      <c r="AI223" s="168">
        <v>0</v>
      </c>
      <c r="AJ223" s="168">
        <v>0</v>
      </c>
      <c r="AP223" s="206"/>
      <c r="AQ223" s="207"/>
      <c r="AR223" s="207"/>
      <c r="AS223" s="207"/>
      <c r="AT223" s="208"/>
      <c r="AU223" s="207"/>
      <c r="AV223" s="208"/>
    </row>
    <row r="224" spans="1:48" s="205" customFormat="1" ht="15">
      <c r="A224" s="145"/>
      <c r="B224" s="166">
        <v>2183</v>
      </c>
      <c r="C224" s="167">
        <v>219763</v>
      </c>
      <c r="D224" s="166" t="s">
        <v>1053</v>
      </c>
      <c r="E224" s="168" t="s">
        <v>1336</v>
      </c>
      <c r="F224" s="166"/>
      <c r="G224" s="168"/>
      <c r="H224" s="168" t="s">
        <v>1337</v>
      </c>
      <c r="I224" s="168"/>
      <c r="J224" s="168">
        <v>2020</v>
      </c>
      <c r="K224" s="168" t="s">
        <v>1196</v>
      </c>
      <c r="L224" s="168" t="s">
        <v>1231</v>
      </c>
      <c r="M224" s="168" t="s">
        <v>1232</v>
      </c>
      <c r="N224" s="169">
        <v>43738</v>
      </c>
      <c r="O224" s="169">
        <v>43738</v>
      </c>
      <c r="P224" s="168" t="s">
        <v>1338</v>
      </c>
      <c r="Q224" s="166">
        <v>1000</v>
      </c>
      <c r="R224" s="166">
        <v>14040</v>
      </c>
      <c r="S224" s="170">
        <v>184414.76</v>
      </c>
      <c r="T224" s="166">
        <v>14046</v>
      </c>
      <c r="U224" s="170">
        <v>39956.54</v>
      </c>
      <c r="V224" s="170">
        <f t="shared" si="23"/>
        <v>144458.22</v>
      </c>
      <c r="W224" s="171">
        <v>16904.689999999999</v>
      </c>
      <c r="X224" s="166">
        <v>51260</v>
      </c>
      <c r="Y224" s="170">
        <v>1536.79</v>
      </c>
      <c r="Z224" s="168" t="s">
        <v>1053</v>
      </c>
      <c r="AA224" s="168"/>
      <c r="AB224" s="168"/>
      <c r="AC224" s="168">
        <v>4085</v>
      </c>
      <c r="AD224" s="168" t="s">
        <v>1058</v>
      </c>
      <c r="AE224" s="168" t="s">
        <v>1059</v>
      </c>
      <c r="AF224" s="166" t="s">
        <v>284</v>
      </c>
      <c r="AG224" s="168"/>
      <c r="AH224" s="166" t="s">
        <v>1060</v>
      </c>
      <c r="AI224" s="168">
        <v>0</v>
      </c>
      <c r="AJ224" s="168">
        <v>0</v>
      </c>
      <c r="AP224" s="206"/>
      <c r="AQ224" s="207"/>
      <c r="AR224" s="207"/>
      <c r="AS224" s="207"/>
      <c r="AT224" s="208"/>
      <c r="AU224" s="207"/>
      <c r="AV224" s="208"/>
    </row>
    <row r="225" spans="1:48" s="205" customFormat="1" ht="15">
      <c r="A225" s="145"/>
      <c r="B225" s="166">
        <v>2183</v>
      </c>
      <c r="C225" s="167">
        <v>219762</v>
      </c>
      <c r="D225" s="166" t="s">
        <v>1053</v>
      </c>
      <c r="E225" s="168" t="s">
        <v>835</v>
      </c>
      <c r="F225" s="166"/>
      <c r="G225" s="168"/>
      <c r="H225" s="168" t="s">
        <v>1299</v>
      </c>
      <c r="I225" s="168"/>
      <c r="J225" s="168">
        <v>2020</v>
      </c>
      <c r="K225" s="168" t="s">
        <v>1196</v>
      </c>
      <c r="L225" s="168" t="s">
        <v>1231</v>
      </c>
      <c r="M225" s="168" t="s">
        <v>1232</v>
      </c>
      <c r="N225" s="169">
        <v>43726</v>
      </c>
      <c r="O225" s="169">
        <v>43726</v>
      </c>
      <c r="P225" s="168" t="s">
        <v>1339</v>
      </c>
      <c r="Q225" s="166">
        <v>1000</v>
      </c>
      <c r="R225" s="166">
        <v>14040</v>
      </c>
      <c r="S225" s="170">
        <v>255725.48</v>
      </c>
      <c r="T225" s="166">
        <v>14046</v>
      </c>
      <c r="U225" s="170">
        <v>55407.19</v>
      </c>
      <c r="V225" s="170">
        <f t="shared" si="23"/>
        <v>200318.29</v>
      </c>
      <c r="W225" s="171">
        <v>23441.5</v>
      </c>
      <c r="X225" s="166">
        <v>51260</v>
      </c>
      <c r="Y225" s="170">
        <v>2131.04</v>
      </c>
      <c r="Z225" s="168" t="s">
        <v>1053</v>
      </c>
      <c r="AA225" s="168"/>
      <c r="AB225" s="168"/>
      <c r="AC225" s="168">
        <v>4084</v>
      </c>
      <c r="AD225" s="168" t="s">
        <v>1058</v>
      </c>
      <c r="AE225" s="168" t="s">
        <v>1059</v>
      </c>
      <c r="AF225" s="166" t="s">
        <v>284</v>
      </c>
      <c r="AG225" s="168"/>
      <c r="AH225" s="166" t="s">
        <v>1060</v>
      </c>
      <c r="AI225" s="168">
        <v>0</v>
      </c>
      <c r="AJ225" s="168">
        <v>0</v>
      </c>
      <c r="AP225" s="206"/>
      <c r="AQ225" s="207"/>
      <c r="AR225" s="207"/>
      <c r="AS225" s="207"/>
      <c r="AT225" s="208"/>
      <c r="AU225" s="207"/>
      <c r="AV225" s="208"/>
    </row>
    <row r="226" spans="1:48" s="205" customFormat="1" ht="15">
      <c r="A226" s="145"/>
      <c r="B226" s="166">
        <v>2183</v>
      </c>
      <c r="C226" s="167">
        <v>219761</v>
      </c>
      <c r="D226" s="166" t="s">
        <v>1053</v>
      </c>
      <c r="E226" s="168" t="s">
        <v>834</v>
      </c>
      <c r="F226" s="166"/>
      <c r="G226" s="168"/>
      <c r="H226" s="168" t="s">
        <v>1318</v>
      </c>
      <c r="I226" s="168"/>
      <c r="J226" s="168">
        <v>2020</v>
      </c>
      <c r="K226" s="168" t="s">
        <v>1196</v>
      </c>
      <c r="L226" s="168" t="s">
        <v>1220</v>
      </c>
      <c r="M226" s="168" t="s">
        <v>1152</v>
      </c>
      <c r="N226" s="169">
        <v>43738</v>
      </c>
      <c r="O226" s="169">
        <v>43738</v>
      </c>
      <c r="P226" s="168" t="s">
        <v>1340</v>
      </c>
      <c r="Q226" s="166">
        <v>1000</v>
      </c>
      <c r="R226" s="166">
        <v>14040</v>
      </c>
      <c r="S226" s="170">
        <v>184752.88</v>
      </c>
      <c r="T226" s="166">
        <v>14046</v>
      </c>
      <c r="U226" s="170">
        <v>40029.79</v>
      </c>
      <c r="V226" s="170">
        <f t="shared" si="23"/>
        <v>144723.09</v>
      </c>
      <c r="W226" s="171">
        <v>16935.68</v>
      </c>
      <c r="X226" s="166">
        <v>51260</v>
      </c>
      <c r="Y226" s="170">
        <v>1539.6</v>
      </c>
      <c r="Z226" s="168" t="s">
        <v>1053</v>
      </c>
      <c r="AA226" s="168"/>
      <c r="AB226" s="168"/>
      <c r="AC226" s="168">
        <v>3692</v>
      </c>
      <c r="AD226" s="168" t="s">
        <v>1058</v>
      </c>
      <c r="AE226" s="168" t="s">
        <v>1059</v>
      </c>
      <c r="AF226" s="166" t="s">
        <v>284</v>
      </c>
      <c r="AG226" s="168"/>
      <c r="AH226" s="166" t="s">
        <v>1060</v>
      </c>
      <c r="AI226" s="168">
        <v>0</v>
      </c>
      <c r="AJ226" s="168">
        <v>0</v>
      </c>
      <c r="AP226" s="206"/>
      <c r="AQ226" s="207"/>
      <c r="AR226" s="207"/>
      <c r="AS226" s="207"/>
      <c r="AT226" s="208"/>
      <c r="AU226" s="207"/>
      <c r="AV226" s="208"/>
    </row>
    <row r="227" spans="1:48" s="205" customFormat="1" ht="15">
      <c r="A227" s="145"/>
      <c r="B227" s="166">
        <v>2183</v>
      </c>
      <c r="C227" s="167">
        <v>219760</v>
      </c>
      <c r="D227" s="166" t="s">
        <v>1053</v>
      </c>
      <c r="E227" s="168" t="s">
        <v>1341</v>
      </c>
      <c r="F227" s="166"/>
      <c r="G227" s="168"/>
      <c r="H227" s="168" t="s">
        <v>1342</v>
      </c>
      <c r="I227" s="168"/>
      <c r="J227" s="168">
        <v>2020</v>
      </c>
      <c r="K227" s="168" t="s">
        <v>1196</v>
      </c>
      <c r="L227" s="168" t="s">
        <v>1220</v>
      </c>
      <c r="M227" s="168" t="s">
        <v>1152</v>
      </c>
      <c r="N227" s="169">
        <v>43738</v>
      </c>
      <c r="O227" s="169">
        <v>43738</v>
      </c>
      <c r="P227" s="168" t="s">
        <v>1343</v>
      </c>
      <c r="Q227" s="166">
        <v>1000</v>
      </c>
      <c r="R227" s="166">
        <v>14040</v>
      </c>
      <c r="S227" s="170">
        <v>184752.88</v>
      </c>
      <c r="T227" s="166">
        <v>14046</v>
      </c>
      <c r="U227" s="170">
        <v>40029.79</v>
      </c>
      <c r="V227" s="170">
        <f t="shared" si="23"/>
        <v>144723.09</v>
      </c>
      <c r="W227" s="171">
        <v>16935.68</v>
      </c>
      <c r="X227" s="166">
        <v>51260</v>
      </c>
      <c r="Y227" s="170">
        <v>1539.6</v>
      </c>
      <c r="Z227" s="168" t="s">
        <v>1053</v>
      </c>
      <c r="AA227" s="168"/>
      <c r="AB227" s="168"/>
      <c r="AC227" s="168">
        <v>3694</v>
      </c>
      <c r="AD227" s="168" t="s">
        <v>1058</v>
      </c>
      <c r="AE227" s="168" t="s">
        <v>1059</v>
      </c>
      <c r="AF227" s="166" t="s">
        <v>284</v>
      </c>
      <c r="AG227" s="168"/>
      <c r="AH227" s="166" t="s">
        <v>1060</v>
      </c>
      <c r="AI227" s="168">
        <v>0</v>
      </c>
      <c r="AJ227" s="168">
        <v>0</v>
      </c>
      <c r="AP227" s="206"/>
      <c r="AQ227" s="207"/>
      <c r="AR227" s="207"/>
      <c r="AS227" s="207"/>
      <c r="AT227" s="208"/>
      <c r="AU227" s="207"/>
      <c r="AV227" s="208"/>
    </row>
    <row r="228" spans="1:48" s="205" customFormat="1" ht="15">
      <c r="A228" s="145"/>
      <c r="B228" s="166">
        <v>2183</v>
      </c>
      <c r="C228" s="167">
        <v>219600</v>
      </c>
      <c r="D228" s="166" t="s">
        <v>1053</v>
      </c>
      <c r="E228" s="168" t="s">
        <v>826</v>
      </c>
      <c r="F228" s="166">
        <v>20</v>
      </c>
      <c r="G228" s="168"/>
      <c r="H228" s="168"/>
      <c r="I228" s="168"/>
      <c r="J228" s="168">
        <v>0</v>
      </c>
      <c r="K228" s="168" t="s">
        <v>1155</v>
      </c>
      <c r="L228" s="168"/>
      <c r="M228" s="168" t="s">
        <v>1203</v>
      </c>
      <c r="N228" s="169">
        <v>43700</v>
      </c>
      <c r="O228" s="169">
        <v>43700</v>
      </c>
      <c r="P228" s="168" t="s">
        <v>1344</v>
      </c>
      <c r="Q228" s="166">
        <v>1200</v>
      </c>
      <c r="R228" s="166">
        <v>14050</v>
      </c>
      <c r="S228" s="170">
        <v>19018.2</v>
      </c>
      <c r="T228" s="166">
        <v>14056</v>
      </c>
      <c r="U228" s="170">
        <v>3565.91</v>
      </c>
      <c r="V228" s="170">
        <f t="shared" si="23"/>
        <v>15452.29</v>
      </c>
      <c r="W228" s="171">
        <v>1452.78</v>
      </c>
      <c r="X228" s="166">
        <v>54260</v>
      </c>
      <c r="Y228" s="170">
        <v>132.07</v>
      </c>
      <c r="Z228" s="168" t="s">
        <v>1053</v>
      </c>
      <c r="AA228" s="168"/>
      <c r="AB228" s="168">
        <v>155479</v>
      </c>
      <c r="AC228" s="168"/>
      <c r="AD228" s="168" t="s">
        <v>1058</v>
      </c>
      <c r="AE228" s="168" t="s">
        <v>1059</v>
      </c>
      <c r="AF228" s="166" t="s">
        <v>284</v>
      </c>
      <c r="AG228" s="168"/>
      <c r="AH228" s="166" t="s">
        <v>1060</v>
      </c>
      <c r="AI228" s="168">
        <v>0</v>
      </c>
      <c r="AJ228" s="168">
        <v>0</v>
      </c>
      <c r="AP228" s="206"/>
      <c r="AQ228" s="207"/>
      <c r="AR228" s="207"/>
      <c r="AS228" s="207"/>
      <c r="AT228" s="208"/>
      <c r="AU228" s="207"/>
      <c r="AV228" s="208"/>
    </row>
    <row r="229" spans="1:48" s="205" customFormat="1" ht="15">
      <c r="A229" s="145"/>
      <c r="B229" s="166">
        <v>2183</v>
      </c>
      <c r="C229" s="167">
        <v>219599</v>
      </c>
      <c r="D229" s="166" t="s">
        <v>1053</v>
      </c>
      <c r="E229" s="168" t="s">
        <v>757</v>
      </c>
      <c r="F229" s="166">
        <v>20</v>
      </c>
      <c r="G229" s="168"/>
      <c r="H229" s="168"/>
      <c r="I229" s="168"/>
      <c r="J229" s="168">
        <v>0</v>
      </c>
      <c r="K229" s="168" t="s">
        <v>1155</v>
      </c>
      <c r="L229" s="168"/>
      <c r="M229" s="168" t="s">
        <v>1136</v>
      </c>
      <c r="N229" s="169">
        <v>43700</v>
      </c>
      <c r="O229" s="169">
        <v>43700</v>
      </c>
      <c r="P229" s="168" t="s">
        <v>1344</v>
      </c>
      <c r="Q229" s="166">
        <v>1200</v>
      </c>
      <c r="R229" s="166">
        <v>14050</v>
      </c>
      <c r="S229" s="170">
        <v>13334.6</v>
      </c>
      <c r="T229" s="166">
        <v>14056</v>
      </c>
      <c r="U229" s="170">
        <v>2500.25</v>
      </c>
      <c r="V229" s="170">
        <f t="shared" si="23"/>
        <v>10834.35</v>
      </c>
      <c r="W229" s="171">
        <v>1018.62</v>
      </c>
      <c r="X229" s="166">
        <v>54260</v>
      </c>
      <c r="Y229" s="170">
        <v>92.6</v>
      </c>
      <c r="Z229" s="168" t="s">
        <v>1053</v>
      </c>
      <c r="AA229" s="168"/>
      <c r="AB229" s="168">
        <v>155478</v>
      </c>
      <c r="AC229" s="168"/>
      <c r="AD229" s="168" t="s">
        <v>1058</v>
      </c>
      <c r="AE229" s="168" t="s">
        <v>1059</v>
      </c>
      <c r="AF229" s="166" t="s">
        <v>284</v>
      </c>
      <c r="AG229" s="168"/>
      <c r="AH229" s="166" t="s">
        <v>1060</v>
      </c>
      <c r="AI229" s="168">
        <v>0</v>
      </c>
      <c r="AJ229" s="168">
        <v>0</v>
      </c>
      <c r="AP229" s="206"/>
      <c r="AQ229" s="207"/>
      <c r="AR229" s="207"/>
      <c r="AS229" s="207"/>
      <c r="AT229" s="208"/>
      <c r="AU229" s="207"/>
      <c r="AV229" s="208"/>
    </row>
    <row r="230" spans="1:48" s="205" customFormat="1" ht="15">
      <c r="A230" s="145"/>
      <c r="B230" s="166">
        <v>2183</v>
      </c>
      <c r="C230" s="167">
        <v>219336</v>
      </c>
      <c r="D230" s="166" t="s">
        <v>1053</v>
      </c>
      <c r="E230" s="168" t="s">
        <v>1345</v>
      </c>
      <c r="F230" s="166"/>
      <c r="G230" s="168"/>
      <c r="H230" s="168" t="s">
        <v>1346</v>
      </c>
      <c r="I230" s="168"/>
      <c r="J230" s="168">
        <v>2019</v>
      </c>
      <c r="K230" s="168" t="s">
        <v>1253</v>
      </c>
      <c r="L230" s="168"/>
      <c r="M230" s="168" t="s">
        <v>1254</v>
      </c>
      <c r="N230" s="169">
        <v>43712</v>
      </c>
      <c r="O230" s="169">
        <v>43712</v>
      </c>
      <c r="P230" s="168" t="s">
        <v>1189</v>
      </c>
      <c r="Q230" s="166">
        <v>500</v>
      </c>
      <c r="R230" s="166">
        <v>14040</v>
      </c>
      <c r="S230" s="170">
        <v>24177.57</v>
      </c>
      <c r="T230" s="166">
        <v>14046</v>
      </c>
      <c r="U230" s="170">
        <v>10879.9</v>
      </c>
      <c r="V230" s="170">
        <f t="shared" si="23"/>
        <v>13297.67</v>
      </c>
      <c r="W230" s="171">
        <v>4432.55</v>
      </c>
      <c r="X230" s="166">
        <v>51260</v>
      </c>
      <c r="Y230" s="170">
        <v>402.96</v>
      </c>
      <c r="Z230" s="168" t="s">
        <v>1053</v>
      </c>
      <c r="AA230" s="168"/>
      <c r="AB230" s="168"/>
      <c r="AC230" s="168">
        <v>6060</v>
      </c>
      <c r="AD230" s="168" t="s">
        <v>1058</v>
      </c>
      <c r="AE230" s="168" t="s">
        <v>1059</v>
      </c>
      <c r="AF230" s="166" t="s">
        <v>284</v>
      </c>
      <c r="AG230" s="168"/>
      <c r="AH230" s="166" t="s">
        <v>1060</v>
      </c>
      <c r="AI230" s="168">
        <v>0</v>
      </c>
      <c r="AJ230" s="168">
        <v>0</v>
      </c>
      <c r="AP230" s="206"/>
      <c r="AQ230" s="207"/>
      <c r="AR230" s="207"/>
      <c r="AS230" s="207"/>
      <c r="AT230" s="208"/>
      <c r="AU230" s="207"/>
      <c r="AV230" s="208"/>
    </row>
    <row r="231" spans="1:48" s="205" customFormat="1" ht="15">
      <c r="A231" s="145"/>
      <c r="B231" s="166">
        <v>2183</v>
      </c>
      <c r="C231" s="167">
        <v>218957</v>
      </c>
      <c r="D231" s="166" t="s">
        <v>1053</v>
      </c>
      <c r="E231" s="168" t="s">
        <v>823</v>
      </c>
      <c r="F231" s="166">
        <v>4</v>
      </c>
      <c r="G231" s="168"/>
      <c r="H231" s="168"/>
      <c r="I231" s="168"/>
      <c r="J231" s="168">
        <v>0</v>
      </c>
      <c r="K231" s="168" t="s">
        <v>1155</v>
      </c>
      <c r="L231" s="168"/>
      <c r="M231" s="168" t="s">
        <v>1136</v>
      </c>
      <c r="N231" s="169">
        <v>43677</v>
      </c>
      <c r="O231" s="169">
        <v>43677</v>
      </c>
      <c r="P231" s="168" t="s">
        <v>1344</v>
      </c>
      <c r="Q231" s="166">
        <v>1200</v>
      </c>
      <c r="R231" s="166">
        <v>14050</v>
      </c>
      <c r="S231" s="170">
        <v>2601.34</v>
      </c>
      <c r="T231" s="166">
        <v>14056</v>
      </c>
      <c r="U231" s="170">
        <v>505.83</v>
      </c>
      <c r="V231" s="170">
        <f t="shared" si="23"/>
        <v>2095.5100000000002</v>
      </c>
      <c r="W231" s="171">
        <v>198.72</v>
      </c>
      <c r="X231" s="166">
        <v>54260</v>
      </c>
      <c r="Y231" s="170">
        <v>18.07</v>
      </c>
      <c r="Z231" s="168" t="s">
        <v>1053</v>
      </c>
      <c r="AA231" s="168"/>
      <c r="AB231" s="168">
        <v>154795</v>
      </c>
      <c r="AC231" s="168"/>
      <c r="AD231" s="168" t="s">
        <v>1058</v>
      </c>
      <c r="AE231" s="168" t="s">
        <v>1059</v>
      </c>
      <c r="AF231" s="166" t="s">
        <v>284</v>
      </c>
      <c r="AG231" s="168"/>
      <c r="AH231" s="166" t="s">
        <v>1060</v>
      </c>
      <c r="AI231" s="168">
        <v>0</v>
      </c>
      <c r="AJ231" s="168">
        <v>0</v>
      </c>
      <c r="AP231" s="206"/>
      <c r="AQ231" s="207"/>
      <c r="AR231" s="207"/>
      <c r="AS231" s="207"/>
      <c r="AT231" s="208"/>
      <c r="AU231" s="207"/>
      <c r="AV231" s="208"/>
    </row>
    <row r="232" spans="1:48" s="205" customFormat="1" ht="15">
      <c r="A232" s="145"/>
      <c r="B232" s="166">
        <v>2183</v>
      </c>
      <c r="C232" s="167">
        <v>218956</v>
      </c>
      <c r="D232" s="166" t="s">
        <v>1053</v>
      </c>
      <c r="E232" s="168" t="s">
        <v>824</v>
      </c>
      <c r="F232" s="166">
        <v>10</v>
      </c>
      <c r="G232" s="168"/>
      <c r="H232" s="168"/>
      <c r="I232" s="168"/>
      <c r="J232" s="168">
        <v>0</v>
      </c>
      <c r="K232" s="168" t="s">
        <v>1155</v>
      </c>
      <c r="L232" s="168"/>
      <c r="M232" s="168" t="s">
        <v>1203</v>
      </c>
      <c r="N232" s="169">
        <v>43700</v>
      </c>
      <c r="O232" s="169">
        <v>43700</v>
      </c>
      <c r="P232" s="168" t="s">
        <v>1344</v>
      </c>
      <c r="Q232" s="166">
        <v>1200</v>
      </c>
      <c r="R232" s="166">
        <v>14050</v>
      </c>
      <c r="S232" s="170">
        <v>9290.5</v>
      </c>
      <c r="T232" s="166">
        <v>14056</v>
      </c>
      <c r="U232" s="170">
        <v>1741.97</v>
      </c>
      <c r="V232" s="170">
        <f t="shared" si="23"/>
        <v>7548.53</v>
      </c>
      <c r="W232" s="171">
        <v>709.69</v>
      </c>
      <c r="X232" s="166">
        <v>54260</v>
      </c>
      <c r="Y232" s="170">
        <v>64.510000000000005</v>
      </c>
      <c r="Z232" s="168" t="s">
        <v>1053</v>
      </c>
      <c r="AA232" s="168"/>
      <c r="AB232" s="168">
        <v>155331</v>
      </c>
      <c r="AC232" s="168"/>
      <c r="AD232" s="168" t="s">
        <v>1058</v>
      </c>
      <c r="AE232" s="168" t="s">
        <v>1059</v>
      </c>
      <c r="AF232" s="166" t="s">
        <v>284</v>
      </c>
      <c r="AG232" s="168"/>
      <c r="AH232" s="166" t="s">
        <v>1060</v>
      </c>
      <c r="AI232" s="168">
        <v>0</v>
      </c>
      <c r="AJ232" s="168">
        <v>0</v>
      </c>
      <c r="AP232" s="206"/>
      <c r="AQ232" s="207"/>
      <c r="AR232" s="207"/>
      <c r="AS232" s="207"/>
      <c r="AT232" s="208"/>
      <c r="AU232" s="207"/>
      <c r="AV232" s="208"/>
    </row>
    <row r="233" spans="1:48" s="205" customFormat="1" ht="15">
      <c r="A233" s="145"/>
      <c r="B233" s="166">
        <v>2183</v>
      </c>
      <c r="C233" s="167">
        <v>218955</v>
      </c>
      <c r="D233" s="166" t="s">
        <v>1053</v>
      </c>
      <c r="E233" s="168" t="s">
        <v>825</v>
      </c>
      <c r="F233" s="166">
        <v>15</v>
      </c>
      <c r="G233" s="168"/>
      <c r="H233" s="168"/>
      <c r="I233" s="168"/>
      <c r="J233" s="168">
        <v>0</v>
      </c>
      <c r="K233" s="168" t="s">
        <v>1155</v>
      </c>
      <c r="L233" s="168"/>
      <c r="M233" s="168" t="s">
        <v>1207</v>
      </c>
      <c r="N233" s="169">
        <v>43677</v>
      </c>
      <c r="O233" s="169">
        <v>43677</v>
      </c>
      <c r="P233" s="168" t="s">
        <v>1344</v>
      </c>
      <c r="Q233" s="166">
        <v>1200</v>
      </c>
      <c r="R233" s="166">
        <v>14050</v>
      </c>
      <c r="S233" s="170">
        <v>14673.54</v>
      </c>
      <c r="T233" s="166">
        <v>14056</v>
      </c>
      <c r="U233" s="170">
        <v>2853.2</v>
      </c>
      <c r="V233" s="170">
        <f t="shared" si="23"/>
        <v>11820.34</v>
      </c>
      <c r="W233" s="171">
        <v>1120.9000000000001</v>
      </c>
      <c r="X233" s="166">
        <v>54260</v>
      </c>
      <c r="Y233" s="170">
        <v>101.9</v>
      </c>
      <c r="Z233" s="168" t="s">
        <v>1053</v>
      </c>
      <c r="AA233" s="168"/>
      <c r="AB233" s="168">
        <v>155350</v>
      </c>
      <c r="AC233" s="168"/>
      <c r="AD233" s="168" t="s">
        <v>1058</v>
      </c>
      <c r="AE233" s="168" t="s">
        <v>1059</v>
      </c>
      <c r="AF233" s="166" t="s">
        <v>284</v>
      </c>
      <c r="AG233" s="168"/>
      <c r="AH233" s="166" t="s">
        <v>1060</v>
      </c>
      <c r="AI233" s="168">
        <v>0</v>
      </c>
      <c r="AJ233" s="168">
        <v>0</v>
      </c>
      <c r="AP233" s="206"/>
      <c r="AQ233" s="207"/>
      <c r="AR233" s="207"/>
      <c r="AS233" s="207"/>
      <c r="AT233" s="208"/>
      <c r="AU233" s="207"/>
      <c r="AV233" s="208"/>
    </row>
    <row r="234" spans="1:48" s="205" customFormat="1" ht="15">
      <c r="A234" s="145"/>
      <c r="B234" s="166">
        <v>2183</v>
      </c>
      <c r="C234" s="167">
        <v>218238</v>
      </c>
      <c r="D234" s="166" t="s">
        <v>1053</v>
      </c>
      <c r="E234" s="168" t="s">
        <v>831</v>
      </c>
      <c r="F234" s="166"/>
      <c r="G234" s="168"/>
      <c r="H234" s="168" t="s">
        <v>1347</v>
      </c>
      <c r="I234" s="168"/>
      <c r="J234" s="168">
        <v>2019</v>
      </c>
      <c r="K234" s="168" t="s">
        <v>1196</v>
      </c>
      <c r="L234" s="168" t="s">
        <v>1220</v>
      </c>
      <c r="M234" s="168" t="s">
        <v>1152</v>
      </c>
      <c r="N234" s="169">
        <v>43620</v>
      </c>
      <c r="O234" s="169">
        <v>43620</v>
      </c>
      <c r="P234" s="168" t="s">
        <v>1290</v>
      </c>
      <c r="Q234" s="166">
        <v>1000</v>
      </c>
      <c r="R234" s="166">
        <v>14040</v>
      </c>
      <c r="S234" s="170">
        <v>362237.01</v>
      </c>
      <c r="T234" s="166">
        <v>14046</v>
      </c>
      <c r="U234" s="170">
        <v>90559.25</v>
      </c>
      <c r="V234" s="170">
        <f t="shared" si="23"/>
        <v>271677.76</v>
      </c>
      <c r="W234" s="171">
        <v>33205.06</v>
      </c>
      <c r="X234" s="166">
        <v>51260</v>
      </c>
      <c r="Y234" s="170">
        <v>3018.64</v>
      </c>
      <c r="Z234" s="168" t="s">
        <v>1053</v>
      </c>
      <c r="AA234" s="168"/>
      <c r="AB234" s="168"/>
      <c r="AC234" s="168">
        <v>3689</v>
      </c>
      <c r="AD234" s="168" t="s">
        <v>1058</v>
      </c>
      <c r="AE234" s="168" t="s">
        <v>1059</v>
      </c>
      <c r="AF234" s="166" t="s">
        <v>284</v>
      </c>
      <c r="AG234" s="168"/>
      <c r="AH234" s="166" t="s">
        <v>1060</v>
      </c>
      <c r="AI234" s="168">
        <v>0</v>
      </c>
      <c r="AJ234" s="168">
        <v>0</v>
      </c>
      <c r="AP234" s="206"/>
      <c r="AQ234" s="207"/>
      <c r="AR234" s="207"/>
      <c r="AS234" s="207"/>
      <c r="AT234" s="208"/>
      <c r="AU234" s="207"/>
      <c r="AV234" s="208"/>
    </row>
    <row r="235" spans="1:48" s="205" customFormat="1" ht="15">
      <c r="A235" s="145"/>
      <c r="B235" s="166">
        <v>2183</v>
      </c>
      <c r="C235" s="167">
        <v>218237</v>
      </c>
      <c r="D235" s="166" t="s">
        <v>1053</v>
      </c>
      <c r="E235" s="168" t="s">
        <v>831</v>
      </c>
      <c r="F235" s="166"/>
      <c r="G235" s="168"/>
      <c r="H235" s="168" t="s">
        <v>1348</v>
      </c>
      <c r="I235" s="168"/>
      <c r="J235" s="168">
        <v>2019</v>
      </c>
      <c r="K235" s="168" t="s">
        <v>1196</v>
      </c>
      <c r="L235" s="168" t="s">
        <v>1220</v>
      </c>
      <c r="M235" s="168" t="s">
        <v>1152</v>
      </c>
      <c r="N235" s="169">
        <v>43630</v>
      </c>
      <c r="O235" s="169">
        <v>43630</v>
      </c>
      <c r="P235" s="168" t="s">
        <v>1335</v>
      </c>
      <c r="Q235" s="166">
        <v>1000</v>
      </c>
      <c r="R235" s="166">
        <v>14040</v>
      </c>
      <c r="S235" s="170">
        <v>361280.63</v>
      </c>
      <c r="T235" s="166">
        <v>14046</v>
      </c>
      <c r="U235" s="170">
        <v>90320.15</v>
      </c>
      <c r="V235" s="170">
        <f t="shared" si="23"/>
        <v>270960.48</v>
      </c>
      <c r="W235" s="171">
        <v>33117.39</v>
      </c>
      <c r="X235" s="166">
        <v>51260</v>
      </c>
      <c r="Y235" s="170">
        <v>3010.67</v>
      </c>
      <c r="Z235" s="168" t="s">
        <v>1053</v>
      </c>
      <c r="AA235" s="168"/>
      <c r="AB235" s="168"/>
      <c r="AC235" s="168">
        <v>3690</v>
      </c>
      <c r="AD235" s="168" t="s">
        <v>1058</v>
      </c>
      <c r="AE235" s="168" t="s">
        <v>1059</v>
      </c>
      <c r="AF235" s="166" t="s">
        <v>284</v>
      </c>
      <c r="AG235" s="168"/>
      <c r="AH235" s="166" t="s">
        <v>1060</v>
      </c>
      <c r="AI235" s="168">
        <v>0</v>
      </c>
      <c r="AJ235" s="168">
        <v>0</v>
      </c>
      <c r="AP235" s="206"/>
      <c r="AQ235" s="207"/>
      <c r="AR235" s="207"/>
      <c r="AS235" s="207"/>
      <c r="AT235" s="208"/>
      <c r="AU235" s="207"/>
      <c r="AV235" s="208"/>
    </row>
    <row r="236" spans="1:48" s="205" customFormat="1" ht="15">
      <c r="A236" s="145"/>
      <c r="B236" s="166">
        <v>2183</v>
      </c>
      <c r="C236" s="167">
        <v>218186</v>
      </c>
      <c r="D236" s="166" t="s">
        <v>1053</v>
      </c>
      <c r="E236" s="168" t="s">
        <v>823</v>
      </c>
      <c r="F236" s="166">
        <v>16</v>
      </c>
      <c r="G236" s="168"/>
      <c r="H236" s="168"/>
      <c r="I236" s="168"/>
      <c r="J236" s="168">
        <v>0</v>
      </c>
      <c r="K236" s="168" t="s">
        <v>1155</v>
      </c>
      <c r="L236" s="168"/>
      <c r="M236" s="168" t="s">
        <v>1136</v>
      </c>
      <c r="N236" s="169">
        <v>43677</v>
      </c>
      <c r="O236" s="169">
        <v>43677</v>
      </c>
      <c r="P236" s="168" t="s">
        <v>1344</v>
      </c>
      <c r="Q236" s="166">
        <v>1200</v>
      </c>
      <c r="R236" s="166">
        <v>14050</v>
      </c>
      <c r="S236" s="170">
        <v>10405.36</v>
      </c>
      <c r="T236" s="166">
        <v>14056</v>
      </c>
      <c r="U236" s="170">
        <v>2023.26</v>
      </c>
      <c r="V236" s="170">
        <f t="shared" si="23"/>
        <v>8382.1</v>
      </c>
      <c r="W236" s="171">
        <v>794.85</v>
      </c>
      <c r="X236" s="166">
        <v>54260</v>
      </c>
      <c r="Y236" s="170">
        <v>72.260000000000005</v>
      </c>
      <c r="Z236" s="168" t="s">
        <v>1053</v>
      </c>
      <c r="AA236" s="168"/>
      <c r="AB236" s="168">
        <v>154785</v>
      </c>
      <c r="AC236" s="168"/>
      <c r="AD236" s="168" t="s">
        <v>1058</v>
      </c>
      <c r="AE236" s="168" t="s">
        <v>1059</v>
      </c>
      <c r="AF236" s="166" t="s">
        <v>284</v>
      </c>
      <c r="AG236" s="168"/>
      <c r="AH236" s="166" t="s">
        <v>1060</v>
      </c>
      <c r="AI236" s="168">
        <v>0</v>
      </c>
      <c r="AJ236" s="168">
        <v>0</v>
      </c>
      <c r="AP236" s="206"/>
      <c r="AQ236" s="207"/>
      <c r="AR236" s="207"/>
      <c r="AS236" s="207"/>
      <c r="AT236" s="208"/>
      <c r="AU236" s="207"/>
      <c r="AV236" s="208"/>
    </row>
    <row r="237" spans="1:48" s="205" customFormat="1" ht="15">
      <c r="A237" s="145"/>
      <c r="B237" s="166">
        <v>2183</v>
      </c>
      <c r="C237" s="167">
        <v>217913</v>
      </c>
      <c r="D237" s="166" t="s">
        <v>1053</v>
      </c>
      <c r="E237" s="168" t="s">
        <v>800</v>
      </c>
      <c r="F237" s="166"/>
      <c r="G237" s="168"/>
      <c r="H237" s="168"/>
      <c r="I237" s="168"/>
      <c r="J237" s="168">
        <v>0</v>
      </c>
      <c r="K237" s="168" t="s">
        <v>1349</v>
      </c>
      <c r="L237" s="168"/>
      <c r="M237" s="168"/>
      <c r="N237" s="169">
        <v>43496</v>
      </c>
      <c r="O237" s="169">
        <v>43496</v>
      </c>
      <c r="P237" s="168" t="s">
        <v>1350</v>
      </c>
      <c r="Q237" s="166">
        <v>300</v>
      </c>
      <c r="R237" s="166">
        <v>14110</v>
      </c>
      <c r="S237" s="170">
        <v>983.7</v>
      </c>
      <c r="T237" s="166">
        <v>14116</v>
      </c>
      <c r="U237" s="170">
        <v>929.06</v>
      </c>
      <c r="V237" s="170">
        <f t="shared" si="23"/>
        <v>54.6400000000001</v>
      </c>
      <c r="W237" s="171">
        <v>300.58</v>
      </c>
      <c r="X237" s="166">
        <v>70260</v>
      </c>
      <c r="Y237" s="170">
        <v>27.33</v>
      </c>
      <c r="Z237" s="168" t="s">
        <v>1053</v>
      </c>
      <c r="AA237" s="168"/>
      <c r="AB237" s="168" t="s">
        <v>1351</v>
      </c>
      <c r="AC237" s="168"/>
      <c r="AD237" s="168" t="s">
        <v>1058</v>
      </c>
      <c r="AE237" s="168" t="s">
        <v>1059</v>
      </c>
      <c r="AF237" s="166" t="s">
        <v>284</v>
      </c>
      <c r="AG237" s="168"/>
      <c r="AH237" s="166" t="s">
        <v>1060</v>
      </c>
      <c r="AI237" s="168">
        <v>0</v>
      </c>
      <c r="AJ237" s="168">
        <v>0</v>
      </c>
      <c r="AP237" s="206"/>
      <c r="AQ237" s="207"/>
      <c r="AR237" s="207"/>
      <c r="AS237" s="207"/>
      <c r="AT237" s="208"/>
      <c r="AU237" s="207"/>
      <c r="AV237" s="208"/>
    </row>
    <row r="238" spans="1:48" s="205" customFormat="1" ht="15">
      <c r="A238" s="145"/>
      <c r="B238" s="166">
        <v>2183</v>
      </c>
      <c r="C238" s="167">
        <v>217873</v>
      </c>
      <c r="D238" s="166" t="s">
        <v>1053</v>
      </c>
      <c r="E238" s="168" t="s">
        <v>1352</v>
      </c>
      <c r="F238" s="166">
        <v>6</v>
      </c>
      <c r="G238" s="168"/>
      <c r="H238" s="168"/>
      <c r="I238" s="168"/>
      <c r="J238" s="168">
        <v>0</v>
      </c>
      <c r="K238" s="168" t="s">
        <v>1265</v>
      </c>
      <c r="L238" s="168"/>
      <c r="M238" s="168" t="s">
        <v>1353</v>
      </c>
      <c r="N238" s="169">
        <v>43630</v>
      </c>
      <c r="O238" s="169">
        <v>43630</v>
      </c>
      <c r="P238" s="168" t="s">
        <v>1266</v>
      </c>
      <c r="Q238" s="166">
        <v>1200</v>
      </c>
      <c r="R238" s="166">
        <v>14050</v>
      </c>
      <c r="S238" s="170">
        <v>34135.760000000002</v>
      </c>
      <c r="T238" s="166">
        <v>14056</v>
      </c>
      <c r="U238" s="170">
        <v>7111.63</v>
      </c>
      <c r="V238" s="170">
        <f t="shared" si="23"/>
        <v>27024.13</v>
      </c>
      <c r="W238" s="171">
        <v>2607.6</v>
      </c>
      <c r="X238" s="166">
        <v>54260</v>
      </c>
      <c r="Y238" s="170">
        <v>237.06</v>
      </c>
      <c r="Z238" s="168" t="s">
        <v>1053</v>
      </c>
      <c r="AA238" s="168"/>
      <c r="AB238" s="168" t="s">
        <v>1354</v>
      </c>
      <c r="AC238" s="168"/>
      <c r="AD238" s="168" t="s">
        <v>1058</v>
      </c>
      <c r="AE238" s="168" t="s">
        <v>1059</v>
      </c>
      <c r="AF238" s="166" t="s">
        <v>284</v>
      </c>
      <c r="AG238" s="168"/>
      <c r="AH238" s="166" t="s">
        <v>1060</v>
      </c>
      <c r="AI238" s="168">
        <v>0</v>
      </c>
      <c r="AJ238" s="168">
        <v>0</v>
      </c>
      <c r="AP238" s="206"/>
      <c r="AQ238" s="207"/>
      <c r="AR238" s="207"/>
      <c r="AS238" s="207"/>
      <c r="AT238" s="208"/>
      <c r="AU238" s="207"/>
      <c r="AV238" s="208"/>
    </row>
    <row r="239" spans="1:48" s="205" customFormat="1" ht="15">
      <c r="A239" s="145"/>
      <c r="B239" s="166">
        <v>2183</v>
      </c>
      <c r="C239" s="167">
        <v>217348</v>
      </c>
      <c r="D239" s="166" t="s">
        <v>1053</v>
      </c>
      <c r="E239" s="168" t="s">
        <v>1352</v>
      </c>
      <c r="F239" s="166">
        <v>6</v>
      </c>
      <c r="G239" s="168"/>
      <c r="H239" s="168"/>
      <c r="I239" s="168"/>
      <c r="J239" s="168">
        <v>0</v>
      </c>
      <c r="K239" s="168" t="s">
        <v>1265</v>
      </c>
      <c r="L239" s="168"/>
      <c r="M239" s="168" t="s">
        <v>1353</v>
      </c>
      <c r="N239" s="169">
        <v>43630</v>
      </c>
      <c r="O239" s="169">
        <v>43630</v>
      </c>
      <c r="P239" s="168" t="s">
        <v>1266</v>
      </c>
      <c r="Q239" s="166">
        <v>1200</v>
      </c>
      <c r="R239" s="166">
        <v>14050</v>
      </c>
      <c r="S239" s="170">
        <v>33955.480000000003</v>
      </c>
      <c r="T239" s="166">
        <v>14056</v>
      </c>
      <c r="U239" s="170">
        <v>7074.05</v>
      </c>
      <c r="V239" s="170">
        <f t="shared" si="23"/>
        <v>26881.430000000004</v>
      </c>
      <c r="W239" s="171">
        <v>2593.8200000000002</v>
      </c>
      <c r="X239" s="166">
        <v>54260</v>
      </c>
      <c r="Y239" s="170">
        <v>235.8</v>
      </c>
      <c r="Z239" s="168" t="s">
        <v>1053</v>
      </c>
      <c r="AA239" s="168"/>
      <c r="AB239" s="168" t="s">
        <v>1355</v>
      </c>
      <c r="AC239" s="168"/>
      <c r="AD239" s="168" t="s">
        <v>1058</v>
      </c>
      <c r="AE239" s="168" t="s">
        <v>1059</v>
      </c>
      <c r="AF239" s="166" t="s">
        <v>284</v>
      </c>
      <c r="AG239" s="168"/>
      <c r="AH239" s="166" t="s">
        <v>1060</v>
      </c>
      <c r="AI239" s="168">
        <v>0</v>
      </c>
      <c r="AJ239" s="168">
        <v>0</v>
      </c>
      <c r="AP239" s="206"/>
      <c r="AQ239" s="207"/>
      <c r="AR239" s="207"/>
      <c r="AS239" s="207"/>
      <c r="AT239" s="208"/>
      <c r="AU239" s="207"/>
      <c r="AV239" s="208"/>
    </row>
    <row r="240" spans="1:48" s="205" customFormat="1" ht="15">
      <c r="A240" s="145"/>
      <c r="B240" s="166">
        <v>2183</v>
      </c>
      <c r="C240" s="167">
        <v>216734</v>
      </c>
      <c r="D240" s="166">
        <v>210008</v>
      </c>
      <c r="E240" s="168" t="s">
        <v>1356</v>
      </c>
      <c r="F240" s="166"/>
      <c r="G240" s="168"/>
      <c r="H240" s="168"/>
      <c r="I240" s="168"/>
      <c r="J240" s="168">
        <v>0</v>
      </c>
      <c r="K240" s="168" t="s">
        <v>1357</v>
      </c>
      <c r="L240" s="168"/>
      <c r="M240" s="168"/>
      <c r="N240" s="169">
        <v>43496</v>
      </c>
      <c r="O240" s="169">
        <v>43496</v>
      </c>
      <c r="P240" s="168" t="s">
        <v>1350</v>
      </c>
      <c r="Q240" s="166">
        <v>300</v>
      </c>
      <c r="R240" s="166">
        <v>14110</v>
      </c>
      <c r="S240" s="170">
        <v>1311.6</v>
      </c>
      <c r="T240" s="166">
        <v>14116</v>
      </c>
      <c r="U240" s="170">
        <v>1238.74</v>
      </c>
      <c r="V240" s="170">
        <f t="shared" si="23"/>
        <v>72.8599999999999</v>
      </c>
      <c r="W240" s="171">
        <v>400.77</v>
      </c>
      <c r="X240" s="166">
        <v>70260</v>
      </c>
      <c r="Y240" s="170">
        <v>36.44</v>
      </c>
      <c r="Z240" s="168" t="s">
        <v>1053</v>
      </c>
      <c r="AA240" s="168"/>
      <c r="AB240" s="168">
        <v>3014788738</v>
      </c>
      <c r="AC240" s="168"/>
      <c r="AD240" s="168" t="s">
        <v>1058</v>
      </c>
      <c r="AE240" s="168" t="s">
        <v>1059</v>
      </c>
      <c r="AF240" s="166" t="s">
        <v>284</v>
      </c>
      <c r="AG240" s="168"/>
      <c r="AH240" s="166" t="s">
        <v>1060</v>
      </c>
      <c r="AI240" s="168">
        <v>0</v>
      </c>
      <c r="AJ240" s="168">
        <v>0</v>
      </c>
      <c r="AP240" s="206"/>
      <c r="AQ240" s="207"/>
      <c r="AR240" s="207"/>
      <c r="AS240" s="207"/>
      <c r="AT240" s="208"/>
      <c r="AU240" s="207"/>
      <c r="AV240" s="208"/>
    </row>
    <row r="241" spans="1:48" s="205" customFormat="1" ht="15">
      <c r="A241" s="145"/>
      <c r="B241" s="166">
        <v>2183</v>
      </c>
      <c r="C241" s="167">
        <v>216319</v>
      </c>
      <c r="D241" s="166" t="s">
        <v>1053</v>
      </c>
      <c r="E241" s="168" t="s">
        <v>1264</v>
      </c>
      <c r="F241" s="166">
        <v>10</v>
      </c>
      <c r="G241" s="168"/>
      <c r="H241" s="168"/>
      <c r="I241" s="168"/>
      <c r="J241" s="168">
        <v>0</v>
      </c>
      <c r="K241" s="168" t="s">
        <v>1265</v>
      </c>
      <c r="L241" s="168"/>
      <c r="M241" s="168" t="s">
        <v>1145</v>
      </c>
      <c r="N241" s="169">
        <v>43630</v>
      </c>
      <c r="O241" s="169">
        <v>43630</v>
      </c>
      <c r="P241" s="168" t="s">
        <v>1266</v>
      </c>
      <c r="Q241" s="166">
        <v>1200</v>
      </c>
      <c r="R241" s="166">
        <v>14050</v>
      </c>
      <c r="S241" s="170">
        <v>48393.96</v>
      </c>
      <c r="T241" s="166">
        <v>14056</v>
      </c>
      <c r="U241" s="170">
        <v>10082.08</v>
      </c>
      <c r="V241" s="170">
        <f t="shared" si="23"/>
        <v>38311.879999999997</v>
      </c>
      <c r="W241" s="171">
        <v>3696.76</v>
      </c>
      <c r="X241" s="166">
        <v>54260</v>
      </c>
      <c r="Y241" s="170">
        <v>336.07</v>
      </c>
      <c r="Z241" s="168" t="s">
        <v>1053</v>
      </c>
      <c r="AA241" s="168"/>
      <c r="AB241" s="168" t="s">
        <v>1358</v>
      </c>
      <c r="AC241" s="168"/>
      <c r="AD241" s="168" t="s">
        <v>1058</v>
      </c>
      <c r="AE241" s="168" t="s">
        <v>1059</v>
      </c>
      <c r="AF241" s="166" t="s">
        <v>284</v>
      </c>
      <c r="AG241" s="168"/>
      <c r="AH241" s="166" t="s">
        <v>1060</v>
      </c>
      <c r="AI241" s="168">
        <v>0</v>
      </c>
      <c r="AJ241" s="168">
        <v>0</v>
      </c>
      <c r="AP241" s="206"/>
      <c r="AQ241" s="207"/>
      <c r="AR241" s="207"/>
      <c r="AS241" s="207"/>
      <c r="AT241" s="208"/>
      <c r="AU241" s="207"/>
      <c r="AV241" s="208"/>
    </row>
    <row r="242" spans="1:48" s="205" customFormat="1" ht="15">
      <c r="A242" s="145"/>
      <c r="B242" s="166">
        <v>2183</v>
      </c>
      <c r="C242" s="167">
        <v>215457</v>
      </c>
      <c r="D242" s="166" t="s">
        <v>1053</v>
      </c>
      <c r="E242" s="168" t="s">
        <v>614</v>
      </c>
      <c r="F242" s="166">
        <v>624</v>
      </c>
      <c r="G242" s="168"/>
      <c r="H242" s="168"/>
      <c r="I242" s="168"/>
      <c r="J242" s="168">
        <v>0</v>
      </c>
      <c r="K242" s="168" t="s">
        <v>1241</v>
      </c>
      <c r="L242" s="168"/>
      <c r="M242" s="168"/>
      <c r="N242" s="169">
        <v>43591</v>
      </c>
      <c r="O242" s="169">
        <v>43591</v>
      </c>
      <c r="P242" s="168" t="s">
        <v>1359</v>
      </c>
      <c r="Q242" s="166">
        <v>700</v>
      </c>
      <c r="R242" s="166">
        <v>14050</v>
      </c>
      <c r="S242" s="170">
        <v>30295.87</v>
      </c>
      <c r="T242" s="166">
        <v>14056</v>
      </c>
      <c r="U242" s="170">
        <v>11180.62</v>
      </c>
      <c r="V242" s="170">
        <f t="shared" si="23"/>
        <v>19115.25</v>
      </c>
      <c r="W242" s="171">
        <v>3967.32</v>
      </c>
      <c r="X242" s="166">
        <v>54260</v>
      </c>
      <c r="Y242" s="170">
        <v>360.67</v>
      </c>
      <c r="Z242" s="168" t="s">
        <v>1053</v>
      </c>
      <c r="AA242" s="168"/>
      <c r="AB242" s="168">
        <v>65600330</v>
      </c>
      <c r="AC242" s="168"/>
      <c r="AD242" s="168" t="s">
        <v>1058</v>
      </c>
      <c r="AE242" s="168" t="s">
        <v>1059</v>
      </c>
      <c r="AF242" s="166" t="s">
        <v>284</v>
      </c>
      <c r="AG242" s="168"/>
      <c r="AH242" s="166" t="s">
        <v>1060</v>
      </c>
      <c r="AI242" s="168">
        <v>0</v>
      </c>
      <c r="AJ242" s="168">
        <v>0</v>
      </c>
      <c r="AP242" s="206"/>
      <c r="AQ242" s="207"/>
      <c r="AR242" s="207"/>
      <c r="AS242" s="207"/>
      <c r="AT242" s="208"/>
      <c r="AU242" s="207"/>
      <c r="AV242" s="208"/>
    </row>
    <row r="243" spans="1:48" s="205" customFormat="1" ht="15">
      <c r="A243" s="145"/>
      <c r="B243" s="166">
        <v>2183</v>
      </c>
      <c r="C243" s="167">
        <v>215136</v>
      </c>
      <c r="D243" s="166" t="s">
        <v>1053</v>
      </c>
      <c r="E243" s="168" t="s">
        <v>614</v>
      </c>
      <c r="F243" s="166">
        <v>312</v>
      </c>
      <c r="G243" s="168"/>
      <c r="H243" s="168"/>
      <c r="I243" s="168"/>
      <c r="J243" s="168">
        <v>0</v>
      </c>
      <c r="K243" s="168" t="s">
        <v>1241</v>
      </c>
      <c r="L243" s="168"/>
      <c r="M243" s="168"/>
      <c r="N243" s="169">
        <v>43591</v>
      </c>
      <c r="O243" s="169">
        <v>43591</v>
      </c>
      <c r="P243" s="168" t="s">
        <v>1359</v>
      </c>
      <c r="Q243" s="166">
        <v>700</v>
      </c>
      <c r="R243" s="166">
        <v>14050</v>
      </c>
      <c r="S243" s="170">
        <v>15147.93</v>
      </c>
      <c r="T243" s="166">
        <v>14056</v>
      </c>
      <c r="U243" s="170">
        <v>5590.31</v>
      </c>
      <c r="V243" s="170">
        <f t="shared" si="23"/>
        <v>9557.619999999999</v>
      </c>
      <c r="W243" s="171">
        <v>1983.66</v>
      </c>
      <c r="X243" s="166">
        <v>54260</v>
      </c>
      <c r="Y243" s="170">
        <v>180.33</v>
      </c>
      <c r="Z243" s="168" t="s">
        <v>1053</v>
      </c>
      <c r="AA243" s="168"/>
      <c r="AB243" s="168">
        <v>65599513</v>
      </c>
      <c r="AC243" s="168"/>
      <c r="AD243" s="168" t="s">
        <v>1058</v>
      </c>
      <c r="AE243" s="168" t="s">
        <v>1059</v>
      </c>
      <c r="AF243" s="166" t="s">
        <v>284</v>
      </c>
      <c r="AG243" s="168"/>
      <c r="AH243" s="166" t="s">
        <v>1060</v>
      </c>
      <c r="AI243" s="168">
        <v>0</v>
      </c>
      <c r="AJ243" s="168">
        <v>0</v>
      </c>
      <c r="AP243" s="206"/>
      <c r="AQ243" s="207"/>
      <c r="AR243" s="207"/>
      <c r="AS243" s="207"/>
      <c r="AT243" s="208"/>
      <c r="AU243" s="207"/>
      <c r="AV243" s="208"/>
    </row>
    <row r="244" spans="1:48" s="205" customFormat="1" ht="15">
      <c r="A244" s="145"/>
      <c r="B244" s="166">
        <v>2183</v>
      </c>
      <c r="C244" s="167">
        <v>215135</v>
      </c>
      <c r="D244" s="166" t="s">
        <v>1053</v>
      </c>
      <c r="E244" s="168" t="s">
        <v>615</v>
      </c>
      <c r="F244" s="166">
        <v>472</v>
      </c>
      <c r="G244" s="168"/>
      <c r="H244" s="168"/>
      <c r="I244" s="168"/>
      <c r="J244" s="168">
        <v>0</v>
      </c>
      <c r="K244" s="168" t="s">
        <v>1241</v>
      </c>
      <c r="L244" s="168"/>
      <c r="M244" s="168"/>
      <c r="N244" s="169">
        <v>43591</v>
      </c>
      <c r="O244" s="169">
        <v>43591</v>
      </c>
      <c r="P244" s="168" t="s">
        <v>1359</v>
      </c>
      <c r="Q244" s="166">
        <v>700</v>
      </c>
      <c r="R244" s="166">
        <v>14050</v>
      </c>
      <c r="S244" s="170">
        <v>18015.09</v>
      </c>
      <c r="T244" s="166">
        <v>14056</v>
      </c>
      <c r="U244" s="170">
        <v>6648.43</v>
      </c>
      <c r="V244" s="170">
        <f t="shared" si="23"/>
        <v>11366.66</v>
      </c>
      <c r="W244" s="171">
        <v>2359.12</v>
      </c>
      <c r="X244" s="166">
        <v>54260</v>
      </c>
      <c r="Y244" s="170">
        <v>214.46</v>
      </c>
      <c r="Z244" s="168" t="s">
        <v>1053</v>
      </c>
      <c r="AA244" s="168"/>
      <c r="AB244" s="168">
        <v>65599513</v>
      </c>
      <c r="AC244" s="168"/>
      <c r="AD244" s="168" t="s">
        <v>1058</v>
      </c>
      <c r="AE244" s="168" t="s">
        <v>1059</v>
      </c>
      <c r="AF244" s="166" t="s">
        <v>284</v>
      </c>
      <c r="AG244" s="168"/>
      <c r="AH244" s="166" t="s">
        <v>1060</v>
      </c>
      <c r="AI244" s="168">
        <v>0</v>
      </c>
      <c r="AJ244" s="168">
        <v>0</v>
      </c>
      <c r="AP244" s="206"/>
      <c r="AQ244" s="207"/>
      <c r="AR244" s="207"/>
      <c r="AS244" s="207"/>
      <c r="AT244" s="208"/>
      <c r="AU244" s="207"/>
      <c r="AV244" s="208"/>
    </row>
    <row r="245" spans="1:48" s="205" customFormat="1" ht="15">
      <c r="A245" s="145"/>
      <c r="B245" s="166">
        <v>2183</v>
      </c>
      <c r="C245" s="167">
        <v>215134</v>
      </c>
      <c r="D245" s="166" t="s">
        <v>1053</v>
      </c>
      <c r="E245" s="168" t="s">
        <v>616</v>
      </c>
      <c r="F245" s="166">
        <v>624</v>
      </c>
      <c r="G245" s="168"/>
      <c r="H245" s="168"/>
      <c r="I245" s="168"/>
      <c r="J245" s="168">
        <v>0</v>
      </c>
      <c r="K245" s="168" t="s">
        <v>1241</v>
      </c>
      <c r="L245" s="168"/>
      <c r="M245" s="168"/>
      <c r="N245" s="169">
        <v>43591</v>
      </c>
      <c r="O245" s="169">
        <v>43591</v>
      </c>
      <c r="P245" s="168" t="s">
        <v>1359</v>
      </c>
      <c r="Q245" s="166">
        <v>700</v>
      </c>
      <c r="R245" s="166">
        <v>14050</v>
      </c>
      <c r="S245" s="170">
        <v>30295.86</v>
      </c>
      <c r="T245" s="166">
        <v>14056</v>
      </c>
      <c r="U245" s="170">
        <v>11180.62</v>
      </c>
      <c r="V245" s="170">
        <f t="shared" si="23"/>
        <v>19115.239999999998</v>
      </c>
      <c r="W245" s="171">
        <v>3967.32</v>
      </c>
      <c r="X245" s="166">
        <v>54260</v>
      </c>
      <c r="Y245" s="170">
        <v>360.67</v>
      </c>
      <c r="Z245" s="168" t="s">
        <v>1053</v>
      </c>
      <c r="AA245" s="168"/>
      <c r="AB245" s="168">
        <v>65599555</v>
      </c>
      <c r="AC245" s="168"/>
      <c r="AD245" s="168" t="s">
        <v>1058</v>
      </c>
      <c r="AE245" s="168" t="s">
        <v>1059</v>
      </c>
      <c r="AF245" s="166" t="s">
        <v>284</v>
      </c>
      <c r="AG245" s="168"/>
      <c r="AH245" s="166" t="s">
        <v>1060</v>
      </c>
      <c r="AI245" s="168">
        <v>0</v>
      </c>
      <c r="AJ245" s="168">
        <v>0</v>
      </c>
      <c r="AP245" s="206"/>
      <c r="AQ245" s="207"/>
      <c r="AR245" s="207"/>
      <c r="AS245" s="207"/>
      <c r="AT245" s="208"/>
      <c r="AU245" s="207"/>
      <c r="AV245" s="208"/>
    </row>
    <row r="246" spans="1:48" s="205" customFormat="1" ht="15">
      <c r="A246" s="145"/>
      <c r="B246" s="166">
        <v>2183</v>
      </c>
      <c r="C246" s="167">
        <v>214065</v>
      </c>
      <c r="D246" s="166" t="s">
        <v>1053</v>
      </c>
      <c r="E246" s="168" t="s">
        <v>1360</v>
      </c>
      <c r="F246" s="166"/>
      <c r="G246" s="168"/>
      <c r="H246" s="168" t="s">
        <v>1361</v>
      </c>
      <c r="I246" s="168"/>
      <c r="J246" s="168">
        <v>2019</v>
      </c>
      <c r="K246" s="168" t="s">
        <v>1196</v>
      </c>
      <c r="L246" s="168" t="s">
        <v>1231</v>
      </c>
      <c r="M246" s="168" t="s">
        <v>1232</v>
      </c>
      <c r="N246" s="169">
        <v>43616</v>
      </c>
      <c r="O246" s="169">
        <v>43616</v>
      </c>
      <c r="P246" s="168" t="s">
        <v>1362</v>
      </c>
      <c r="Q246" s="166">
        <v>1000</v>
      </c>
      <c r="R246" s="166">
        <v>14040</v>
      </c>
      <c r="S246" s="170">
        <v>264453.88</v>
      </c>
      <c r="T246" s="166">
        <v>14046</v>
      </c>
      <c r="U246" s="170">
        <v>66113.47</v>
      </c>
      <c r="V246" s="170">
        <f t="shared" si="23"/>
        <v>198340.41</v>
      </c>
      <c r="W246" s="171">
        <v>24241.61</v>
      </c>
      <c r="X246" s="166">
        <v>51260</v>
      </c>
      <c r="Y246" s="170">
        <v>2203.7800000000002</v>
      </c>
      <c r="Z246" s="168" t="s">
        <v>1053</v>
      </c>
      <c r="AA246" s="168"/>
      <c r="AB246" s="168">
        <v>4103238</v>
      </c>
      <c r="AC246" s="168">
        <v>4083</v>
      </c>
      <c r="AD246" s="168" t="s">
        <v>1058</v>
      </c>
      <c r="AE246" s="168" t="s">
        <v>1059</v>
      </c>
      <c r="AF246" s="166" t="s">
        <v>284</v>
      </c>
      <c r="AG246" s="168"/>
      <c r="AH246" s="166" t="s">
        <v>1060</v>
      </c>
      <c r="AI246" s="168">
        <v>0</v>
      </c>
      <c r="AJ246" s="168">
        <v>0</v>
      </c>
      <c r="AP246" s="206"/>
      <c r="AQ246" s="207"/>
      <c r="AR246" s="207"/>
      <c r="AS246" s="207"/>
      <c r="AT246" s="208"/>
      <c r="AU246" s="207"/>
      <c r="AV246" s="208"/>
    </row>
    <row r="247" spans="1:48" s="205" customFormat="1" ht="15">
      <c r="A247" s="145"/>
      <c r="B247" s="166">
        <v>2183</v>
      </c>
      <c r="C247" s="167">
        <v>214016</v>
      </c>
      <c r="D247" s="166" t="s">
        <v>1053</v>
      </c>
      <c r="E247" s="168" t="s">
        <v>802</v>
      </c>
      <c r="F247" s="166">
        <v>624</v>
      </c>
      <c r="G247" s="168"/>
      <c r="H247" s="168"/>
      <c r="I247" s="168"/>
      <c r="J247" s="168">
        <v>0</v>
      </c>
      <c r="K247" s="168" t="s">
        <v>1241</v>
      </c>
      <c r="L247" s="168"/>
      <c r="M247" s="168"/>
      <c r="N247" s="169">
        <v>43591</v>
      </c>
      <c r="O247" s="169">
        <v>43591</v>
      </c>
      <c r="P247" s="168" t="s">
        <v>1359</v>
      </c>
      <c r="Q247" s="166">
        <v>700</v>
      </c>
      <c r="R247" s="166">
        <v>14050</v>
      </c>
      <c r="S247" s="170">
        <v>30295.87</v>
      </c>
      <c r="T247" s="166">
        <v>14056</v>
      </c>
      <c r="U247" s="170">
        <v>11180.62</v>
      </c>
      <c r="V247" s="170">
        <f t="shared" si="23"/>
        <v>19115.25</v>
      </c>
      <c r="W247" s="171">
        <v>3967.32</v>
      </c>
      <c r="X247" s="166">
        <v>54260</v>
      </c>
      <c r="Y247" s="170">
        <v>360.67</v>
      </c>
      <c r="Z247" s="168" t="s">
        <v>1053</v>
      </c>
      <c r="AA247" s="168"/>
      <c r="AB247" s="168">
        <v>65599064</v>
      </c>
      <c r="AC247" s="168"/>
      <c r="AD247" s="168" t="s">
        <v>1058</v>
      </c>
      <c r="AE247" s="168" t="s">
        <v>1059</v>
      </c>
      <c r="AF247" s="166" t="s">
        <v>284</v>
      </c>
      <c r="AG247" s="168"/>
      <c r="AH247" s="166" t="s">
        <v>1060</v>
      </c>
      <c r="AI247" s="168">
        <v>0</v>
      </c>
      <c r="AJ247" s="168">
        <v>0</v>
      </c>
      <c r="AP247" s="206"/>
      <c r="AQ247" s="207"/>
      <c r="AR247" s="207"/>
      <c r="AS247" s="207"/>
      <c r="AT247" s="208"/>
      <c r="AU247" s="207"/>
      <c r="AV247" s="208"/>
    </row>
    <row r="248" spans="1:48" s="205" customFormat="1" ht="15">
      <c r="A248" s="145"/>
      <c r="B248" s="166">
        <v>2183</v>
      </c>
      <c r="C248" s="167">
        <v>213901</v>
      </c>
      <c r="D248" s="166" t="s">
        <v>1053</v>
      </c>
      <c r="E248" s="168" t="s">
        <v>820</v>
      </c>
      <c r="F248" s="166">
        <v>864</v>
      </c>
      <c r="G248" s="168"/>
      <c r="H248" s="168"/>
      <c r="I248" s="168"/>
      <c r="J248" s="168">
        <v>0</v>
      </c>
      <c r="K248" s="168" t="s">
        <v>1241</v>
      </c>
      <c r="L248" s="168"/>
      <c r="M248" s="168"/>
      <c r="N248" s="169">
        <v>43591</v>
      </c>
      <c r="O248" s="169">
        <v>43591</v>
      </c>
      <c r="P248" s="168" t="s">
        <v>1359</v>
      </c>
      <c r="Q248" s="166">
        <v>700</v>
      </c>
      <c r="R248" s="166">
        <v>14050</v>
      </c>
      <c r="S248" s="170">
        <v>37698.53</v>
      </c>
      <c r="T248" s="166">
        <v>14056</v>
      </c>
      <c r="U248" s="170">
        <v>13912.57</v>
      </c>
      <c r="V248" s="170">
        <f t="shared" si="23"/>
        <v>23785.96</v>
      </c>
      <c r="W248" s="171">
        <v>4936.72</v>
      </c>
      <c r="X248" s="166">
        <v>54260</v>
      </c>
      <c r="Y248" s="170">
        <v>448.79</v>
      </c>
      <c r="Z248" s="168" t="s">
        <v>1053</v>
      </c>
      <c r="AA248" s="168"/>
      <c r="AB248" s="168">
        <v>65597079</v>
      </c>
      <c r="AC248" s="168"/>
      <c r="AD248" s="168" t="s">
        <v>1058</v>
      </c>
      <c r="AE248" s="168" t="s">
        <v>1059</v>
      </c>
      <c r="AF248" s="166" t="s">
        <v>284</v>
      </c>
      <c r="AG248" s="168"/>
      <c r="AH248" s="166" t="s">
        <v>1060</v>
      </c>
      <c r="AI248" s="168">
        <v>0</v>
      </c>
      <c r="AJ248" s="168">
        <v>0</v>
      </c>
      <c r="AP248" s="206"/>
      <c r="AQ248" s="207"/>
      <c r="AR248" s="207"/>
      <c r="AS248" s="207"/>
      <c r="AT248" s="208"/>
      <c r="AU248" s="207"/>
      <c r="AV248" s="208"/>
    </row>
    <row r="249" spans="1:48" s="205" customFormat="1" ht="15">
      <c r="A249" s="145"/>
      <c r="B249" s="166">
        <v>2183</v>
      </c>
      <c r="C249" s="167">
        <v>211617</v>
      </c>
      <c r="D249" s="166" t="s">
        <v>1053</v>
      </c>
      <c r="E249" s="168" t="s">
        <v>799</v>
      </c>
      <c r="F249" s="166"/>
      <c r="G249" s="168"/>
      <c r="H249" s="168"/>
      <c r="I249" s="168" t="s">
        <v>1172</v>
      </c>
      <c r="J249" s="168">
        <v>0</v>
      </c>
      <c r="K249" s="168" t="s">
        <v>1261</v>
      </c>
      <c r="L249" s="168"/>
      <c r="M249" s="168"/>
      <c r="N249" s="169">
        <v>43518</v>
      </c>
      <c r="O249" s="169">
        <v>43518</v>
      </c>
      <c r="P249" s="168" t="s">
        <v>1363</v>
      </c>
      <c r="Q249" s="166">
        <v>300</v>
      </c>
      <c r="R249" s="166">
        <v>14110</v>
      </c>
      <c r="S249" s="170">
        <v>1365.69</v>
      </c>
      <c r="T249" s="166">
        <v>14116</v>
      </c>
      <c r="U249" s="170">
        <v>1251.8800000000001</v>
      </c>
      <c r="V249" s="170">
        <f t="shared" si="23"/>
        <v>113.80999999999995</v>
      </c>
      <c r="W249" s="171">
        <v>417.29</v>
      </c>
      <c r="X249" s="166">
        <v>70260</v>
      </c>
      <c r="Y249" s="170">
        <v>37.93</v>
      </c>
      <c r="Z249" s="168" t="s">
        <v>1053</v>
      </c>
      <c r="AA249" s="168"/>
      <c r="AB249" s="168" t="s">
        <v>1364</v>
      </c>
      <c r="AC249" s="168"/>
      <c r="AD249" s="168" t="s">
        <v>1058</v>
      </c>
      <c r="AE249" s="168" t="s">
        <v>1059</v>
      </c>
      <c r="AF249" s="166" t="s">
        <v>284</v>
      </c>
      <c r="AG249" s="168"/>
      <c r="AH249" s="166" t="s">
        <v>1060</v>
      </c>
      <c r="AI249" s="168">
        <v>0</v>
      </c>
      <c r="AJ249" s="168">
        <v>0</v>
      </c>
      <c r="AP249" s="206"/>
      <c r="AQ249" s="207"/>
      <c r="AR249" s="207"/>
      <c r="AS249" s="207"/>
      <c r="AT249" s="208"/>
      <c r="AU249" s="207"/>
      <c r="AV249" s="208"/>
    </row>
    <row r="250" spans="1:48" s="205" customFormat="1" ht="15">
      <c r="A250" s="145"/>
      <c r="B250" s="166">
        <v>2183</v>
      </c>
      <c r="C250" s="167">
        <v>210490</v>
      </c>
      <c r="D250" s="166">
        <v>61085</v>
      </c>
      <c r="E250" s="168" t="s">
        <v>798</v>
      </c>
      <c r="F250" s="166"/>
      <c r="G250" s="168"/>
      <c r="H250" s="168"/>
      <c r="I250" s="168"/>
      <c r="J250" s="168">
        <v>0</v>
      </c>
      <c r="K250" s="168" t="s">
        <v>1365</v>
      </c>
      <c r="L250" s="168"/>
      <c r="M250" s="168" t="s">
        <v>1108</v>
      </c>
      <c r="N250" s="169">
        <v>43514</v>
      </c>
      <c r="O250" s="169">
        <v>43514</v>
      </c>
      <c r="P250" s="168" t="s">
        <v>1366</v>
      </c>
      <c r="Q250" s="166">
        <v>300</v>
      </c>
      <c r="R250" s="166">
        <v>14040</v>
      </c>
      <c r="S250" s="170">
        <v>12037.33</v>
      </c>
      <c r="T250" s="166">
        <v>14046</v>
      </c>
      <c r="U250" s="170">
        <v>11034.21</v>
      </c>
      <c r="V250" s="170">
        <f t="shared" si="23"/>
        <v>1003.1200000000008</v>
      </c>
      <c r="W250" s="171">
        <v>3678.07</v>
      </c>
      <c r="X250" s="166">
        <v>51260</v>
      </c>
      <c r="Y250" s="170">
        <v>334.37</v>
      </c>
      <c r="Z250" s="168" t="s">
        <v>1053</v>
      </c>
      <c r="AA250" s="168"/>
      <c r="AB250" s="168" t="s">
        <v>1367</v>
      </c>
      <c r="AC250" s="168"/>
      <c r="AD250" s="168" t="s">
        <v>1058</v>
      </c>
      <c r="AE250" s="168" t="s">
        <v>1059</v>
      </c>
      <c r="AF250" s="166" t="s">
        <v>284</v>
      </c>
      <c r="AG250" s="168"/>
      <c r="AH250" s="166" t="s">
        <v>1060</v>
      </c>
      <c r="AI250" s="168">
        <v>0</v>
      </c>
      <c r="AJ250" s="168">
        <v>0</v>
      </c>
      <c r="AP250" s="206"/>
      <c r="AQ250" s="207"/>
      <c r="AR250" s="207"/>
      <c r="AS250" s="207"/>
      <c r="AT250" s="208"/>
      <c r="AU250" s="207"/>
      <c r="AV250" s="208"/>
    </row>
    <row r="251" spans="1:48" s="205" customFormat="1" ht="15">
      <c r="A251" s="145"/>
      <c r="B251" s="166">
        <v>2183</v>
      </c>
      <c r="C251" s="167">
        <v>210121</v>
      </c>
      <c r="D251" s="166" t="s">
        <v>1053</v>
      </c>
      <c r="E251" s="168" t="s">
        <v>736</v>
      </c>
      <c r="F251" s="166">
        <v>624</v>
      </c>
      <c r="G251" s="168"/>
      <c r="H251" s="168"/>
      <c r="I251" s="168"/>
      <c r="J251" s="168">
        <v>0</v>
      </c>
      <c r="K251" s="168" t="s">
        <v>1241</v>
      </c>
      <c r="L251" s="168"/>
      <c r="M251" s="168"/>
      <c r="N251" s="169">
        <v>43486</v>
      </c>
      <c r="O251" s="169">
        <v>43486</v>
      </c>
      <c r="P251" s="168" t="s">
        <v>1368</v>
      </c>
      <c r="Q251" s="166">
        <v>700</v>
      </c>
      <c r="R251" s="166">
        <v>14050</v>
      </c>
      <c r="S251" s="170">
        <v>31843.759999999998</v>
      </c>
      <c r="T251" s="166">
        <v>14056</v>
      </c>
      <c r="U251" s="170">
        <v>12889.15</v>
      </c>
      <c r="V251" s="170">
        <f t="shared" si="23"/>
        <v>18954.61</v>
      </c>
      <c r="W251" s="171">
        <v>4170.0200000000004</v>
      </c>
      <c r="X251" s="166">
        <v>54260</v>
      </c>
      <c r="Y251" s="170">
        <v>379.09</v>
      </c>
      <c r="Z251" s="168" t="s">
        <v>1053</v>
      </c>
      <c r="AA251" s="168"/>
      <c r="AB251" s="168">
        <v>65574050</v>
      </c>
      <c r="AC251" s="168"/>
      <c r="AD251" s="168" t="s">
        <v>1058</v>
      </c>
      <c r="AE251" s="168" t="s">
        <v>1059</v>
      </c>
      <c r="AF251" s="166" t="s">
        <v>284</v>
      </c>
      <c r="AG251" s="168"/>
      <c r="AH251" s="166" t="s">
        <v>1060</v>
      </c>
      <c r="AI251" s="168">
        <v>0</v>
      </c>
      <c r="AJ251" s="168">
        <v>0</v>
      </c>
      <c r="AP251" s="206"/>
      <c r="AQ251" s="207"/>
      <c r="AR251" s="207"/>
      <c r="AS251" s="207"/>
      <c r="AT251" s="208"/>
      <c r="AU251" s="207"/>
      <c r="AV251" s="208"/>
    </row>
    <row r="252" spans="1:48" s="205" customFormat="1" ht="15">
      <c r="A252" s="145"/>
      <c r="B252" s="166">
        <v>2183</v>
      </c>
      <c r="C252" s="167">
        <v>210120</v>
      </c>
      <c r="D252" s="166" t="s">
        <v>1053</v>
      </c>
      <c r="E252" s="168" t="s">
        <v>802</v>
      </c>
      <c r="F252" s="166">
        <v>624</v>
      </c>
      <c r="G252" s="168"/>
      <c r="H252" s="168"/>
      <c r="I252" s="168"/>
      <c r="J252" s="168">
        <v>0</v>
      </c>
      <c r="K252" s="168" t="s">
        <v>1241</v>
      </c>
      <c r="L252" s="168"/>
      <c r="M252" s="168"/>
      <c r="N252" s="169">
        <v>43486</v>
      </c>
      <c r="O252" s="169">
        <v>43486</v>
      </c>
      <c r="P252" s="168" t="s">
        <v>1368</v>
      </c>
      <c r="Q252" s="166">
        <v>700</v>
      </c>
      <c r="R252" s="166">
        <v>14050</v>
      </c>
      <c r="S252" s="170">
        <v>31843.759999999998</v>
      </c>
      <c r="T252" s="166">
        <v>14056</v>
      </c>
      <c r="U252" s="170">
        <v>12889.15</v>
      </c>
      <c r="V252" s="170">
        <f t="shared" si="23"/>
        <v>18954.61</v>
      </c>
      <c r="W252" s="171">
        <v>4170.0200000000004</v>
      </c>
      <c r="X252" s="166">
        <v>54260</v>
      </c>
      <c r="Y252" s="170">
        <v>379.09</v>
      </c>
      <c r="Z252" s="168" t="s">
        <v>1053</v>
      </c>
      <c r="AA252" s="168"/>
      <c r="AB252" s="168">
        <v>65573674</v>
      </c>
      <c r="AC252" s="168"/>
      <c r="AD252" s="168" t="s">
        <v>1058</v>
      </c>
      <c r="AE252" s="168" t="s">
        <v>1059</v>
      </c>
      <c r="AF252" s="166" t="s">
        <v>284</v>
      </c>
      <c r="AG252" s="168"/>
      <c r="AH252" s="166" t="s">
        <v>1060</v>
      </c>
      <c r="AI252" s="168">
        <v>0</v>
      </c>
      <c r="AJ252" s="168">
        <v>0</v>
      </c>
      <c r="AP252" s="206"/>
      <c r="AQ252" s="207"/>
      <c r="AR252" s="207"/>
      <c r="AS252" s="207"/>
      <c r="AT252" s="208"/>
      <c r="AU252" s="207"/>
      <c r="AV252" s="208"/>
    </row>
    <row r="253" spans="1:48" s="205" customFormat="1" ht="15">
      <c r="A253" s="145"/>
      <c r="B253" s="166">
        <v>2183</v>
      </c>
      <c r="C253" s="167">
        <v>210119</v>
      </c>
      <c r="D253" s="166" t="s">
        <v>1053</v>
      </c>
      <c r="E253" s="168" t="s">
        <v>735</v>
      </c>
      <c r="F253" s="166">
        <v>945</v>
      </c>
      <c r="G253" s="168"/>
      <c r="H253" s="168"/>
      <c r="I253" s="168"/>
      <c r="J253" s="168">
        <v>0</v>
      </c>
      <c r="K253" s="168" t="s">
        <v>1241</v>
      </c>
      <c r="L253" s="168"/>
      <c r="M253" s="168"/>
      <c r="N253" s="169">
        <v>43486</v>
      </c>
      <c r="O253" s="169">
        <v>43486</v>
      </c>
      <c r="P253" s="168" t="s">
        <v>1368</v>
      </c>
      <c r="Q253" s="166">
        <v>700</v>
      </c>
      <c r="R253" s="166">
        <v>14050</v>
      </c>
      <c r="S253" s="170">
        <v>37953.050000000003</v>
      </c>
      <c r="T253" s="166">
        <v>14056</v>
      </c>
      <c r="U253" s="170">
        <v>15361.96</v>
      </c>
      <c r="V253" s="170">
        <f t="shared" si="23"/>
        <v>22591.090000000004</v>
      </c>
      <c r="W253" s="171">
        <v>4970.05</v>
      </c>
      <c r="X253" s="166">
        <v>54260</v>
      </c>
      <c r="Y253" s="170">
        <v>451.82</v>
      </c>
      <c r="Z253" s="168" t="s">
        <v>1053</v>
      </c>
      <c r="AA253" s="168"/>
      <c r="AB253" s="168">
        <v>65574548</v>
      </c>
      <c r="AC253" s="168"/>
      <c r="AD253" s="168" t="s">
        <v>1058</v>
      </c>
      <c r="AE253" s="168" t="s">
        <v>1059</v>
      </c>
      <c r="AF253" s="166" t="s">
        <v>284</v>
      </c>
      <c r="AG253" s="168"/>
      <c r="AH253" s="166" t="s">
        <v>1060</v>
      </c>
      <c r="AI253" s="168">
        <v>0</v>
      </c>
      <c r="AJ253" s="168">
        <v>0</v>
      </c>
      <c r="AP253" s="206"/>
      <c r="AQ253" s="207"/>
      <c r="AR253" s="207"/>
      <c r="AS253" s="207"/>
      <c r="AT253" s="208"/>
      <c r="AU253" s="207"/>
      <c r="AV253" s="208"/>
    </row>
    <row r="254" spans="1:48" s="205" customFormat="1" ht="15">
      <c r="A254" s="145"/>
      <c r="B254" s="166">
        <v>2183</v>
      </c>
      <c r="C254" s="167">
        <v>210118</v>
      </c>
      <c r="D254" s="166" t="s">
        <v>1053</v>
      </c>
      <c r="E254" s="168" t="s">
        <v>864</v>
      </c>
      <c r="F254" s="166">
        <v>864</v>
      </c>
      <c r="G254" s="168"/>
      <c r="H254" s="168"/>
      <c r="I254" s="168"/>
      <c r="J254" s="168">
        <v>0</v>
      </c>
      <c r="K254" s="168" t="s">
        <v>1241</v>
      </c>
      <c r="L254" s="168"/>
      <c r="M254" s="168"/>
      <c r="N254" s="169">
        <v>43486</v>
      </c>
      <c r="O254" s="169">
        <v>43486</v>
      </c>
      <c r="P254" s="168" t="s">
        <v>1368</v>
      </c>
      <c r="Q254" s="166">
        <v>700</v>
      </c>
      <c r="R254" s="166">
        <v>14050</v>
      </c>
      <c r="S254" s="170">
        <v>39187.980000000003</v>
      </c>
      <c r="T254" s="166">
        <v>14056</v>
      </c>
      <c r="U254" s="170">
        <v>15861.8</v>
      </c>
      <c r="V254" s="170">
        <f t="shared" si="23"/>
        <v>23326.180000000004</v>
      </c>
      <c r="W254" s="171">
        <v>5131.76</v>
      </c>
      <c r="X254" s="166">
        <v>54260</v>
      </c>
      <c r="Y254" s="170">
        <v>466.53</v>
      </c>
      <c r="Z254" s="168" t="s">
        <v>1053</v>
      </c>
      <c r="AA254" s="168"/>
      <c r="AB254" s="168">
        <v>65572870</v>
      </c>
      <c r="AC254" s="168"/>
      <c r="AD254" s="168" t="s">
        <v>1058</v>
      </c>
      <c r="AE254" s="168" t="s">
        <v>1059</v>
      </c>
      <c r="AF254" s="166" t="s">
        <v>284</v>
      </c>
      <c r="AG254" s="168"/>
      <c r="AH254" s="166" t="s">
        <v>1060</v>
      </c>
      <c r="AI254" s="168">
        <v>0</v>
      </c>
      <c r="AJ254" s="168">
        <v>0</v>
      </c>
      <c r="AP254" s="206"/>
      <c r="AQ254" s="207"/>
      <c r="AR254" s="207"/>
      <c r="AS254" s="207"/>
      <c r="AT254" s="208"/>
      <c r="AU254" s="207"/>
      <c r="AV254" s="208"/>
    </row>
    <row r="255" spans="1:48" s="205" customFormat="1" ht="15">
      <c r="A255" s="145"/>
      <c r="B255" s="166">
        <v>2183</v>
      </c>
      <c r="C255" s="167">
        <v>210117</v>
      </c>
      <c r="D255" s="166" t="s">
        <v>1053</v>
      </c>
      <c r="E255" s="168" t="s">
        <v>1263</v>
      </c>
      <c r="F255" s="166">
        <v>624</v>
      </c>
      <c r="G255" s="168"/>
      <c r="H255" s="168"/>
      <c r="I255" s="168"/>
      <c r="J255" s="168">
        <v>0</v>
      </c>
      <c r="K255" s="168" t="s">
        <v>1241</v>
      </c>
      <c r="L255" s="168"/>
      <c r="M255" s="168"/>
      <c r="N255" s="169">
        <v>43486</v>
      </c>
      <c r="O255" s="169">
        <v>43486</v>
      </c>
      <c r="P255" s="168" t="s">
        <v>1368</v>
      </c>
      <c r="Q255" s="166">
        <v>700</v>
      </c>
      <c r="R255" s="166">
        <v>14050</v>
      </c>
      <c r="S255" s="170">
        <v>31843.759999999998</v>
      </c>
      <c r="T255" s="166">
        <v>14056</v>
      </c>
      <c r="U255" s="170">
        <v>12889.15</v>
      </c>
      <c r="V255" s="170">
        <f t="shared" si="23"/>
        <v>18954.61</v>
      </c>
      <c r="W255" s="171">
        <v>4170.0200000000004</v>
      </c>
      <c r="X255" s="166">
        <v>54260</v>
      </c>
      <c r="Y255" s="170">
        <v>379.09</v>
      </c>
      <c r="Z255" s="168" t="s">
        <v>1053</v>
      </c>
      <c r="AA255" s="168"/>
      <c r="AB255" s="168">
        <v>65573261</v>
      </c>
      <c r="AC255" s="168"/>
      <c r="AD255" s="168" t="s">
        <v>1058</v>
      </c>
      <c r="AE255" s="168" t="s">
        <v>1059</v>
      </c>
      <c r="AF255" s="166" t="s">
        <v>284</v>
      </c>
      <c r="AG255" s="168"/>
      <c r="AH255" s="166" t="s">
        <v>1060</v>
      </c>
      <c r="AI255" s="168">
        <v>0</v>
      </c>
      <c r="AJ255" s="168">
        <v>0</v>
      </c>
      <c r="AP255" s="206"/>
      <c r="AQ255" s="207"/>
      <c r="AR255" s="207"/>
      <c r="AS255" s="207"/>
      <c r="AT255" s="208"/>
      <c r="AU255" s="207"/>
      <c r="AV255" s="208"/>
    </row>
    <row r="256" spans="1:48" s="205" customFormat="1" ht="15">
      <c r="A256" s="145"/>
      <c r="B256" s="166">
        <v>2183</v>
      </c>
      <c r="C256" s="167">
        <v>210008</v>
      </c>
      <c r="D256" s="166" t="s">
        <v>1053</v>
      </c>
      <c r="E256" s="168" t="s">
        <v>800</v>
      </c>
      <c r="F256" s="166"/>
      <c r="G256" s="168"/>
      <c r="H256" s="168"/>
      <c r="I256" s="168"/>
      <c r="J256" s="168">
        <v>0</v>
      </c>
      <c r="K256" s="168" t="s">
        <v>1261</v>
      </c>
      <c r="L256" s="168"/>
      <c r="M256" s="168"/>
      <c r="N256" s="169">
        <v>43496</v>
      </c>
      <c r="O256" s="169">
        <v>43496</v>
      </c>
      <c r="P256" s="168" t="s">
        <v>1350</v>
      </c>
      <c r="Q256" s="166">
        <v>300</v>
      </c>
      <c r="R256" s="166">
        <v>14110</v>
      </c>
      <c r="S256" s="170">
        <v>1555.07</v>
      </c>
      <c r="T256" s="166">
        <v>14116</v>
      </c>
      <c r="U256" s="170">
        <v>1468.68</v>
      </c>
      <c r="V256" s="170">
        <f t="shared" si="23"/>
        <v>86.389999999999873</v>
      </c>
      <c r="W256" s="171">
        <v>475.16</v>
      </c>
      <c r="X256" s="166">
        <v>70260</v>
      </c>
      <c r="Y256" s="170">
        <v>43.19</v>
      </c>
      <c r="Z256" s="168" t="s">
        <v>1053</v>
      </c>
      <c r="AA256" s="168"/>
      <c r="AB256" s="168" t="s">
        <v>1369</v>
      </c>
      <c r="AC256" s="168"/>
      <c r="AD256" s="168" t="s">
        <v>1058</v>
      </c>
      <c r="AE256" s="168" t="s">
        <v>1059</v>
      </c>
      <c r="AF256" s="166" t="s">
        <v>284</v>
      </c>
      <c r="AG256" s="168"/>
      <c r="AH256" s="166" t="s">
        <v>1060</v>
      </c>
      <c r="AI256" s="168">
        <v>0</v>
      </c>
      <c r="AJ256" s="168">
        <v>0</v>
      </c>
      <c r="AP256" s="206"/>
      <c r="AQ256" s="207"/>
      <c r="AR256" s="207"/>
      <c r="AS256" s="207"/>
      <c r="AT256" s="208"/>
      <c r="AU256" s="207"/>
      <c r="AV256" s="208"/>
    </row>
    <row r="257" spans="1:48" s="205" customFormat="1" ht="15">
      <c r="A257" s="145"/>
      <c r="B257" s="166">
        <v>2183</v>
      </c>
      <c r="C257" s="167">
        <v>207446</v>
      </c>
      <c r="D257" s="166" t="s">
        <v>1053</v>
      </c>
      <c r="E257" s="168" t="s">
        <v>1370</v>
      </c>
      <c r="F257" s="166">
        <v>22</v>
      </c>
      <c r="G257" s="168"/>
      <c r="H257" s="168"/>
      <c r="I257" s="168"/>
      <c r="J257" s="168">
        <v>0</v>
      </c>
      <c r="K257" s="168" t="s">
        <v>1265</v>
      </c>
      <c r="L257" s="168"/>
      <c r="M257" s="168" t="s">
        <v>1139</v>
      </c>
      <c r="N257" s="169">
        <v>43411</v>
      </c>
      <c r="O257" s="169">
        <v>43411</v>
      </c>
      <c r="P257" s="168" t="s">
        <v>1371</v>
      </c>
      <c r="Q257" s="166">
        <v>1200</v>
      </c>
      <c r="R257" s="166">
        <v>14050</v>
      </c>
      <c r="S257" s="170">
        <v>16484.080000000002</v>
      </c>
      <c r="T257" s="166">
        <v>14056</v>
      </c>
      <c r="U257" s="170">
        <v>4235.49</v>
      </c>
      <c r="V257" s="170">
        <f t="shared" si="23"/>
        <v>12248.590000000002</v>
      </c>
      <c r="W257" s="171">
        <v>1259.2</v>
      </c>
      <c r="X257" s="166">
        <v>54260</v>
      </c>
      <c r="Y257" s="170">
        <v>114.47</v>
      </c>
      <c r="Z257" s="168" t="s">
        <v>1053</v>
      </c>
      <c r="AA257" s="168"/>
      <c r="AB257" s="168" t="s">
        <v>1372</v>
      </c>
      <c r="AC257" s="168"/>
      <c r="AD257" s="168" t="s">
        <v>1058</v>
      </c>
      <c r="AE257" s="168" t="s">
        <v>1059</v>
      </c>
      <c r="AF257" s="166" t="s">
        <v>284</v>
      </c>
      <c r="AG257" s="168"/>
      <c r="AH257" s="166" t="s">
        <v>1060</v>
      </c>
      <c r="AI257" s="168">
        <v>0</v>
      </c>
      <c r="AJ257" s="168">
        <v>0</v>
      </c>
      <c r="AP257" s="206"/>
      <c r="AQ257" s="207"/>
      <c r="AR257" s="207"/>
      <c r="AS257" s="207"/>
      <c r="AT257" s="208"/>
      <c r="AU257" s="207"/>
      <c r="AV257" s="208"/>
    </row>
    <row r="258" spans="1:48" s="205" customFormat="1" ht="15">
      <c r="A258" s="145"/>
      <c r="B258" s="166">
        <v>2183</v>
      </c>
      <c r="C258" s="167">
        <v>207445</v>
      </c>
      <c r="D258" s="166" t="s">
        <v>1053</v>
      </c>
      <c r="E258" s="168" t="s">
        <v>1373</v>
      </c>
      <c r="F258" s="166">
        <v>22</v>
      </c>
      <c r="G258" s="168"/>
      <c r="H258" s="168"/>
      <c r="I258" s="168"/>
      <c r="J258" s="168">
        <v>0</v>
      </c>
      <c r="K258" s="168" t="s">
        <v>1265</v>
      </c>
      <c r="L258" s="168"/>
      <c r="M258" s="168" t="s">
        <v>1143</v>
      </c>
      <c r="N258" s="169">
        <v>43411</v>
      </c>
      <c r="O258" s="169">
        <v>43411</v>
      </c>
      <c r="P258" s="168" t="s">
        <v>1371</v>
      </c>
      <c r="Q258" s="166">
        <v>1200</v>
      </c>
      <c r="R258" s="166">
        <v>14050</v>
      </c>
      <c r="S258" s="170">
        <v>17253.61</v>
      </c>
      <c r="T258" s="166">
        <v>14056</v>
      </c>
      <c r="U258" s="170">
        <v>4433.21</v>
      </c>
      <c r="V258" s="170">
        <f t="shared" si="23"/>
        <v>12820.400000000001</v>
      </c>
      <c r="W258" s="171">
        <v>1317.98</v>
      </c>
      <c r="X258" s="166">
        <v>54260</v>
      </c>
      <c r="Y258" s="170">
        <v>119.81</v>
      </c>
      <c r="Z258" s="168" t="s">
        <v>1053</v>
      </c>
      <c r="AA258" s="168"/>
      <c r="AB258" s="168" t="s">
        <v>1372</v>
      </c>
      <c r="AC258" s="168"/>
      <c r="AD258" s="168" t="s">
        <v>1058</v>
      </c>
      <c r="AE258" s="168" t="s">
        <v>1059</v>
      </c>
      <c r="AF258" s="166" t="s">
        <v>284</v>
      </c>
      <c r="AG258" s="168"/>
      <c r="AH258" s="166" t="s">
        <v>1060</v>
      </c>
      <c r="AI258" s="168">
        <v>0</v>
      </c>
      <c r="AJ258" s="168">
        <v>0</v>
      </c>
      <c r="AP258" s="206"/>
      <c r="AQ258" s="207"/>
      <c r="AR258" s="207"/>
      <c r="AS258" s="207"/>
      <c r="AT258" s="208"/>
      <c r="AU258" s="207"/>
      <c r="AV258" s="208"/>
    </row>
    <row r="259" spans="1:48" s="205" customFormat="1" ht="15">
      <c r="A259" s="145"/>
      <c r="B259" s="166">
        <v>2183</v>
      </c>
      <c r="C259" s="167">
        <v>207444</v>
      </c>
      <c r="D259" s="166" t="s">
        <v>1053</v>
      </c>
      <c r="E259" s="168" t="s">
        <v>1374</v>
      </c>
      <c r="F259" s="166">
        <v>48</v>
      </c>
      <c r="G259" s="168"/>
      <c r="H259" s="168"/>
      <c r="I259" s="168"/>
      <c r="J259" s="168">
        <v>0</v>
      </c>
      <c r="K259" s="168" t="s">
        <v>1265</v>
      </c>
      <c r="L259" s="168"/>
      <c r="M259" s="168" t="s">
        <v>1129</v>
      </c>
      <c r="N259" s="169">
        <v>43411</v>
      </c>
      <c r="O259" s="169">
        <v>43411</v>
      </c>
      <c r="P259" s="168" t="s">
        <v>1371</v>
      </c>
      <c r="Q259" s="166">
        <v>1200</v>
      </c>
      <c r="R259" s="166">
        <v>14050</v>
      </c>
      <c r="S259" s="170">
        <v>29272.880000000001</v>
      </c>
      <c r="T259" s="166">
        <v>14056</v>
      </c>
      <c r="U259" s="170">
        <v>7521.52</v>
      </c>
      <c r="V259" s="170">
        <f t="shared" si="23"/>
        <v>21751.360000000001</v>
      </c>
      <c r="W259" s="171">
        <v>2236.13</v>
      </c>
      <c r="X259" s="166">
        <v>54260</v>
      </c>
      <c r="Y259" s="170">
        <v>203.29</v>
      </c>
      <c r="Z259" s="168" t="s">
        <v>1053</v>
      </c>
      <c r="AA259" s="168"/>
      <c r="AB259" s="168" t="s">
        <v>1372</v>
      </c>
      <c r="AC259" s="168"/>
      <c r="AD259" s="168" t="s">
        <v>1058</v>
      </c>
      <c r="AE259" s="168" t="s">
        <v>1059</v>
      </c>
      <c r="AF259" s="166" t="s">
        <v>284</v>
      </c>
      <c r="AG259" s="168"/>
      <c r="AH259" s="166" t="s">
        <v>1060</v>
      </c>
      <c r="AI259" s="168">
        <v>0</v>
      </c>
      <c r="AJ259" s="168">
        <v>0</v>
      </c>
      <c r="AP259" s="206"/>
      <c r="AQ259" s="207"/>
      <c r="AR259" s="207"/>
      <c r="AS259" s="207"/>
      <c r="AT259" s="208"/>
      <c r="AU259" s="207"/>
      <c r="AV259" s="208"/>
    </row>
    <row r="260" spans="1:48" s="205" customFormat="1" ht="15">
      <c r="A260" s="145"/>
      <c r="B260" s="166">
        <v>2183</v>
      </c>
      <c r="C260" s="167">
        <v>207237</v>
      </c>
      <c r="D260" s="166" t="s">
        <v>1053</v>
      </c>
      <c r="E260" s="168" t="s">
        <v>747</v>
      </c>
      <c r="F260" s="166"/>
      <c r="G260" s="168"/>
      <c r="H260" s="168" t="s">
        <v>1375</v>
      </c>
      <c r="I260" s="168"/>
      <c r="J260" s="168">
        <v>2019</v>
      </c>
      <c r="K260" s="168" t="s">
        <v>1196</v>
      </c>
      <c r="L260" s="168" t="s">
        <v>1231</v>
      </c>
      <c r="M260" s="168" t="s">
        <v>1232</v>
      </c>
      <c r="N260" s="169">
        <v>43440</v>
      </c>
      <c r="O260" s="169">
        <v>43440</v>
      </c>
      <c r="P260" s="168" t="s">
        <v>1376</v>
      </c>
      <c r="Q260" s="166">
        <v>1000</v>
      </c>
      <c r="R260" s="166">
        <v>14040</v>
      </c>
      <c r="S260" s="170">
        <v>250296.54</v>
      </c>
      <c r="T260" s="166">
        <v>14046</v>
      </c>
      <c r="U260" s="170">
        <v>75088.929999999993</v>
      </c>
      <c r="V260" s="170">
        <f t="shared" si="23"/>
        <v>175207.61000000002</v>
      </c>
      <c r="W260" s="171">
        <v>22943.84</v>
      </c>
      <c r="X260" s="166">
        <v>51260</v>
      </c>
      <c r="Y260" s="170">
        <v>2085.8000000000002</v>
      </c>
      <c r="Z260" s="168" t="s">
        <v>1053</v>
      </c>
      <c r="AA260" s="168"/>
      <c r="AB260" s="168">
        <v>238420</v>
      </c>
      <c r="AC260" s="168">
        <v>4082</v>
      </c>
      <c r="AD260" s="168" t="s">
        <v>1058</v>
      </c>
      <c r="AE260" s="168" t="s">
        <v>1059</v>
      </c>
      <c r="AF260" s="166" t="s">
        <v>284</v>
      </c>
      <c r="AG260" s="168"/>
      <c r="AH260" s="166" t="s">
        <v>1060</v>
      </c>
      <c r="AI260" s="168">
        <v>0</v>
      </c>
      <c r="AJ260" s="168">
        <v>0</v>
      </c>
      <c r="AP260" s="206"/>
      <c r="AQ260" s="207"/>
      <c r="AR260" s="207"/>
      <c r="AS260" s="207"/>
      <c r="AT260" s="208"/>
      <c r="AU260" s="207"/>
      <c r="AV260" s="208"/>
    </row>
    <row r="261" spans="1:48" s="205" customFormat="1" ht="15">
      <c r="A261" s="145"/>
      <c r="B261" s="166">
        <v>2183</v>
      </c>
      <c r="C261" s="167">
        <v>206758</v>
      </c>
      <c r="D261" s="166" t="s">
        <v>1053</v>
      </c>
      <c r="E261" s="168" t="s">
        <v>1377</v>
      </c>
      <c r="F261" s="166">
        <v>24</v>
      </c>
      <c r="G261" s="168"/>
      <c r="H261" s="168"/>
      <c r="I261" s="168"/>
      <c r="J261" s="168">
        <v>0</v>
      </c>
      <c r="K261" s="168" t="s">
        <v>1265</v>
      </c>
      <c r="L261" s="168"/>
      <c r="M261" s="168" t="s">
        <v>1207</v>
      </c>
      <c r="N261" s="169">
        <v>43411</v>
      </c>
      <c r="O261" s="169">
        <v>43411</v>
      </c>
      <c r="P261" s="168" t="s">
        <v>1371</v>
      </c>
      <c r="Q261" s="166">
        <v>1200</v>
      </c>
      <c r="R261" s="166">
        <v>14050</v>
      </c>
      <c r="S261" s="170">
        <v>22721.59</v>
      </c>
      <c r="T261" s="166">
        <v>14056</v>
      </c>
      <c r="U261" s="170">
        <v>5838.2</v>
      </c>
      <c r="V261" s="170">
        <f t="shared" si="23"/>
        <v>16883.39</v>
      </c>
      <c r="W261" s="171">
        <v>1735.68</v>
      </c>
      <c r="X261" s="166">
        <v>54260</v>
      </c>
      <c r="Y261" s="170">
        <v>157.79</v>
      </c>
      <c r="Z261" s="168" t="s">
        <v>1053</v>
      </c>
      <c r="AA261" s="168"/>
      <c r="AB261" s="168" t="s">
        <v>1378</v>
      </c>
      <c r="AC261" s="168"/>
      <c r="AD261" s="168" t="s">
        <v>1058</v>
      </c>
      <c r="AE261" s="168" t="s">
        <v>1059</v>
      </c>
      <c r="AF261" s="166" t="s">
        <v>284</v>
      </c>
      <c r="AG261" s="168"/>
      <c r="AH261" s="166" t="s">
        <v>1060</v>
      </c>
      <c r="AI261" s="168">
        <v>0</v>
      </c>
      <c r="AJ261" s="168">
        <v>0</v>
      </c>
      <c r="AP261" s="206"/>
      <c r="AQ261" s="207"/>
      <c r="AR261" s="207"/>
      <c r="AS261" s="207"/>
      <c r="AT261" s="208"/>
      <c r="AU261" s="207"/>
      <c r="AV261" s="208"/>
    </row>
    <row r="262" spans="1:48" s="205" customFormat="1" ht="15">
      <c r="A262" s="145"/>
      <c r="B262" s="166">
        <v>2183</v>
      </c>
      <c r="C262" s="167">
        <v>206757</v>
      </c>
      <c r="D262" s="166" t="s">
        <v>1053</v>
      </c>
      <c r="E262" s="168" t="s">
        <v>1379</v>
      </c>
      <c r="F262" s="166">
        <v>20</v>
      </c>
      <c r="G262" s="168"/>
      <c r="H262" s="168"/>
      <c r="I262" s="168"/>
      <c r="J262" s="168">
        <v>0</v>
      </c>
      <c r="K262" s="168" t="s">
        <v>1265</v>
      </c>
      <c r="L262" s="168"/>
      <c r="M262" s="168" t="s">
        <v>1136</v>
      </c>
      <c r="N262" s="169">
        <v>43411</v>
      </c>
      <c r="O262" s="169">
        <v>43411</v>
      </c>
      <c r="P262" s="168" t="s">
        <v>1371</v>
      </c>
      <c r="Q262" s="166">
        <v>1200</v>
      </c>
      <c r="R262" s="166">
        <v>14050</v>
      </c>
      <c r="S262" s="170">
        <v>13835.75</v>
      </c>
      <c r="T262" s="166">
        <v>14056</v>
      </c>
      <c r="U262" s="170">
        <v>3555.02</v>
      </c>
      <c r="V262" s="170">
        <f t="shared" si="23"/>
        <v>10280.73</v>
      </c>
      <c r="W262" s="171">
        <v>1056.9000000000001</v>
      </c>
      <c r="X262" s="166">
        <v>54260</v>
      </c>
      <c r="Y262" s="170">
        <v>96.08</v>
      </c>
      <c r="Z262" s="168" t="s">
        <v>1053</v>
      </c>
      <c r="AA262" s="168"/>
      <c r="AB262" s="168" t="s">
        <v>1378</v>
      </c>
      <c r="AC262" s="168"/>
      <c r="AD262" s="168" t="s">
        <v>1058</v>
      </c>
      <c r="AE262" s="168" t="s">
        <v>1059</v>
      </c>
      <c r="AF262" s="166" t="s">
        <v>284</v>
      </c>
      <c r="AG262" s="168"/>
      <c r="AH262" s="166" t="s">
        <v>1060</v>
      </c>
      <c r="AI262" s="168">
        <v>0</v>
      </c>
      <c r="AJ262" s="168">
        <v>0</v>
      </c>
      <c r="AP262" s="206"/>
      <c r="AQ262" s="207"/>
      <c r="AR262" s="207"/>
      <c r="AS262" s="207"/>
      <c r="AT262" s="208"/>
      <c r="AU262" s="207"/>
      <c r="AV262" s="208"/>
    </row>
    <row r="263" spans="1:48" s="205" customFormat="1" ht="15">
      <c r="A263" s="145"/>
      <c r="B263" s="166">
        <v>2183</v>
      </c>
      <c r="C263" s="167">
        <v>206416</v>
      </c>
      <c r="D263" s="166" t="s">
        <v>1053</v>
      </c>
      <c r="E263" s="168" t="s">
        <v>1380</v>
      </c>
      <c r="F263" s="166">
        <v>5</v>
      </c>
      <c r="G263" s="168"/>
      <c r="H263" s="168"/>
      <c r="I263" s="168"/>
      <c r="J263" s="168">
        <v>0</v>
      </c>
      <c r="K263" s="168" t="s">
        <v>1265</v>
      </c>
      <c r="L263" s="168"/>
      <c r="M263" s="168" t="s">
        <v>1145</v>
      </c>
      <c r="N263" s="169">
        <v>43377</v>
      </c>
      <c r="O263" s="169">
        <v>43377</v>
      </c>
      <c r="P263" s="168" t="s">
        <v>1381</v>
      </c>
      <c r="Q263" s="166">
        <v>1200</v>
      </c>
      <c r="R263" s="166">
        <v>14050</v>
      </c>
      <c r="S263" s="170">
        <v>33480.65</v>
      </c>
      <c r="T263" s="166">
        <v>14056</v>
      </c>
      <c r="U263" s="170">
        <v>8835.19</v>
      </c>
      <c r="V263" s="170">
        <f t="shared" si="23"/>
        <v>24645.46</v>
      </c>
      <c r="W263" s="171">
        <v>2557.56</v>
      </c>
      <c r="X263" s="166">
        <v>54260</v>
      </c>
      <c r="Y263" s="170">
        <v>232.51</v>
      </c>
      <c r="Z263" s="168" t="s">
        <v>1053</v>
      </c>
      <c r="AA263" s="168"/>
      <c r="AB263" s="168" t="s">
        <v>1382</v>
      </c>
      <c r="AC263" s="168"/>
      <c r="AD263" s="168" t="s">
        <v>1058</v>
      </c>
      <c r="AE263" s="168" t="s">
        <v>1059</v>
      </c>
      <c r="AF263" s="166" t="s">
        <v>284</v>
      </c>
      <c r="AG263" s="168"/>
      <c r="AH263" s="166" t="s">
        <v>1060</v>
      </c>
      <c r="AI263" s="168">
        <v>0</v>
      </c>
      <c r="AJ263" s="168">
        <v>0</v>
      </c>
      <c r="AP263" s="206"/>
      <c r="AQ263" s="207"/>
      <c r="AR263" s="207"/>
      <c r="AS263" s="207"/>
      <c r="AT263" s="208"/>
      <c r="AU263" s="207"/>
      <c r="AV263" s="208"/>
    </row>
    <row r="264" spans="1:48" s="205" customFormat="1" ht="15">
      <c r="A264" s="145"/>
      <c r="B264" s="166">
        <v>2183</v>
      </c>
      <c r="C264" s="167">
        <v>206415</v>
      </c>
      <c r="D264" s="166" t="s">
        <v>1053</v>
      </c>
      <c r="E264" s="168" t="s">
        <v>1263</v>
      </c>
      <c r="F264" s="166">
        <v>624</v>
      </c>
      <c r="G264" s="168"/>
      <c r="H264" s="168"/>
      <c r="I264" s="168"/>
      <c r="J264" s="168">
        <v>0</v>
      </c>
      <c r="K264" s="168" t="s">
        <v>1241</v>
      </c>
      <c r="L264" s="168"/>
      <c r="M264" s="168"/>
      <c r="N264" s="169">
        <v>43392</v>
      </c>
      <c r="O264" s="169">
        <v>43392</v>
      </c>
      <c r="P264" s="168" t="s">
        <v>1383</v>
      </c>
      <c r="Q264" s="166">
        <v>700</v>
      </c>
      <c r="R264" s="166">
        <v>14050</v>
      </c>
      <c r="S264" s="170">
        <v>33383.51</v>
      </c>
      <c r="T264" s="166">
        <v>14056</v>
      </c>
      <c r="U264" s="170">
        <v>14704.64</v>
      </c>
      <c r="V264" s="170">
        <f t="shared" si="23"/>
        <v>18678.870000000003</v>
      </c>
      <c r="W264" s="171">
        <v>4371.6499999999996</v>
      </c>
      <c r="X264" s="166">
        <v>54260</v>
      </c>
      <c r="Y264" s="170">
        <v>397.42</v>
      </c>
      <c r="Z264" s="168" t="s">
        <v>1053</v>
      </c>
      <c r="AA264" s="168"/>
      <c r="AB264" s="168">
        <v>65560226</v>
      </c>
      <c r="AC264" s="168"/>
      <c r="AD264" s="168" t="s">
        <v>1058</v>
      </c>
      <c r="AE264" s="168" t="s">
        <v>1059</v>
      </c>
      <c r="AF264" s="166" t="s">
        <v>284</v>
      </c>
      <c r="AG264" s="168"/>
      <c r="AH264" s="166" t="s">
        <v>1060</v>
      </c>
      <c r="AI264" s="168">
        <v>0</v>
      </c>
      <c r="AJ264" s="168">
        <v>0</v>
      </c>
      <c r="AP264" s="206"/>
      <c r="AQ264" s="207"/>
      <c r="AR264" s="207"/>
      <c r="AS264" s="207"/>
      <c r="AT264" s="208"/>
      <c r="AU264" s="207"/>
      <c r="AV264" s="208"/>
    </row>
    <row r="265" spans="1:48" s="205" customFormat="1" ht="15">
      <c r="A265" s="145"/>
      <c r="B265" s="166">
        <v>2183</v>
      </c>
      <c r="C265" s="167">
        <v>206320</v>
      </c>
      <c r="D265" s="166">
        <v>202167</v>
      </c>
      <c r="E265" s="168" t="s">
        <v>890</v>
      </c>
      <c r="F265" s="166"/>
      <c r="G265" s="168"/>
      <c r="H265" s="168"/>
      <c r="I265" s="168"/>
      <c r="J265" s="168">
        <v>0</v>
      </c>
      <c r="K265" s="168" t="s">
        <v>1384</v>
      </c>
      <c r="L265" s="168"/>
      <c r="M265" s="168" t="s">
        <v>1303</v>
      </c>
      <c r="N265" s="169">
        <v>43313</v>
      </c>
      <c r="O265" s="169">
        <v>43313</v>
      </c>
      <c r="P265" s="168" t="s">
        <v>1385</v>
      </c>
      <c r="Q265" s="166">
        <v>500</v>
      </c>
      <c r="R265" s="166">
        <v>14040</v>
      </c>
      <c r="S265" s="170">
        <v>731.05</v>
      </c>
      <c r="T265" s="166">
        <v>14046</v>
      </c>
      <c r="U265" s="170">
        <v>487.37</v>
      </c>
      <c r="V265" s="170">
        <f t="shared" si="23"/>
        <v>243.67999999999995</v>
      </c>
      <c r="W265" s="171">
        <v>134.03</v>
      </c>
      <c r="X265" s="166">
        <v>51260</v>
      </c>
      <c r="Y265" s="170">
        <v>12.19</v>
      </c>
      <c r="Z265" s="168" t="s">
        <v>1053</v>
      </c>
      <c r="AA265" s="168"/>
      <c r="AB265" s="168">
        <v>3039</v>
      </c>
      <c r="AC265" s="168"/>
      <c r="AD265" s="168" t="s">
        <v>1058</v>
      </c>
      <c r="AE265" s="168" t="s">
        <v>1059</v>
      </c>
      <c r="AF265" s="166" t="s">
        <v>284</v>
      </c>
      <c r="AG265" s="168"/>
      <c r="AH265" s="166" t="s">
        <v>1060</v>
      </c>
      <c r="AI265" s="168">
        <v>0</v>
      </c>
      <c r="AJ265" s="168">
        <v>0</v>
      </c>
      <c r="AP265" s="206"/>
      <c r="AQ265" s="207"/>
      <c r="AR265" s="207"/>
      <c r="AS265" s="207"/>
      <c r="AT265" s="208"/>
      <c r="AU265" s="207"/>
      <c r="AV265" s="208"/>
    </row>
    <row r="266" spans="1:48" s="205" customFormat="1" ht="15">
      <c r="A266" s="145"/>
      <c r="B266" s="166">
        <v>2183</v>
      </c>
      <c r="C266" s="167">
        <v>206195</v>
      </c>
      <c r="D266" s="166">
        <v>205327</v>
      </c>
      <c r="E266" s="168" t="s">
        <v>1386</v>
      </c>
      <c r="F266" s="166"/>
      <c r="G266" s="168"/>
      <c r="H266" s="168"/>
      <c r="I266" s="168"/>
      <c r="J266" s="168">
        <v>0</v>
      </c>
      <c r="K266" s="168" t="s">
        <v>1222</v>
      </c>
      <c r="L266" s="168"/>
      <c r="M266" s="168" t="s">
        <v>1303</v>
      </c>
      <c r="N266" s="169">
        <v>43404</v>
      </c>
      <c r="O266" s="169">
        <v>43404</v>
      </c>
      <c r="P266" s="168" t="s">
        <v>1387</v>
      </c>
      <c r="Q266" s="166">
        <v>1000</v>
      </c>
      <c r="R266" s="166">
        <v>14040</v>
      </c>
      <c r="S266" s="170">
        <v>1155.33</v>
      </c>
      <c r="T266" s="166">
        <v>14046</v>
      </c>
      <c r="U266" s="170">
        <v>356.22</v>
      </c>
      <c r="V266" s="170">
        <f t="shared" si="23"/>
        <v>799.1099999999999</v>
      </c>
      <c r="W266" s="171">
        <v>105.9</v>
      </c>
      <c r="X266" s="166">
        <v>51260</v>
      </c>
      <c r="Y266" s="170">
        <v>9.6199999999999992</v>
      </c>
      <c r="Z266" s="168" t="s">
        <v>1053</v>
      </c>
      <c r="AA266" s="168"/>
      <c r="AB266" s="168" t="s">
        <v>1388</v>
      </c>
      <c r="AC266" s="168"/>
      <c r="AD266" s="168" t="s">
        <v>1058</v>
      </c>
      <c r="AE266" s="168" t="s">
        <v>1059</v>
      </c>
      <c r="AF266" s="166" t="s">
        <v>284</v>
      </c>
      <c r="AG266" s="168"/>
      <c r="AH266" s="166" t="s">
        <v>1060</v>
      </c>
      <c r="AI266" s="168">
        <v>0</v>
      </c>
      <c r="AJ266" s="168">
        <v>0</v>
      </c>
      <c r="AP266" s="206"/>
      <c r="AQ266" s="207"/>
      <c r="AR266" s="207"/>
      <c r="AS266" s="207"/>
      <c r="AT266" s="208"/>
      <c r="AU266" s="207"/>
      <c r="AV266" s="208"/>
    </row>
    <row r="267" spans="1:48" s="205" customFormat="1" ht="15">
      <c r="A267" s="145"/>
      <c r="B267" s="166">
        <v>2183</v>
      </c>
      <c r="C267" s="167">
        <v>205650</v>
      </c>
      <c r="D267" s="166" t="s">
        <v>1053</v>
      </c>
      <c r="E267" s="168" t="s">
        <v>738</v>
      </c>
      <c r="F267" s="166">
        <v>864</v>
      </c>
      <c r="G267" s="168"/>
      <c r="H267" s="168"/>
      <c r="I267" s="168"/>
      <c r="J267" s="168">
        <v>0</v>
      </c>
      <c r="K267" s="168" t="s">
        <v>1241</v>
      </c>
      <c r="L267" s="168"/>
      <c r="M267" s="168"/>
      <c r="N267" s="169">
        <v>43392</v>
      </c>
      <c r="O267" s="169">
        <v>43392</v>
      </c>
      <c r="P267" s="168" t="s">
        <v>1383</v>
      </c>
      <c r="Q267" s="166">
        <v>700</v>
      </c>
      <c r="R267" s="166">
        <v>14050</v>
      </c>
      <c r="S267" s="170">
        <v>39799.9</v>
      </c>
      <c r="T267" s="166">
        <v>14056</v>
      </c>
      <c r="U267" s="170">
        <v>17530.91</v>
      </c>
      <c r="V267" s="170">
        <f t="shared" si="23"/>
        <v>22268.99</v>
      </c>
      <c r="W267" s="171">
        <v>5211.8900000000003</v>
      </c>
      <c r="X267" s="166">
        <v>54260</v>
      </c>
      <c r="Y267" s="170">
        <v>473.81</v>
      </c>
      <c r="Z267" s="168" t="s">
        <v>1053</v>
      </c>
      <c r="AA267" s="168"/>
      <c r="AB267" s="168">
        <v>65559423</v>
      </c>
      <c r="AC267" s="168"/>
      <c r="AD267" s="168" t="s">
        <v>1058</v>
      </c>
      <c r="AE267" s="168" t="s">
        <v>1059</v>
      </c>
      <c r="AF267" s="166" t="s">
        <v>284</v>
      </c>
      <c r="AG267" s="168"/>
      <c r="AH267" s="166" t="s">
        <v>1060</v>
      </c>
      <c r="AI267" s="168">
        <v>0</v>
      </c>
      <c r="AJ267" s="168">
        <v>0</v>
      </c>
      <c r="AP267" s="206"/>
      <c r="AQ267" s="207"/>
      <c r="AR267" s="207"/>
      <c r="AS267" s="207"/>
      <c r="AT267" s="208"/>
      <c r="AU267" s="207"/>
      <c r="AV267" s="208"/>
    </row>
    <row r="268" spans="1:48" s="205" customFormat="1" ht="15">
      <c r="A268" s="145"/>
      <c r="B268" s="166">
        <v>2183</v>
      </c>
      <c r="C268" s="167">
        <v>205642</v>
      </c>
      <c r="D268" s="166">
        <v>202839</v>
      </c>
      <c r="E268" s="168" t="s">
        <v>731</v>
      </c>
      <c r="F268" s="166"/>
      <c r="G268" s="168"/>
      <c r="H268" s="168"/>
      <c r="I268" s="168"/>
      <c r="J268" s="168">
        <v>0</v>
      </c>
      <c r="K268" s="168" t="s">
        <v>1196</v>
      </c>
      <c r="L268" s="168"/>
      <c r="M268" s="168" t="s">
        <v>1303</v>
      </c>
      <c r="N268" s="169">
        <v>43373</v>
      </c>
      <c r="O268" s="169">
        <v>43373</v>
      </c>
      <c r="P268" s="168" t="s">
        <v>1389</v>
      </c>
      <c r="Q268" s="166">
        <v>500</v>
      </c>
      <c r="R268" s="166">
        <v>14040</v>
      </c>
      <c r="S268" s="170">
        <v>796.28</v>
      </c>
      <c r="T268" s="166">
        <v>14046</v>
      </c>
      <c r="U268" s="170">
        <v>504.32</v>
      </c>
      <c r="V268" s="170">
        <f t="shared" si="23"/>
        <v>291.95999999999998</v>
      </c>
      <c r="W268" s="171">
        <v>145.99</v>
      </c>
      <c r="X268" s="166">
        <v>51260</v>
      </c>
      <c r="Y268" s="170">
        <v>13.27</v>
      </c>
      <c r="Z268" s="168" t="s">
        <v>1053</v>
      </c>
      <c r="AA268" s="168"/>
      <c r="AB268" s="168">
        <v>3217</v>
      </c>
      <c r="AC268" s="168"/>
      <c r="AD268" s="168" t="s">
        <v>1058</v>
      </c>
      <c r="AE268" s="168" t="s">
        <v>1059</v>
      </c>
      <c r="AF268" s="166" t="s">
        <v>284</v>
      </c>
      <c r="AG268" s="168"/>
      <c r="AH268" s="166" t="s">
        <v>1060</v>
      </c>
      <c r="AI268" s="168">
        <v>0</v>
      </c>
      <c r="AJ268" s="168">
        <v>0</v>
      </c>
      <c r="AP268" s="206"/>
      <c r="AQ268" s="207"/>
      <c r="AR268" s="207"/>
      <c r="AS268" s="207"/>
      <c r="AT268" s="208"/>
      <c r="AU268" s="207"/>
      <c r="AV268" s="208"/>
    </row>
    <row r="269" spans="1:48" s="205" customFormat="1" ht="15">
      <c r="A269" s="145"/>
      <c r="B269" s="166">
        <v>2183</v>
      </c>
      <c r="C269" s="167">
        <v>205641</v>
      </c>
      <c r="D269" s="166">
        <v>203829</v>
      </c>
      <c r="E269" s="168" t="s">
        <v>731</v>
      </c>
      <c r="F269" s="166"/>
      <c r="G269" s="168"/>
      <c r="H269" s="168"/>
      <c r="I269" s="168"/>
      <c r="J269" s="168">
        <v>0</v>
      </c>
      <c r="K269" s="168" t="s">
        <v>1196</v>
      </c>
      <c r="L269" s="168"/>
      <c r="M269" s="168" t="s">
        <v>1303</v>
      </c>
      <c r="N269" s="169">
        <v>43385</v>
      </c>
      <c r="O269" s="169">
        <v>43385</v>
      </c>
      <c r="P269" s="168" t="s">
        <v>1390</v>
      </c>
      <c r="Q269" s="166">
        <v>500</v>
      </c>
      <c r="R269" s="166">
        <v>14040</v>
      </c>
      <c r="S269" s="170">
        <v>796.28</v>
      </c>
      <c r="T269" s="166">
        <v>14046</v>
      </c>
      <c r="U269" s="170">
        <v>504.32</v>
      </c>
      <c r="V269" s="170">
        <f t="shared" si="23"/>
        <v>291.95999999999998</v>
      </c>
      <c r="W269" s="171">
        <v>145.99</v>
      </c>
      <c r="X269" s="166">
        <v>51260</v>
      </c>
      <c r="Y269" s="170">
        <v>13.27</v>
      </c>
      <c r="Z269" s="168" t="s">
        <v>1053</v>
      </c>
      <c r="AA269" s="168"/>
      <c r="AB269" s="168">
        <v>3216</v>
      </c>
      <c r="AC269" s="168"/>
      <c r="AD269" s="168" t="s">
        <v>1058</v>
      </c>
      <c r="AE269" s="168" t="s">
        <v>1059</v>
      </c>
      <c r="AF269" s="166" t="s">
        <v>284</v>
      </c>
      <c r="AG269" s="168"/>
      <c r="AH269" s="166" t="s">
        <v>1060</v>
      </c>
      <c r="AI269" s="168">
        <v>0</v>
      </c>
      <c r="AJ269" s="168">
        <v>0</v>
      </c>
      <c r="AP269" s="206"/>
      <c r="AQ269" s="207"/>
      <c r="AR269" s="207"/>
      <c r="AS269" s="207"/>
      <c r="AT269" s="208"/>
      <c r="AU269" s="207"/>
      <c r="AV269" s="208"/>
    </row>
    <row r="270" spans="1:48" s="205" customFormat="1" ht="15">
      <c r="A270" s="145"/>
      <c r="B270" s="166">
        <v>2183</v>
      </c>
      <c r="C270" s="167">
        <v>205640</v>
      </c>
      <c r="D270" s="166">
        <v>203124</v>
      </c>
      <c r="E270" s="168" t="s">
        <v>731</v>
      </c>
      <c r="F270" s="166"/>
      <c r="G270" s="168"/>
      <c r="H270" s="168"/>
      <c r="I270" s="168"/>
      <c r="J270" s="168">
        <v>0</v>
      </c>
      <c r="K270" s="168" t="s">
        <v>1120</v>
      </c>
      <c r="L270" s="168"/>
      <c r="M270" s="168" t="s">
        <v>1303</v>
      </c>
      <c r="N270" s="169">
        <v>43373</v>
      </c>
      <c r="O270" s="169">
        <v>43373</v>
      </c>
      <c r="P270" s="168" t="s">
        <v>1391</v>
      </c>
      <c r="Q270" s="166">
        <v>500</v>
      </c>
      <c r="R270" s="166">
        <v>14040</v>
      </c>
      <c r="S270" s="170">
        <v>796.28</v>
      </c>
      <c r="T270" s="166">
        <v>14046</v>
      </c>
      <c r="U270" s="170">
        <v>504.32</v>
      </c>
      <c r="V270" s="170">
        <f t="shared" ref="V270:V333" si="24">S270-U270</f>
        <v>291.95999999999998</v>
      </c>
      <c r="W270" s="171">
        <v>145.99</v>
      </c>
      <c r="X270" s="166">
        <v>51260</v>
      </c>
      <c r="Y270" s="170">
        <v>13.27</v>
      </c>
      <c r="Z270" s="168" t="s">
        <v>1053</v>
      </c>
      <c r="AA270" s="168"/>
      <c r="AB270" s="168">
        <v>3215</v>
      </c>
      <c r="AC270" s="168"/>
      <c r="AD270" s="168" t="s">
        <v>1058</v>
      </c>
      <c r="AE270" s="168" t="s">
        <v>1059</v>
      </c>
      <c r="AF270" s="166" t="s">
        <v>284</v>
      </c>
      <c r="AG270" s="168"/>
      <c r="AH270" s="166" t="s">
        <v>1060</v>
      </c>
      <c r="AI270" s="168">
        <v>0</v>
      </c>
      <c r="AJ270" s="168">
        <v>0</v>
      </c>
      <c r="AP270" s="206"/>
      <c r="AQ270" s="207"/>
      <c r="AR270" s="207"/>
      <c r="AS270" s="207"/>
      <c r="AT270" s="208"/>
      <c r="AU270" s="207"/>
      <c r="AV270" s="208"/>
    </row>
    <row r="271" spans="1:48" s="205" customFormat="1" ht="15">
      <c r="A271" s="145"/>
      <c r="B271" s="166">
        <v>2183</v>
      </c>
      <c r="C271" s="167">
        <v>205639</v>
      </c>
      <c r="D271" s="166">
        <v>207237</v>
      </c>
      <c r="E271" s="168" t="s">
        <v>731</v>
      </c>
      <c r="F271" s="166"/>
      <c r="G271" s="168"/>
      <c r="H271" s="168"/>
      <c r="I271" s="168"/>
      <c r="J271" s="168">
        <v>0</v>
      </c>
      <c r="K271" s="168" t="s">
        <v>1120</v>
      </c>
      <c r="L271" s="168"/>
      <c r="M271" s="168" t="s">
        <v>1303</v>
      </c>
      <c r="N271" s="169">
        <v>43430</v>
      </c>
      <c r="O271" s="169">
        <v>43430</v>
      </c>
      <c r="P271" s="168" t="s">
        <v>1376</v>
      </c>
      <c r="Q271" s="166">
        <v>500</v>
      </c>
      <c r="R271" s="166">
        <v>14040</v>
      </c>
      <c r="S271" s="170">
        <v>796.28</v>
      </c>
      <c r="T271" s="166">
        <v>14046</v>
      </c>
      <c r="U271" s="170">
        <v>477.78</v>
      </c>
      <c r="V271" s="170">
        <f t="shared" si="24"/>
        <v>318.5</v>
      </c>
      <c r="W271" s="171">
        <v>145.99</v>
      </c>
      <c r="X271" s="166">
        <v>51260</v>
      </c>
      <c r="Y271" s="170">
        <v>13.27</v>
      </c>
      <c r="Z271" s="168" t="s">
        <v>1053</v>
      </c>
      <c r="AA271" s="168"/>
      <c r="AB271" s="168">
        <v>3214</v>
      </c>
      <c r="AC271" s="168"/>
      <c r="AD271" s="168" t="s">
        <v>1058</v>
      </c>
      <c r="AE271" s="168" t="s">
        <v>1059</v>
      </c>
      <c r="AF271" s="166" t="s">
        <v>284</v>
      </c>
      <c r="AG271" s="168"/>
      <c r="AH271" s="166" t="s">
        <v>1060</v>
      </c>
      <c r="AI271" s="168">
        <v>0</v>
      </c>
      <c r="AJ271" s="168">
        <v>0</v>
      </c>
      <c r="AP271" s="206"/>
      <c r="AQ271" s="207"/>
      <c r="AR271" s="207"/>
      <c r="AS271" s="207"/>
      <c r="AT271" s="208"/>
      <c r="AU271" s="207"/>
      <c r="AV271" s="208"/>
    </row>
    <row r="272" spans="1:48" s="205" customFormat="1" ht="15">
      <c r="A272" s="145"/>
      <c r="B272" s="166">
        <v>2183</v>
      </c>
      <c r="C272" s="167">
        <v>205638</v>
      </c>
      <c r="D272" s="166">
        <v>202838</v>
      </c>
      <c r="E272" s="168" t="s">
        <v>731</v>
      </c>
      <c r="F272" s="166"/>
      <c r="G272" s="168"/>
      <c r="H272" s="168"/>
      <c r="I272" s="168"/>
      <c r="J272" s="168">
        <v>0</v>
      </c>
      <c r="K272" s="168" t="s">
        <v>1120</v>
      </c>
      <c r="L272" s="168"/>
      <c r="M272" s="168" t="s">
        <v>1303</v>
      </c>
      <c r="N272" s="169">
        <v>43430</v>
      </c>
      <c r="O272" s="169">
        <v>43430</v>
      </c>
      <c r="P272" s="168" t="s">
        <v>1392</v>
      </c>
      <c r="Q272" s="166">
        <v>500</v>
      </c>
      <c r="R272" s="166">
        <v>14040</v>
      </c>
      <c r="S272" s="170">
        <v>796.28</v>
      </c>
      <c r="T272" s="166">
        <v>14046</v>
      </c>
      <c r="U272" s="170">
        <v>477.78</v>
      </c>
      <c r="V272" s="170">
        <f t="shared" si="24"/>
        <v>318.5</v>
      </c>
      <c r="W272" s="171">
        <v>145.99</v>
      </c>
      <c r="X272" s="166">
        <v>51260</v>
      </c>
      <c r="Y272" s="170">
        <v>13.27</v>
      </c>
      <c r="Z272" s="168" t="s">
        <v>1053</v>
      </c>
      <c r="AA272" s="168"/>
      <c r="AB272" s="168">
        <v>3213</v>
      </c>
      <c r="AC272" s="168"/>
      <c r="AD272" s="168" t="s">
        <v>1058</v>
      </c>
      <c r="AE272" s="168" t="s">
        <v>1059</v>
      </c>
      <c r="AF272" s="166" t="s">
        <v>284</v>
      </c>
      <c r="AG272" s="168"/>
      <c r="AH272" s="166" t="s">
        <v>1060</v>
      </c>
      <c r="AI272" s="168">
        <v>0</v>
      </c>
      <c r="AJ272" s="168">
        <v>0</v>
      </c>
      <c r="AP272" s="206"/>
      <c r="AQ272" s="207"/>
      <c r="AR272" s="207"/>
      <c r="AS272" s="207"/>
      <c r="AT272" s="208"/>
      <c r="AU272" s="207"/>
      <c r="AV272" s="208"/>
    </row>
    <row r="273" spans="1:48" s="205" customFormat="1" ht="15">
      <c r="A273" s="145"/>
      <c r="B273" s="166">
        <v>2183</v>
      </c>
      <c r="C273" s="167">
        <v>205637</v>
      </c>
      <c r="D273" s="166">
        <v>205327</v>
      </c>
      <c r="E273" s="168" t="s">
        <v>731</v>
      </c>
      <c r="F273" s="166"/>
      <c r="G273" s="168"/>
      <c r="H273" s="168"/>
      <c r="I273" s="168"/>
      <c r="J273" s="168">
        <v>0</v>
      </c>
      <c r="K273" s="168" t="s">
        <v>1120</v>
      </c>
      <c r="L273" s="168"/>
      <c r="M273" s="168" t="s">
        <v>1303</v>
      </c>
      <c r="N273" s="169">
        <v>43423</v>
      </c>
      <c r="O273" s="169">
        <v>43423</v>
      </c>
      <c r="P273" s="168" t="s">
        <v>1387</v>
      </c>
      <c r="Q273" s="166">
        <v>500</v>
      </c>
      <c r="R273" s="166">
        <v>14040</v>
      </c>
      <c r="S273" s="170">
        <v>796.28</v>
      </c>
      <c r="T273" s="166">
        <v>14046</v>
      </c>
      <c r="U273" s="170">
        <v>477.78</v>
      </c>
      <c r="V273" s="170">
        <f t="shared" si="24"/>
        <v>318.5</v>
      </c>
      <c r="W273" s="171">
        <v>145.99</v>
      </c>
      <c r="X273" s="166">
        <v>51260</v>
      </c>
      <c r="Y273" s="170">
        <v>13.27</v>
      </c>
      <c r="Z273" s="168" t="s">
        <v>1053</v>
      </c>
      <c r="AA273" s="168"/>
      <c r="AB273" s="168">
        <v>3212</v>
      </c>
      <c r="AC273" s="168"/>
      <c r="AD273" s="168" t="s">
        <v>1058</v>
      </c>
      <c r="AE273" s="168" t="s">
        <v>1059</v>
      </c>
      <c r="AF273" s="166" t="s">
        <v>284</v>
      </c>
      <c r="AG273" s="168"/>
      <c r="AH273" s="166" t="s">
        <v>1060</v>
      </c>
      <c r="AI273" s="168">
        <v>0</v>
      </c>
      <c r="AJ273" s="168">
        <v>0</v>
      </c>
      <c r="AP273" s="206"/>
      <c r="AQ273" s="207"/>
      <c r="AR273" s="207"/>
      <c r="AS273" s="207"/>
      <c r="AT273" s="208"/>
      <c r="AU273" s="207"/>
      <c r="AV273" s="208"/>
    </row>
    <row r="274" spans="1:48" s="205" customFormat="1" ht="15">
      <c r="A274" s="145"/>
      <c r="B274" s="166">
        <v>2183</v>
      </c>
      <c r="C274" s="167">
        <v>205327</v>
      </c>
      <c r="D274" s="166" t="s">
        <v>1053</v>
      </c>
      <c r="E274" s="168" t="s">
        <v>764</v>
      </c>
      <c r="F274" s="166"/>
      <c r="G274" s="168"/>
      <c r="H274" s="168" t="s">
        <v>1393</v>
      </c>
      <c r="I274" s="168"/>
      <c r="J274" s="168">
        <v>2019</v>
      </c>
      <c r="K274" s="168" t="s">
        <v>1196</v>
      </c>
      <c r="L274" s="168" t="s">
        <v>1220</v>
      </c>
      <c r="M274" s="168" t="s">
        <v>1152</v>
      </c>
      <c r="N274" s="169">
        <v>43423</v>
      </c>
      <c r="O274" s="169">
        <v>43423</v>
      </c>
      <c r="P274" s="168" t="s">
        <v>1387</v>
      </c>
      <c r="Q274" s="166">
        <v>1000</v>
      </c>
      <c r="R274" s="166">
        <v>14040</v>
      </c>
      <c r="S274" s="170">
        <v>340374.63</v>
      </c>
      <c r="T274" s="166">
        <v>14046</v>
      </c>
      <c r="U274" s="170">
        <v>102112.39</v>
      </c>
      <c r="V274" s="170">
        <f t="shared" si="24"/>
        <v>238262.24</v>
      </c>
      <c r="W274" s="171">
        <v>31201.01</v>
      </c>
      <c r="X274" s="166">
        <v>51260</v>
      </c>
      <c r="Y274" s="170">
        <v>2836.46</v>
      </c>
      <c r="Z274" s="168" t="s">
        <v>1053</v>
      </c>
      <c r="AA274" s="168"/>
      <c r="AB274" s="168">
        <v>155557</v>
      </c>
      <c r="AC274" s="168">
        <v>3687</v>
      </c>
      <c r="AD274" s="168" t="s">
        <v>1058</v>
      </c>
      <c r="AE274" s="168" t="s">
        <v>1059</v>
      </c>
      <c r="AF274" s="166" t="s">
        <v>284</v>
      </c>
      <c r="AG274" s="168"/>
      <c r="AH274" s="166" t="s">
        <v>1060</v>
      </c>
      <c r="AI274" s="168">
        <v>0</v>
      </c>
      <c r="AJ274" s="168">
        <v>0</v>
      </c>
      <c r="AP274" s="206"/>
      <c r="AQ274" s="207"/>
      <c r="AR274" s="207"/>
      <c r="AS274" s="207"/>
      <c r="AT274" s="208"/>
      <c r="AU274" s="207"/>
      <c r="AV274" s="208"/>
    </row>
    <row r="275" spans="1:48" s="205" customFormat="1" ht="15">
      <c r="A275" s="145"/>
      <c r="B275" s="166">
        <v>2183</v>
      </c>
      <c r="C275" s="167">
        <v>204944</v>
      </c>
      <c r="D275" s="166">
        <v>202090</v>
      </c>
      <c r="E275" s="168" t="s">
        <v>1394</v>
      </c>
      <c r="F275" s="166"/>
      <c r="G275" s="168"/>
      <c r="H275" s="168"/>
      <c r="I275" s="168"/>
      <c r="J275" s="168">
        <v>0</v>
      </c>
      <c r="K275" s="168" t="s">
        <v>1191</v>
      </c>
      <c r="L275" s="168"/>
      <c r="M275" s="168" t="s">
        <v>1303</v>
      </c>
      <c r="N275" s="169">
        <v>43343</v>
      </c>
      <c r="O275" s="169">
        <v>43343</v>
      </c>
      <c r="P275" s="168" t="s">
        <v>1395</v>
      </c>
      <c r="Q275" s="166">
        <v>500</v>
      </c>
      <c r="R275" s="166">
        <v>14040</v>
      </c>
      <c r="S275" s="170">
        <v>519.47</v>
      </c>
      <c r="T275" s="166">
        <v>14046</v>
      </c>
      <c r="U275" s="170">
        <v>337.64</v>
      </c>
      <c r="V275" s="170">
        <f t="shared" si="24"/>
        <v>181.83000000000004</v>
      </c>
      <c r="W275" s="171">
        <v>95.23</v>
      </c>
      <c r="X275" s="166">
        <v>51260</v>
      </c>
      <c r="Y275" s="170">
        <v>8.65</v>
      </c>
      <c r="Z275" s="168" t="s">
        <v>1053</v>
      </c>
      <c r="AA275" s="168"/>
      <c r="AB275" s="168">
        <v>5156198</v>
      </c>
      <c r="AC275" s="168"/>
      <c r="AD275" s="168" t="s">
        <v>1058</v>
      </c>
      <c r="AE275" s="168" t="s">
        <v>1059</v>
      </c>
      <c r="AF275" s="166" t="s">
        <v>284</v>
      </c>
      <c r="AG275" s="168"/>
      <c r="AH275" s="166" t="s">
        <v>1060</v>
      </c>
      <c r="AI275" s="168">
        <v>0</v>
      </c>
      <c r="AJ275" s="168">
        <v>0</v>
      </c>
      <c r="AP275" s="206"/>
      <c r="AQ275" s="207"/>
      <c r="AR275" s="207"/>
      <c r="AS275" s="207"/>
      <c r="AT275" s="208"/>
      <c r="AU275" s="207"/>
      <c r="AV275" s="208"/>
    </row>
    <row r="276" spans="1:48" s="205" customFormat="1" ht="15">
      <c r="A276" s="145"/>
      <c r="B276" s="166">
        <v>2183</v>
      </c>
      <c r="C276" s="167">
        <v>204943</v>
      </c>
      <c r="D276" s="166">
        <v>205327</v>
      </c>
      <c r="E276" s="168" t="s">
        <v>1394</v>
      </c>
      <c r="F276" s="166"/>
      <c r="G276" s="168"/>
      <c r="H276" s="168"/>
      <c r="I276" s="168"/>
      <c r="J276" s="168">
        <v>0</v>
      </c>
      <c r="K276" s="168" t="s">
        <v>1191</v>
      </c>
      <c r="L276" s="168"/>
      <c r="M276" s="168" t="s">
        <v>1303</v>
      </c>
      <c r="N276" s="169">
        <v>43404</v>
      </c>
      <c r="O276" s="169">
        <v>43404</v>
      </c>
      <c r="P276" s="168" t="s">
        <v>1387</v>
      </c>
      <c r="Q276" s="166">
        <v>500</v>
      </c>
      <c r="R276" s="166">
        <v>14040</v>
      </c>
      <c r="S276" s="170">
        <v>519.47</v>
      </c>
      <c r="T276" s="166">
        <v>14046</v>
      </c>
      <c r="U276" s="170">
        <v>320.33</v>
      </c>
      <c r="V276" s="170">
        <f t="shared" si="24"/>
        <v>199.14000000000004</v>
      </c>
      <c r="W276" s="171">
        <v>95.23</v>
      </c>
      <c r="X276" s="166">
        <v>51260</v>
      </c>
      <c r="Y276" s="170">
        <v>8.65</v>
      </c>
      <c r="Z276" s="168" t="s">
        <v>1053</v>
      </c>
      <c r="AA276" s="168"/>
      <c r="AB276" s="168">
        <v>5157285</v>
      </c>
      <c r="AC276" s="168"/>
      <c r="AD276" s="168" t="s">
        <v>1058</v>
      </c>
      <c r="AE276" s="168" t="s">
        <v>1059</v>
      </c>
      <c r="AF276" s="166" t="s">
        <v>284</v>
      </c>
      <c r="AG276" s="168"/>
      <c r="AH276" s="166" t="s">
        <v>1060</v>
      </c>
      <c r="AI276" s="168">
        <v>0</v>
      </c>
      <c r="AJ276" s="168">
        <v>0</v>
      </c>
      <c r="AP276" s="206"/>
      <c r="AQ276" s="207"/>
      <c r="AR276" s="207"/>
      <c r="AS276" s="207"/>
      <c r="AT276" s="208"/>
      <c r="AU276" s="207"/>
      <c r="AV276" s="208"/>
    </row>
    <row r="277" spans="1:48" s="205" customFormat="1" ht="15">
      <c r="A277" s="145"/>
      <c r="B277" s="166">
        <v>2183</v>
      </c>
      <c r="C277" s="167">
        <v>204942</v>
      </c>
      <c r="D277" s="166">
        <v>203829</v>
      </c>
      <c r="E277" s="168" t="s">
        <v>1394</v>
      </c>
      <c r="F277" s="166"/>
      <c r="G277" s="168"/>
      <c r="H277" s="168"/>
      <c r="I277" s="168"/>
      <c r="J277" s="168">
        <v>0</v>
      </c>
      <c r="K277" s="168" t="s">
        <v>1196</v>
      </c>
      <c r="L277" s="168"/>
      <c r="M277" s="168" t="s">
        <v>1303</v>
      </c>
      <c r="N277" s="169">
        <v>43385</v>
      </c>
      <c r="O277" s="169">
        <v>43385</v>
      </c>
      <c r="P277" s="168" t="s">
        <v>1390</v>
      </c>
      <c r="Q277" s="166">
        <v>500</v>
      </c>
      <c r="R277" s="166">
        <v>14040</v>
      </c>
      <c r="S277" s="170">
        <v>519.47</v>
      </c>
      <c r="T277" s="166">
        <v>14046</v>
      </c>
      <c r="U277" s="170">
        <v>328.98</v>
      </c>
      <c r="V277" s="170">
        <f t="shared" si="24"/>
        <v>190.49</v>
      </c>
      <c r="W277" s="171">
        <v>95.23</v>
      </c>
      <c r="X277" s="166">
        <v>51260</v>
      </c>
      <c r="Y277" s="170">
        <v>8.65</v>
      </c>
      <c r="Z277" s="168" t="s">
        <v>1053</v>
      </c>
      <c r="AA277" s="168"/>
      <c r="AB277" s="168">
        <v>5157364</v>
      </c>
      <c r="AC277" s="168"/>
      <c r="AD277" s="168" t="s">
        <v>1058</v>
      </c>
      <c r="AE277" s="168" t="s">
        <v>1059</v>
      </c>
      <c r="AF277" s="166" t="s">
        <v>284</v>
      </c>
      <c r="AG277" s="168"/>
      <c r="AH277" s="166" t="s">
        <v>1060</v>
      </c>
      <c r="AI277" s="168">
        <v>0</v>
      </c>
      <c r="AJ277" s="168">
        <v>0</v>
      </c>
      <c r="AP277" s="206"/>
      <c r="AQ277" s="207"/>
      <c r="AR277" s="207"/>
      <c r="AS277" s="207"/>
      <c r="AT277" s="208"/>
      <c r="AU277" s="207"/>
      <c r="AV277" s="208"/>
    </row>
    <row r="278" spans="1:48" s="205" customFormat="1" ht="15">
      <c r="A278" s="145"/>
      <c r="B278" s="166">
        <v>2183</v>
      </c>
      <c r="C278" s="167">
        <v>204941</v>
      </c>
      <c r="D278" s="166">
        <v>207237</v>
      </c>
      <c r="E278" s="168" t="s">
        <v>1394</v>
      </c>
      <c r="F278" s="166"/>
      <c r="G278" s="168"/>
      <c r="H278" s="168"/>
      <c r="I278" s="168"/>
      <c r="J278" s="168">
        <v>0</v>
      </c>
      <c r="K278" s="168" t="s">
        <v>1191</v>
      </c>
      <c r="L278" s="168"/>
      <c r="M278" s="168" t="s">
        <v>1303</v>
      </c>
      <c r="N278" s="169">
        <v>43404</v>
      </c>
      <c r="O278" s="169">
        <v>43404</v>
      </c>
      <c r="P278" s="168" t="s">
        <v>1376</v>
      </c>
      <c r="Q278" s="166">
        <v>500</v>
      </c>
      <c r="R278" s="166">
        <v>14040</v>
      </c>
      <c r="S278" s="170">
        <v>519.47</v>
      </c>
      <c r="T278" s="166">
        <v>14046</v>
      </c>
      <c r="U278" s="170">
        <v>320.33</v>
      </c>
      <c r="V278" s="170">
        <f t="shared" si="24"/>
        <v>199.14000000000004</v>
      </c>
      <c r="W278" s="171">
        <v>95.23</v>
      </c>
      <c r="X278" s="166">
        <v>51260</v>
      </c>
      <c r="Y278" s="170">
        <v>8.65</v>
      </c>
      <c r="Z278" s="168" t="s">
        <v>1053</v>
      </c>
      <c r="AA278" s="168"/>
      <c r="AB278" s="168">
        <v>5157305</v>
      </c>
      <c r="AC278" s="168"/>
      <c r="AD278" s="168" t="s">
        <v>1058</v>
      </c>
      <c r="AE278" s="168" t="s">
        <v>1059</v>
      </c>
      <c r="AF278" s="166" t="s">
        <v>284</v>
      </c>
      <c r="AG278" s="168"/>
      <c r="AH278" s="166" t="s">
        <v>1060</v>
      </c>
      <c r="AI278" s="168">
        <v>0</v>
      </c>
      <c r="AJ278" s="168">
        <v>0</v>
      </c>
      <c r="AP278" s="206"/>
      <c r="AQ278" s="207"/>
      <c r="AR278" s="207"/>
      <c r="AS278" s="207"/>
      <c r="AT278" s="208"/>
      <c r="AU278" s="207"/>
      <c r="AV278" s="208"/>
    </row>
    <row r="279" spans="1:48" s="205" customFormat="1" ht="15">
      <c r="A279" s="145"/>
      <c r="B279" s="166">
        <v>2183</v>
      </c>
      <c r="C279" s="167">
        <v>204940</v>
      </c>
      <c r="D279" s="166">
        <v>202838</v>
      </c>
      <c r="E279" s="168" t="s">
        <v>1394</v>
      </c>
      <c r="F279" s="166"/>
      <c r="G279" s="168"/>
      <c r="H279" s="168"/>
      <c r="I279" s="168"/>
      <c r="J279" s="168">
        <v>0</v>
      </c>
      <c r="K279" s="168" t="s">
        <v>1334</v>
      </c>
      <c r="L279" s="168"/>
      <c r="M279" s="168" t="s">
        <v>1303</v>
      </c>
      <c r="N279" s="169">
        <v>43373</v>
      </c>
      <c r="O279" s="169">
        <v>43373</v>
      </c>
      <c r="P279" s="168" t="s">
        <v>1392</v>
      </c>
      <c r="Q279" s="166">
        <v>500</v>
      </c>
      <c r="R279" s="166">
        <v>14040</v>
      </c>
      <c r="S279" s="170">
        <v>519.47</v>
      </c>
      <c r="T279" s="166">
        <v>14046</v>
      </c>
      <c r="U279" s="170">
        <v>328.98</v>
      </c>
      <c r="V279" s="170">
        <f t="shared" si="24"/>
        <v>190.49</v>
      </c>
      <c r="W279" s="171">
        <v>95.23</v>
      </c>
      <c r="X279" s="166">
        <v>51260</v>
      </c>
      <c r="Y279" s="170">
        <v>8.65</v>
      </c>
      <c r="Z279" s="168" t="s">
        <v>1053</v>
      </c>
      <c r="AA279" s="168"/>
      <c r="AB279" s="168">
        <v>5157308</v>
      </c>
      <c r="AC279" s="168"/>
      <c r="AD279" s="168" t="s">
        <v>1058</v>
      </c>
      <c r="AE279" s="168" t="s">
        <v>1059</v>
      </c>
      <c r="AF279" s="166" t="s">
        <v>284</v>
      </c>
      <c r="AG279" s="168"/>
      <c r="AH279" s="166" t="s">
        <v>1060</v>
      </c>
      <c r="AI279" s="168">
        <v>0</v>
      </c>
      <c r="AJ279" s="168">
        <v>0</v>
      </c>
      <c r="AP279" s="206"/>
      <c r="AQ279" s="207"/>
      <c r="AR279" s="207"/>
      <c r="AS279" s="207"/>
      <c r="AT279" s="208"/>
      <c r="AU279" s="207"/>
      <c r="AV279" s="208"/>
    </row>
    <row r="280" spans="1:48" s="205" customFormat="1" ht="15">
      <c r="A280" s="145"/>
      <c r="B280" s="166">
        <v>2183</v>
      </c>
      <c r="C280" s="167">
        <v>204939</v>
      </c>
      <c r="D280" s="166">
        <v>202091</v>
      </c>
      <c r="E280" s="168" t="s">
        <v>1394</v>
      </c>
      <c r="F280" s="166"/>
      <c r="G280" s="168"/>
      <c r="H280" s="168"/>
      <c r="I280" s="168"/>
      <c r="J280" s="168">
        <v>0</v>
      </c>
      <c r="K280" s="168" t="s">
        <v>1334</v>
      </c>
      <c r="L280" s="168"/>
      <c r="M280" s="168" t="s">
        <v>1303</v>
      </c>
      <c r="N280" s="169">
        <v>43343</v>
      </c>
      <c r="O280" s="169">
        <v>43343</v>
      </c>
      <c r="P280" s="168" t="s">
        <v>1396</v>
      </c>
      <c r="Q280" s="166">
        <v>500</v>
      </c>
      <c r="R280" s="166">
        <v>14040</v>
      </c>
      <c r="S280" s="170">
        <v>519.47</v>
      </c>
      <c r="T280" s="166">
        <v>14046</v>
      </c>
      <c r="U280" s="170">
        <v>337.64</v>
      </c>
      <c r="V280" s="170">
        <f t="shared" si="24"/>
        <v>181.83000000000004</v>
      </c>
      <c r="W280" s="171">
        <v>95.23</v>
      </c>
      <c r="X280" s="166">
        <v>51260</v>
      </c>
      <c r="Y280" s="170">
        <v>8.65</v>
      </c>
      <c r="Z280" s="168" t="s">
        <v>1053</v>
      </c>
      <c r="AA280" s="168"/>
      <c r="AB280" s="168">
        <v>5156784</v>
      </c>
      <c r="AC280" s="168"/>
      <c r="AD280" s="168" t="s">
        <v>1058</v>
      </c>
      <c r="AE280" s="168" t="s">
        <v>1059</v>
      </c>
      <c r="AF280" s="166" t="s">
        <v>284</v>
      </c>
      <c r="AG280" s="168"/>
      <c r="AH280" s="166" t="s">
        <v>1060</v>
      </c>
      <c r="AI280" s="168">
        <v>0</v>
      </c>
      <c r="AJ280" s="168">
        <v>0</v>
      </c>
      <c r="AP280" s="206"/>
      <c r="AQ280" s="207"/>
      <c r="AR280" s="207"/>
      <c r="AS280" s="207"/>
      <c r="AT280" s="208"/>
      <c r="AU280" s="207"/>
      <c r="AV280" s="208"/>
    </row>
    <row r="281" spans="1:48" s="205" customFormat="1" ht="15">
      <c r="A281" s="145"/>
      <c r="B281" s="166">
        <v>2183</v>
      </c>
      <c r="C281" s="167">
        <v>204911</v>
      </c>
      <c r="D281" s="166">
        <v>203760</v>
      </c>
      <c r="E281" s="168" t="s">
        <v>1397</v>
      </c>
      <c r="F281" s="166"/>
      <c r="G281" s="168"/>
      <c r="H281" s="168"/>
      <c r="I281" s="168"/>
      <c r="J281" s="168">
        <v>0</v>
      </c>
      <c r="K281" s="168" t="s">
        <v>1275</v>
      </c>
      <c r="L281" s="168"/>
      <c r="M281" s="168" t="s">
        <v>1303</v>
      </c>
      <c r="N281" s="169">
        <v>43378</v>
      </c>
      <c r="O281" s="169">
        <v>43378</v>
      </c>
      <c r="P281" s="168" t="s">
        <v>1398</v>
      </c>
      <c r="Q281" s="166">
        <v>500</v>
      </c>
      <c r="R281" s="166">
        <v>14040</v>
      </c>
      <c r="S281" s="170">
        <v>2798.55</v>
      </c>
      <c r="T281" s="166">
        <v>14046</v>
      </c>
      <c r="U281" s="170">
        <v>1772.42</v>
      </c>
      <c r="V281" s="170">
        <f t="shared" si="24"/>
        <v>1026.1300000000001</v>
      </c>
      <c r="W281" s="171">
        <v>513.07000000000005</v>
      </c>
      <c r="X281" s="166">
        <v>51260</v>
      </c>
      <c r="Y281" s="170">
        <v>46.64</v>
      </c>
      <c r="Z281" s="168" t="s">
        <v>1053</v>
      </c>
      <c r="AA281" s="168"/>
      <c r="AB281" s="168" t="s">
        <v>1399</v>
      </c>
      <c r="AC281" s="168"/>
      <c r="AD281" s="168" t="s">
        <v>1058</v>
      </c>
      <c r="AE281" s="168" t="s">
        <v>1059</v>
      </c>
      <c r="AF281" s="166" t="s">
        <v>284</v>
      </c>
      <c r="AG281" s="168"/>
      <c r="AH281" s="166" t="s">
        <v>1060</v>
      </c>
      <c r="AI281" s="168">
        <v>0</v>
      </c>
      <c r="AJ281" s="168">
        <v>0</v>
      </c>
      <c r="AP281" s="206"/>
      <c r="AQ281" s="207"/>
      <c r="AR281" s="207"/>
      <c r="AS281" s="207"/>
      <c r="AT281" s="208"/>
      <c r="AU281" s="207"/>
      <c r="AV281" s="208"/>
    </row>
    <row r="282" spans="1:48" s="205" customFormat="1" ht="15">
      <c r="A282" s="145"/>
      <c r="B282" s="166">
        <v>2183</v>
      </c>
      <c r="C282" s="167">
        <v>204847</v>
      </c>
      <c r="D282" s="166">
        <v>203829</v>
      </c>
      <c r="E282" s="168" t="s">
        <v>1400</v>
      </c>
      <c r="F282" s="166"/>
      <c r="G282" s="168"/>
      <c r="H282" s="168"/>
      <c r="I282" s="168"/>
      <c r="J282" s="168">
        <v>0</v>
      </c>
      <c r="K282" s="168" t="s">
        <v>1196</v>
      </c>
      <c r="L282" s="168"/>
      <c r="M282" s="168" t="s">
        <v>1303</v>
      </c>
      <c r="N282" s="169">
        <v>43385</v>
      </c>
      <c r="O282" s="169">
        <v>43385</v>
      </c>
      <c r="P282" s="168" t="s">
        <v>1390</v>
      </c>
      <c r="Q282" s="166">
        <v>1000</v>
      </c>
      <c r="R282" s="166">
        <v>14040</v>
      </c>
      <c r="S282" s="170">
        <v>1236</v>
      </c>
      <c r="T282" s="166">
        <v>14046</v>
      </c>
      <c r="U282" s="170">
        <v>391.4</v>
      </c>
      <c r="V282" s="170">
        <f t="shared" si="24"/>
        <v>844.6</v>
      </c>
      <c r="W282" s="171">
        <v>113.3</v>
      </c>
      <c r="X282" s="166">
        <v>51260</v>
      </c>
      <c r="Y282" s="170">
        <v>10.3</v>
      </c>
      <c r="Z282" s="168" t="s">
        <v>1053</v>
      </c>
      <c r="AA282" s="168"/>
      <c r="AB282" s="168" t="s">
        <v>1401</v>
      </c>
      <c r="AC282" s="168"/>
      <c r="AD282" s="168" t="s">
        <v>1058</v>
      </c>
      <c r="AE282" s="168" t="s">
        <v>1059</v>
      </c>
      <c r="AF282" s="166" t="s">
        <v>284</v>
      </c>
      <c r="AG282" s="168"/>
      <c r="AH282" s="166" t="s">
        <v>1060</v>
      </c>
      <c r="AI282" s="168">
        <v>0</v>
      </c>
      <c r="AJ282" s="168">
        <v>0</v>
      </c>
      <c r="AP282" s="206"/>
      <c r="AQ282" s="207"/>
      <c r="AR282" s="207"/>
      <c r="AS282" s="207"/>
      <c r="AT282" s="208"/>
      <c r="AU282" s="207"/>
      <c r="AV282" s="208"/>
    </row>
    <row r="283" spans="1:48" s="205" customFormat="1" ht="15">
      <c r="A283" s="145"/>
      <c r="B283" s="166">
        <v>2183</v>
      </c>
      <c r="C283" s="167">
        <v>204846</v>
      </c>
      <c r="D283" s="166">
        <v>202838</v>
      </c>
      <c r="E283" s="168" t="s">
        <v>1402</v>
      </c>
      <c r="F283" s="166"/>
      <c r="G283" s="168"/>
      <c r="H283" s="168"/>
      <c r="I283" s="168"/>
      <c r="J283" s="168">
        <v>0</v>
      </c>
      <c r="K283" s="168" t="s">
        <v>1275</v>
      </c>
      <c r="L283" s="168"/>
      <c r="M283" s="168" t="s">
        <v>1303</v>
      </c>
      <c r="N283" s="169">
        <v>43373</v>
      </c>
      <c r="O283" s="169">
        <v>43373</v>
      </c>
      <c r="P283" s="168" t="s">
        <v>1392</v>
      </c>
      <c r="Q283" s="166">
        <v>1000</v>
      </c>
      <c r="R283" s="166">
        <v>14040</v>
      </c>
      <c r="S283" s="170">
        <v>243</v>
      </c>
      <c r="T283" s="166">
        <v>14046</v>
      </c>
      <c r="U283" s="170">
        <v>76.959999999999994</v>
      </c>
      <c r="V283" s="170">
        <f t="shared" si="24"/>
        <v>166.04000000000002</v>
      </c>
      <c r="W283" s="171">
        <v>22.28</v>
      </c>
      <c r="X283" s="166">
        <v>51260</v>
      </c>
      <c r="Y283" s="170">
        <v>2.0299999999999998</v>
      </c>
      <c r="Z283" s="168" t="s">
        <v>1053</v>
      </c>
      <c r="AA283" s="168"/>
      <c r="AB283" s="168" t="s">
        <v>1403</v>
      </c>
      <c r="AC283" s="168"/>
      <c r="AD283" s="168" t="s">
        <v>1058</v>
      </c>
      <c r="AE283" s="168" t="s">
        <v>1059</v>
      </c>
      <c r="AF283" s="166" t="s">
        <v>284</v>
      </c>
      <c r="AG283" s="168"/>
      <c r="AH283" s="166" t="s">
        <v>1060</v>
      </c>
      <c r="AI283" s="168">
        <v>0</v>
      </c>
      <c r="AJ283" s="168">
        <v>0</v>
      </c>
      <c r="AP283" s="206"/>
      <c r="AQ283" s="207"/>
      <c r="AR283" s="207"/>
      <c r="AS283" s="207"/>
      <c r="AT283" s="208"/>
      <c r="AU283" s="207"/>
      <c r="AV283" s="208"/>
    </row>
    <row r="284" spans="1:48" s="205" customFormat="1" ht="15">
      <c r="A284" s="145"/>
      <c r="B284" s="166">
        <v>2183</v>
      </c>
      <c r="C284" s="167">
        <v>204845</v>
      </c>
      <c r="D284" s="166">
        <v>202838</v>
      </c>
      <c r="E284" s="168" t="s">
        <v>1402</v>
      </c>
      <c r="F284" s="166"/>
      <c r="G284" s="168"/>
      <c r="H284" s="168"/>
      <c r="I284" s="168"/>
      <c r="J284" s="168">
        <v>0</v>
      </c>
      <c r="K284" s="168" t="s">
        <v>1275</v>
      </c>
      <c r="L284" s="168"/>
      <c r="M284" s="168" t="s">
        <v>1303</v>
      </c>
      <c r="N284" s="169">
        <v>43373</v>
      </c>
      <c r="O284" s="169">
        <v>43373</v>
      </c>
      <c r="P284" s="168" t="s">
        <v>1392</v>
      </c>
      <c r="Q284" s="166">
        <v>1000</v>
      </c>
      <c r="R284" s="166">
        <v>14040</v>
      </c>
      <c r="S284" s="170">
        <v>993</v>
      </c>
      <c r="T284" s="166">
        <v>14046</v>
      </c>
      <c r="U284" s="170">
        <v>314.45999999999998</v>
      </c>
      <c r="V284" s="170">
        <f t="shared" si="24"/>
        <v>678.54</v>
      </c>
      <c r="W284" s="171">
        <v>91.03</v>
      </c>
      <c r="X284" s="166">
        <v>51260</v>
      </c>
      <c r="Y284" s="170">
        <v>8.2799999999999994</v>
      </c>
      <c r="Z284" s="168" t="s">
        <v>1053</v>
      </c>
      <c r="AA284" s="168"/>
      <c r="AB284" s="168" t="s">
        <v>1404</v>
      </c>
      <c r="AC284" s="168"/>
      <c r="AD284" s="168" t="s">
        <v>1058</v>
      </c>
      <c r="AE284" s="168" t="s">
        <v>1059</v>
      </c>
      <c r="AF284" s="166" t="s">
        <v>284</v>
      </c>
      <c r="AG284" s="168"/>
      <c r="AH284" s="166" t="s">
        <v>1060</v>
      </c>
      <c r="AI284" s="168">
        <v>0</v>
      </c>
      <c r="AJ284" s="168">
        <v>0</v>
      </c>
      <c r="AP284" s="206"/>
      <c r="AQ284" s="207"/>
      <c r="AR284" s="207"/>
      <c r="AS284" s="207"/>
      <c r="AT284" s="208"/>
      <c r="AU284" s="207"/>
      <c r="AV284" s="208"/>
    </row>
    <row r="285" spans="1:48" s="205" customFormat="1" ht="15">
      <c r="A285" s="145"/>
      <c r="B285" s="166">
        <v>2183</v>
      </c>
      <c r="C285" s="167">
        <v>204844</v>
      </c>
      <c r="D285" s="166">
        <v>202838</v>
      </c>
      <c r="E285" s="168" t="s">
        <v>729</v>
      </c>
      <c r="F285" s="166"/>
      <c r="G285" s="168"/>
      <c r="H285" s="168"/>
      <c r="I285" s="168"/>
      <c r="J285" s="168">
        <v>0</v>
      </c>
      <c r="K285" s="168" t="s">
        <v>1282</v>
      </c>
      <c r="L285" s="168"/>
      <c r="M285" s="168" t="s">
        <v>1303</v>
      </c>
      <c r="N285" s="169">
        <v>43373</v>
      </c>
      <c r="O285" s="169">
        <v>43373</v>
      </c>
      <c r="P285" s="168" t="s">
        <v>1392</v>
      </c>
      <c r="Q285" s="166">
        <v>1000</v>
      </c>
      <c r="R285" s="166">
        <v>14040</v>
      </c>
      <c r="S285" s="170">
        <v>952.88</v>
      </c>
      <c r="T285" s="166">
        <v>14046</v>
      </c>
      <c r="U285" s="170">
        <v>301.75</v>
      </c>
      <c r="V285" s="170">
        <f t="shared" si="24"/>
        <v>651.13</v>
      </c>
      <c r="W285" s="171">
        <v>87.35</v>
      </c>
      <c r="X285" s="166">
        <v>51260</v>
      </c>
      <c r="Y285" s="170">
        <v>7.94</v>
      </c>
      <c r="Z285" s="168" t="s">
        <v>1053</v>
      </c>
      <c r="AA285" s="168"/>
      <c r="AB285" s="168">
        <v>24423</v>
      </c>
      <c r="AC285" s="168"/>
      <c r="AD285" s="168" t="s">
        <v>1058</v>
      </c>
      <c r="AE285" s="168" t="s">
        <v>1059</v>
      </c>
      <c r="AF285" s="166" t="s">
        <v>284</v>
      </c>
      <c r="AG285" s="168"/>
      <c r="AH285" s="166" t="s">
        <v>1060</v>
      </c>
      <c r="AI285" s="168">
        <v>0</v>
      </c>
      <c r="AJ285" s="168">
        <v>0</v>
      </c>
      <c r="AP285" s="206"/>
      <c r="AQ285" s="207"/>
      <c r="AR285" s="207"/>
      <c r="AS285" s="207"/>
      <c r="AT285" s="208"/>
      <c r="AU285" s="207"/>
      <c r="AV285" s="208"/>
    </row>
    <row r="286" spans="1:48" s="205" customFormat="1" ht="15">
      <c r="A286" s="145"/>
      <c r="B286" s="166">
        <v>2183</v>
      </c>
      <c r="C286" s="167">
        <v>204843</v>
      </c>
      <c r="D286" s="166">
        <v>203124</v>
      </c>
      <c r="E286" s="168" t="s">
        <v>729</v>
      </c>
      <c r="F286" s="166"/>
      <c r="G286" s="168"/>
      <c r="H286" s="168"/>
      <c r="I286" s="168"/>
      <c r="J286" s="168">
        <v>0</v>
      </c>
      <c r="K286" s="168" t="s">
        <v>1282</v>
      </c>
      <c r="L286" s="168"/>
      <c r="M286" s="168" t="s">
        <v>1303</v>
      </c>
      <c r="N286" s="169">
        <v>43373</v>
      </c>
      <c r="O286" s="169">
        <v>43373</v>
      </c>
      <c r="P286" s="168" t="s">
        <v>1391</v>
      </c>
      <c r="Q286" s="166">
        <v>1000</v>
      </c>
      <c r="R286" s="166">
        <v>14040</v>
      </c>
      <c r="S286" s="170">
        <v>920.21</v>
      </c>
      <c r="T286" s="166">
        <v>14046</v>
      </c>
      <c r="U286" s="170">
        <v>291.39999999999998</v>
      </c>
      <c r="V286" s="170">
        <f t="shared" si="24"/>
        <v>628.81000000000006</v>
      </c>
      <c r="W286" s="171">
        <v>84.35</v>
      </c>
      <c r="X286" s="166">
        <v>51260</v>
      </c>
      <c r="Y286" s="170">
        <v>7.67</v>
      </c>
      <c r="Z286" s="168" t="s">
        <v>1053</v>
      </c>
      <c r="AA286" s="168"/>
      <c r="AB286" s="168">
        <v>24410</v>
      </c>
      <c r="AC286" s="168"/>
      <c r="AD286" s="168" t="s">
        <v>1058</v>
      </c>
      <c r="AE286" s="168" t="s">
        <v>1059</v>
      </c>
      <c r="AF286" s="166" t="s">
        <v>284</v>
      </c>
      <c r="AG286" s="168"/>
      <c r="AH286" s="166" t="s">
        <v>1060</v>
      </c>
      <c r="AI286" s="168">
        <v>0</v>
      </c>
      <c r="AJ286" s="168">
        <v>0</v>
      </c>
      <c r="AP286" s="206"/>
      <c r="AQ286" s="207"/>
      <c r="AR286" s="207"/>
      <c r="AS286" s="207"/>
      <c r="AT286" s="208"/>
      <c r="AU286" s="207"/>
      <c r="AV286" s="208"/>
    </row>
    <row r="287" spans="1:48" s="205" customFormat="1" ht="15">
      <c r="A287" s="145"/>
      <c r="B287" s="166">
        <v>2183</v>
      </c>
      <c r="C287" s="167">
        <v>204842</v>
      </c>
      <c r="D287" s="166">
        <v>203829</v>
      </c>
      <c r="E287" s="168" t="s">
        <v>729</v>
      </c>
      <c r="F287" s="166"/>
      <c r="G287" s="168"/>
      <c r="H287" s="168"/>
      <c r="I287" s="168"/>
      <c r="J287" s="168">
        <v>0</v>
      </c>
      <c r="K287" s="168" t="s">
        <v>1196</v>
      </c>
      <c r="L287" s="168"/>
      <c r="M287" s="168" t="s">
        <v>1303</v>
      </c>
      <c r="N287" s="169">
        <v>43385</v>
      </c>
      <c r="O287" s="169">
        <v>43385</v>
      </c>
      <c r="P287" s="168" t="s">
        <v>1390</v>
      </c>
      <c r="Q287" s="166">
        <v>1000</v>
      </c>
      <c r="R287" s="166">
        <v>14040</v>
      </c>
      <c r="S287" s="170">
        <v>892.98</v>
      </c>
      <c r="T287" s="166">
        <v>14046</v>
      </c>
      <c r="U287" s="170">
        <v>282.79000000000002</v>
      </c>
      <c r="V287" s="170">
        <f t="shared" si="24"/>
        <v>610.19000000000005</v>
      </c>
      <c r="W287" s="171">
        <v>81.86</v>
      </c>
      <c r="X287" s="166">
        <v>51260</v>
      </c>
      <c r="Y287" s="170">
        <v>7.44</v>
      </c>
      <c r="Z287" s="168" t="s">
        <v>1053</v>
      </c>
      <c r="AA287" s="168"/>
      <c r="AB287" s="168">
        <v>24435</v>
      </c>
      <c r="AC287" s="168"/>
      <c r="AD287" s="168" t="s">
        <v>1058</v>
      </c>
      <c r="AE287" s="168" t="s">
        <v>1059</v>
      </c>
      <c r="AF287" s="166" t="s">
        <v>284</v>
      </c>
      <c r="AG287" s="168"/>
      <c r="AH287" s="166" t="s">
        <v>1060</v>
      </c>
      <c r="AI287" s="168">
        <v>0</v>
      </c>
      <c r="AJ287" s="168">
        <v>0</v>
      </c>
      <c r="AP287" s="206"/>
      <c r="AQ287" s="207"/>
      <c r="AR287" s="207"/>
      <c r="AS287" s="207"/>
      <c r="AT287" s="208"/>
      <c r="AU287" s="207"/>
      <c r="AV287" s="208"/>
    </row>
    <row r="288" spans="1:48" s="205" customFormat="1" ht="15">
      <c r="A288" s="145"/>
      <c r="B288" s="166">
        <v>2183</v>
      </c>
      <c r="C288" s="167">
        <v>204841</v>
      </c>
      <c r="D288" s="166">
        <v>203124</v>
      </c>
      <c r="E288" s="168" t="s">
        <v>1405</v>
      </c>
      <c r="F288" s="166"/>
      <c r="G288" s="168"/>
      <c r="H288" s="168"/>
      <c r="I288" s="168"/>
      <c r="J288" s="168">
        <v>0</v>
      </c>
      <c r="K288" s="168" t="s">
        <v>1275</v>
      </c>
      <c r="L288" s="168"/>
      <c r="M288" s="168" t="s">
        <v>1303</v>
      </c>
      <c r="N288" s="169">
        <v>43373</v>
      </c>
      <c r="O288" s="169">
        <v>43373</v>
      </c>
      <c r="P288" s="168" t="s">
        <v>1391</v>
      </c>
      <c r="Q288" s="166">
        <v>1000</v>
      </c>
      <c r="R288" s="166">
        <v>14040</v>
      </c>
      <c r="S288" s="170">
        <v>1295.25</v>
      </c>
      <c r="T288" s="166">
        <v>14046</v>
      </c>
      <c r="U288" s="170">
        <v>410.18</v>
      </c>
      <c r="V288" s="170">
        <f t="shared" si="24"/>
        <v>885.06999999999994</v>
      </c>
      <c r="W288" s="171">
        <v>118.74</v>
      </c>
      <c r="X288" s="166">
        <v>51260</v>
      </c>
      <c r="Y288" s="170">
        <v>10.8</v>
      </c>
      <c r="Z288" s="168" t="s">
        <v>1053</v>
      </c>
      <c r="AA288" s="168"/>
      <c r="AB288" s="168" t="s">
        <v>1406</v>
      </c>
      <c r="AC288" s="168"/>
      <c r="AD288" s="168" t="s">
        <v>1058</v>
      </c>
      <c r="AE288" s="168" t="s">
        <v>1059</v>
      </c>
      <c r="AF288" s="166" t="s">
        <v>284</v>
      </c>
      <c r="AG288" s="168"/>
      <c r="AH288" s="166" t="s">
        <v>1060</v>
      </c>
      <c r="AI288" s="168">
        <v>0</v>
      </c>
      <c r="AJ288" s="168">
        <v>0</v>
      </c>
      <c r="AP288" s="206"/>
      <c r="AQ288" s="207"/>
      <c r="AR288" s="207"/>
      <c r="AS288" s="207"/>
      <c r="AT288" s="208"/>
      <c r="AU288" s="207"/>
      <c r="AV288" s="208"/>
    </row>
    <row r="289" spans="1:48" s="205" customFormat="1" ht="15">
      <c r="A289" s="145"/>
      <c r="B289" s="166">
        <v>2183</v>
      </c>
      <c r="C289" s="167">
        <v>204840</v>
      </c>
      <c r="D289" s="166">
        <v>202839</v>
      </c>
      <c r="E289" s="168" t="s">
        <v>729</v>
      </c>
      <c r="F289" s="166"/>
      <c r="G289" s="168"/>
      <c r="H289" s="168"/>
      <c r="I289" s="168"/>
      <c r="J289" s="168">
        <v>0</v>
      </c>
      <c r="K289" s="168" t="s">
        <v>1196</v>
      </c>
      <c r="L289" s="168"/>
      <c r="M289" s="168" t="s">
        <v>1303</v>
      </c>
      <c r="N289" s="169">
        <v>43373</v>
      </c>
      <c r="O289" s="169">
        <v>43373</v>
      </c>
      <c r="P289" s="168" t="s">
        <v>1389</v>
      </c>
      <c r="Q289" s="166">
        <v>1000</v>
      </c>
      <c r="R289" s="166">
        <v>14040</v>
      </c>
      <c r="S289" s="170">
        <v>952.88</v>
      </c>
      <c r="T289" s="166">
        <v>14046</v>
      </c>
      <c r="U289" s="170">
        <v>301.75</v>
      </c>
      <c r="V289" s="170">
        <f t="shared" si="24"/>
        <v>651.13</v>
      </c>
      <c r="W289" s="171">
        <v>87.35</v>
      </c>
      <c r="X289" s="166">
        <v>51260</v>
      </c>
      <c r="Y289" s="170">
        <v>7.94</v>
      </c>
      <c r="Z289" s="168" t="s">
        <v>1053</v>
      </c>
      <c r="AA289" s="168"/>
      <c r="AB289" s="168">
        <v>24338</v>
      </c>
      <c r="AC289" s="168"/>
      <c r="AD289" s="168" t="s">
        <v>1058</v>
      </c>
      <c r="AE289" s="168" t="s">
        <v>1059</v>
      </c>
      <c r="AF289" s="166" t="s">
        <v>284</v>
      </c>
      <c r="AG289" s="168"/>
      <c r="AH289" s="166" t="s">
        <v>1060</v>
      </c>
      <c r="AI289" s="168">
        <v>0</v>
      </c>
      <c r="AJ289" s="168">
        <v>0</v>
      </c>
      <c r="AP289" s="206"/>
      <c r="AQ289" s="207"/>
      <c r="AR289" s="207"/>
      <c r="AS289" s="207"/>
      <c r="AT289" s="208"/>
      <c r="AU289" s="207"/>
      <c r="AV289" s="208"/>
    </row>
    <row r="290" spans="1:48" s="205" customFormat="1" ht="15">
      <c r="A290" s="145"/>
      <c r="B290" s="166">
        <v>2183</v>
      </c>
      <c r="C290" s="167">
        <v>204839</v>
      </c>
      <c r="D290" s="166">
        <v>202839</v>
      </c>
      <c r="E290" s="168" t="s">
        <v>1227</v>
      </c>
      <c r="F290" s="166"/>
      <c r="G290" s="168"/>
      <c r="H290" s="168"/>
      <c r="I290" s="168"/>
      <c r="J290" s="168">
        <v>0</v>
      </c>
      <c r="K290" s="168" t="s">
        <v>1196</v>
      </c>
      <c r="L290" s="168"/>
      <c r="M290" s="168" t="s">
        <v>1303</v>
      </c>
      <c r="N290" s="169">
        <v>43373</v>
      </c>
      <c r="O290" s="169">
        <v>43373</v>
      </c>
      <c r="P290" s="168" t="s">
        <v>1389</v>
      </c>
      <c r="Q290" s="166">
        <v>1000</v>
      </c>
      <c r="R290" s="166">
        <v>14040</v>
      </c>
      <c r="S290" s="170">
        <v>371.67</v>
      </c>
      <c r="T290" s="166">
        <v>14046</v>
      </c>
      <c r="U290" s="170">
        <v>117.7</v>
      </c>
      <c r="V290" s="170">
        <f t="shared" si="24"/>
        <v>253.97000000000003</v>
      </c>
      <c r="W290" s="171">
        <v>34.07</v>
      </c>
      <c r="X290" s="166">
        <v>51260</v>
      </c>
      <c r="Y290" s="170">
        <v>3.09</v>
      </c>
      <c r="Z290" s="168" t="s">
        <v>1053</v>
      </c>
      <c r="AA290" s="168"/>
      <c r="AB290" s="168" t="s">
        <v>1407</v>
      </c>
      <c r="AC290" s="168"/>
      <c r="AD290" s="168" t="s">
        <v>1058</v>
      </c>
      <c r="AE290" s="168" t="s">
        <v>1059</v>
      </c>
      <c r="AF290" s="166" t="s">
        <v>284</v>
      </c>
      <c r="AG290" s="168"/>
      <c r="AH290" s="166" t="s">
        <v>1060</v>
      </c>
      <c r="AI290" s="168">
        <v>0</v>
      </c>
      <c r="AJ290" s="168">
        <v>0</v>
      </c>
      <c r="AP290" s="206"/>
      <c r="AQ290" s="207"/>
      <c r="AR290" s="207"/>
      <c r="AS290" s="207"/>
      <c r="AT290" s="208"/>
      <c r="AU290" s="207"/>
      <c r="AV290" s="208"/>
    </row>
    <row r="291" spans="1:48" s="205" customFormat="1" ht="15">
      <c r="A291" s="145"/>
      <c r="B291" s="166">
        <v>2183</v>
      </c>
      <c r="C291" s="167">
        <v>204522</v>
      </c>
      <c r="D291" s="166">
        <v>202839</v>
      </c>
      <c r="E291" s="168" t="s">
        <v>1394</v>
      </c>
      <c r="F291" s="166"/>
      <c r="G291" s="168"/>
      <c r="H291" s="168"/>
      <c r="I291" s="168"/>
      <c r="J291" s="168">
        <v>0</v>
      </c>
      <c r="K291" s="168" t="s">
        <v>1196</v>
      </c>
      <c r="L291" s="168"/>
      <c r="M291" s="168" t="s">
        <v>1108</v>
      </c>
      <c r="N291" s="169">
        <v>43373</v>
      </c>
      <c r="O291" s="169">
        <v>43373</v>
      </c>
      <c r="P291" s="168" t="s">
        <v>1389</v>
      </c>
      <c r="Q291" s="166">
        <v>500</v>
      </c>
      <c r="R291" s="166">
        <v>14040</v>
      </c>
      <c r="S291" s="170">
        <v>519.47</v>
      </c>
      <c r="T291" s="166">
        <v>14046</v>
      </c>
      <c r="U291" s="170">
        <v>328.98</v>
      </c>
      <c r="V291" s="170">
        <f t="shared" si="24"/>
        <v>190.49</v>
      </c>
      <c r="W291" s="171">
        <v>95.23</v>
      </c>
      <c r="X291" s="166">
        <v>51260</v>
      </c>
      <c r="Y291" s="170">
        <v>8.65</v>
      </c>
      <c r="Z291" s="168" t="s">
        <v>1053</v>
      </c>
      <c r="AA291" s="168"/>
      <c r="AB291" s="168">
        <v>5156766</v>
      </c>
      <c r="AC291" s="168"/>
      <c r="AD291" s="168" t="s">
        <v>1058</v>
      </c>
      <c r="AE291" s="168" t="s">
        <v>1059</v>
      </c>
      <c r="AF291" s="166" t="s">
        <v>284</v>
      </c>
      <c r="AG291" s="168"/>
      <c r="AH291" s="166" t="s">
        <v>1060</v>
      </c>
      <c r="AI291" s="168">
        <v>0</v>
      </c>
      <c r="AJ291" s="168">
        <v>0</v>
      </c>
      <c r="AP291" s="206"/>
      <c r="AQ291" s="207"/>
      <c r="AR291" s="207"/>
      <c r="AS291" s="207"/>
      <c r="AT291" s="208"/>
      <c r="AU291" s="207"/>
      <c r="AV291" s="208"/>
    </row>
    <row r="292" spans="1:48" s="205" customFormat="1" ht="15">
      <c r="A292" s="145"/>
      <c r="B292" s="166">
        <v>2183</v>
      </c>
      <c r="C292" s="167">
        <v>204521</v>
      </c>
      <c r="D292" s="166">
        <v>202167</v>
      </c>
      <c r="E292" s="168" t="s">
        <v>1394</v>
      </c>
      <c r="F292" s="166"/>
      <c r="G292" s="168"/>
      <c r="H292" s="168"/>
      <c r="I292" s="168"/>
      <c r="J292" s="168">
        <v>0</v>
      </c>
      <c r="K292" s="168" t="s">
        <v>1334</v>
      </c>
      <c r="L292" s="168"/>
      <c r="M292" s="168" t="s">
        <v>1108</v>
      </c>
      <c r="N292" s="169">
        <v>43313</v>
      </c>
      <c r="O292" s="169">
        <v>43313</v>
      </c>
      <c r="P292" s="168" t="s">
        <v>1385</v>
      </c>
      <c r="Q292" s="166">
        <v>500</v>
      </c>
      <c r="R292" s="166">
        <v>14040</v>
      </c>
      <c r="S292" s="170">
        <v>519.47</v>
      </c>
      <c r="T292" s="166">
        <v>14046</v>
      </c>
      <c r="U292" s="170">
        <v>346.3</v>
      </c>
      <c r="V292" s="170">
        <f t="shared" si="24"/>
        <v>173.17000000000002</v>
      </c>
      <c r="W292" s="171">
        <v>95.23</v>
      </c>
      <c r="X292" s="166">
        <v>51260</v>
      </c>
      <c r="Y292" s="170">
        <v>8.65</v>
      </c>
      <c r="Z292" s="168" t="s">
        <v>1053</v>
      </c>
      <c r="AA292" s="168"/>
      <c r="AB292" s="168">
        <v>5156785</v>
      </c>
      <c r="AC292" s="168"/>
      <c r="AD292" s="168" t="s">
        <v>1058</v>
      </c>
      <c r="AE292" s="168" t="s">
        <v>1059</v>
      </c>
      <c r="AF292" s="166" t="s">
        <v>284</v>
      </c>
      <c r="AG292" s="168"/>
      <c r="AH292" s="166" t="s">
        <v>1060</v>
      </c>
      <c r="AI292" s="168">
        <v>0</v>
      </c>
      <c r="AJ292" s="168">
        <v>0</v>
      </c>
      <c r="AP292" s="206"/>
      <c r="AQ292" s="207"/>
      <c r="AR292" s="207"/>
      <c r="AS292" s="207"/>
      <c r="AT292" s="208"/>
      <c r="AU292" s="207"/>
      <c r="AV292" s="208"/>
    </row>
    <row r="293" spans="1:48" s="205" customFormat="1" ht="15">
      <c r="A293" s="145"/>
      <c r="B293" s="166">
        <v>2183</v>
      </c>
      <c r="C293" s="167">
        <v>204520</v>
      </c>
      <c r="D293" s="166">
        <v>203124</v>
      </c>
      <c r="E293" s="168" t="s">
        <v>1394</v>
      </c>
      <c r="F293" s="166"/>
      <c r="G293" s="168"/>
      <c r="H293" s="168"/>
      <c r="I293" s="168"/>
      <c r="J293" s="168">
        <v>0</v>
      </c>
      <c r="K293" s="168" t="s">
        <v>1334</v>
      </c>
      <c r="L293" s="168"/>
      <c r="M293" s="168" t="s">
        <v>1108</v>
      </c>
      <c r="N293" s="169">
        <v>43373</v>
      </c>
      <c r="O293" s="169">
        <v>43373</v>
      </c>
      <c r="P293" s="168" t="s">
        <v>1391</v>
      </c>
      <c r="Q293" s="166">
        <v>500</v>
      </c>
      <c r="R293" s="166">
        <v>14040</v>
      </c>
      <c r="S293" s="170">
        <v>519.47</v>
      </c>
      <c r="T293" s="166">
        <v>14046</v>
      </c>
      <c r="U293" s="170">
        <v>328.98</v>
      </c>
      <c r="V293" s="170">
        <f t="shared" si="24"/>
        <v>190.49</v>
      </c>
      <c r="W293" s="171">
        <v>95.23</v>
      </c>
      <c r="X293" s="166">
        <v>51260</v>
      </c>
      <c r="Y293" s="170">
        <v>8.65</v>
      </c>
      <c r="Z293" s="168" t="s">
        <v>1053</v>
      </c>
      <c r="AA293" s="168"/>
      <c r="AB293" s="168">
        <v>5156746</v>
      </c>
      <c r="AC293" s="168"/>
      <c r="AD293" s="168" t="s">
        <v>1058</v>
      </c>
      <c r="AE293" s="168" t="s">
        <v>1059</v>
      </c>
      <c r="AF293" s="166" t="s">
        <v>284</v>
      </c>
      <c r="AG293" s="168"/>
      <c r="AH293" s="166" t="s">
        <v>1060</v>
      </c>
      <c r="AI293" s="168">
        <v>0</v>
      </c>
      <c r="AJ293" s="168">
        <v>0</v>
      </c>
      <c r="AP293" s="206"/>
      <c r="AQ293" s="207"/>
      <c r="AR293" s="207"/>
      <c r="AS293" s="207"/>
      <c r="AT293" s="208"/>
      <c r="AU293" s="207"/>
      <c r="AV293" s="208"/>
    </row>
    <row r="294" spans="1:48" s="205" customFormat="1" ht="15">
      <c r="A294" s="145"/>
      <c r="B294" s="166">
        <v>2183</v>
      </c>
      <c r="C294" s="167">
        <v>204247</v>
      </c>
      <c r="D294" s="166" t="s">
        <v>1053</v>
      </c>
      <c r="E294" s="168" t="s">
        <v>1380</v>
      </c>
      <c r="F294" s="166">
        <v>5</v>
      </c>
      <c r="G294" s="168"/>
      <c r="H294" s="168"/>
      <c r="I294" s="168"/>
      <c r="J294" s="168">
        <v>0</v>
      </c>
      <c r="K294" s="168" t="s">
        <v>1265</v>
      </c>
      <c r="L294" s="168"/>
      <c r="M294" s="168" t="s">
        <v>1145</v>
      </c>
      <c r="N294" s="169">
        <v>43377</v>
      </c>
      <c r="O294" s="169">
        <v>43377</v>
      </c>
      <c r="P294" s="168" t="s">
        <v>1381</v>
      </c>
      <c r="Q294" s="166">
        <v>1200</v>
      </c>
      <c r="R294" s="166">
        <v>14050</v>
      </c>
      <c r="S294" s="170">
        <v>33268.620000000003</v>
      </c>
      <c r="T294" s="166">
        <v>14056</v>
      </c>
      <c r="U294" s="170">
        <v>8779.24</v>
      </c>
      <c r="V294" s="170">
        <f t="shared" si="24"/>
        <v>24489.380000000005</v>
      </c>
      <c r="W294" s="171">
        <v>2541.36</v>
      </c>
      <c r="X294" s="166">
        <v>54260</v>
      </c>
      <c r="Y294" s="170">
        <v>231.03</v>
      </c>
      <c r="Z294" s="168" t="s">
        <v>1053</v>
      </c>
      <c r="AA294" s="168"/>
      <c r="AB294" s="168" t="s">
        <v>1408</v>
      </c>
      <c r="AC294" s="168"/>
      <c r="AD294" s="168" t="s">
        <v>1058</v>
      </c>
      <c r="AE294" s="168" t="s">
        <v>1059</v>
      </c>
      <c r="AF294" s="166" t="s">
        <v>284</v>
      </c>
      <c r="AG294" s="168"/>
      <c r="AH294" s="166" t="s">
        <v>1060</v>
      </c>
      <c r="AI294" s="168">
        <v>0</v>
      </c>
      <c r="AJ294" s="168">
        <v>0</v>
      </c>
      <c r="AP294" s="206"/>
      <c r="AQ294" s="207"/>
      <c r="AR294" s="207"/>
      <c r="AS294" s="207"/>
      <c r="AT294" s="208"/>
      <c r="AU294" s="207"/>
      <c r="AV294" s="208"/>
    </row>
    <row r="295" spans="1:48" s="205" customFormat="1" ht="15">
      <c r="A295" s="145"/>
      <c r="B295" s="166">
        <v>2183</v>
      </c>
      <c r="C295" s="167">
        <v>204246</v>
      </c>
      <c r="D295" s="166" t="s">
        <v>1053</v>
      </c>
      <c r="E295" s="168" t="s">
        <v>735</v>
      </c>
      <c r="F295" s="166">
        <v>468</v>
      </c>
      <c r="G295" s="168"/>
      <c r="H295" s="168"/>
      <c r="I295" s="168"/>
      <c r="J295" s="168">
        <v>0</v>
      </c>
      <c r="K295" s="168" t="s">
        <v>1241</v>
      </c>
      <c r="L295" s="168"/>
      <c r="M295" s="168"/>
      <c r="N295" s="169">
        <v>43325</v>
      </c>
      <c r="O295" s="169">
        <v>43325</v>
      </c>
      <c r="P295" s="168" t="s">
        <v>1409</v>
      </c>
      <c r="Q295" s="166">
        <v>700</v>
      </c>
      <c r="R295" s="166">
        <v>14050</v>
      </c>
      <c r="S295" s="170">
        <v>18944.09</v>
      </c>
      <c r="T295" s="166">
        <v>14056</v>
      </c>
      <c r="U295" s="170">
        <v>9021.01</v>
      </c>
      <c r="V295" s="170">
        <f t="shared" si="24"/>
        <v>9923.08</v>
      </c>
      <c r="W295" s="171">
        <v>2480.7800000000002</v>
      </c>
      <c r="X295" s="166">
        <v>54260</v>
      </c>
      <c r="Y295" s="170">
        <v>225.53</v>
      </c>
      <c r="Z295" s="168" t="s">
        <v>1053</v>
      </c>
      <c r="AA295" s="168"/>
      <c r="AB295" s="168">
        <v>65556140</v>
      </c>
      <c r="AC295" s="168"/>
      <c r="AD295" s="168" t="s">
        <v>1058</v>
      </c>
      <c r="AE295" s="168" t="s">
        <v>1059</v>
      </c>
      <c r="AF295" s="166" t="s">
        <v>284</v>
      </c>
      <c r="AG295" s="168"/>
      <c r="AH295" s="166" t="s">
        <v>1060</v>
      </c>
      <c r="AI295" s="168">
        <v>0</v>
      </c>
      <c r="AJ295" s="168">
        <v>0</v>
      </c>
      <c r="AP295" s="206"/>
      <c r="AQ295" s="207"/>
      <c r="AR295" s="207"/>
      <c r="AS295" s="207"/>
      <c r="AT295" s="208"/>
      <c r="AU295" s="207"/>
      <c r="AV295" s="208"/>
    </row>
    <row r="296" spans="1:48" s="205" customFormat="1" ht="15">
      <c r="A296" s="145"/>
      <c r="B296" s="166">
        <v>2183</v>
      </c>
      <c r="C296" s="167">
        <v>204245</v>
      </c>
      <c r="D296" s="166" t="s">
        <v>1053</v>
      </c>
      <c r="E296" s="168" t="s">
        <v>1410</v>
      </c>
      <c r="F296" s="166">
        <v>312</v>
      </c>
      <c r="G296" s="168"/>
      <c r="H296" s="168"/>
      <c r="I296" s="168"/>
      <c r="J296" s="168">
        <v>0</v>
      </c>
      <c r="K296" s="168" t="s">
        <v>1241</v>
      </c>
      <c r="L296" s="168"/>
      <c r="M296" s="168"/>
      <c r="N296" s="169">
        <v>43325</v>
      </c>
      <c r="O296" s="169">
        <v>43325</v>
      </c>
      <c r="P296" s="168" t="s">
        <v>1409</v>
      </c>
      <c r="Q296" s="166">
        <v>700</v>
      </c>
      <c r="R296" s="166">
        <v>14050</v>
      </c>
      <c r="S296" s="170">
        <v>16735.59</v>
      </c>
      <c r="T296" s="166">
        <v>14056</v>
      </c>
      <c r="U296" s="170">
        <v>7969.34</v>
      </c>
      <c r="V296" s="170">
        <f t="shared" si="24"/>
        <v>8766.25</v>
      </c>
      <c r="W296" s="171">
        <v>2191.5700000000002</v>
      </c>
      <c r="X296" s="166">
        <v>54260</v>
      </c>
      <c r="Y296" s="170">
        <v>199.24</v>
      </c>
      <c r="Z296" s="168" t="s">
        <v>1053</v>
      </c>
      <c r="AA296" s="168"/>
      <c r="AB296" s="168">
        <v>65556140</v>
      </c>
      <c r="AC296" s="168"/>
      <c r="AD296" s="168" t="s">
        <v>1058</v>
      </c>
      <c r="AE296" s="168" t="s">
        <v>1059</v>
      </c>
      <c r="AF296" s="166" t="s">
        <v>284</v>
      </c>
      <c r="AG296" s="168"/>
      <c r="AH296" s="166" t="s">
        <v>1060</v>
      </c>
      <c r="AI296" s="168">
        <v>0</v>
      </c>
      <c r="AJ296" s="168">
        <v>0</v>
      </c>
      <c r="AP296" s="206"/>
      <c r="AQ296" s="207"/>
      <c r="AR296" s="207"/>
      <c r="AS296" s="207"/>
      <c r="AT296" s="208"/>
      <c r="AU296" s="207"/>
      <c r="AV296" s="208"/>
    </row>
    <row r="297" spans="1:48" s="205" customFormat="1" ht="15">
      <c r="A297" s="145"/>
      <c r="B297" s="166">
        <v>2183</v>
      </c>
      <c r="C297" s="167">
        <v>203829</v>
      </c>
      <c r="D297" s="166" t="s">
        <v>1053</v>
      </c>
      <c r="E297" s="168" t="s">
        <v>758</v>
      </c>
      <c r="F297" s="166"/>
      <c r="G297" s="168"/>
      <c r="H297" s="168" t="s">
        <v>1411</v>
      </c>
      <c r="I297" s="168"/>
      <c r="J297" s="168">
        <v>2019</v>
      </c>
      <c r="K297" s="168" t="s">
        <v>1196</v>
      </c>
      <c r="L297" s="168" t="s">
        <v>1220</v>
      </c>
      <c r="M297" s="168" t="s">
        <v>1286</v>
      </c>
      <c r="N297" s="169">
        <v>43385</v>
      </c>
      <c r="O297" s="169">
        <v>43385</v>
      </c>
      <c r="P297" s="168" t="s">
        <v>1390</v>
      </c>
      <c r="Q297" s="166">
        <v>1000</v>
      </c>
      <c r="R297" s="166">
        <v>14040</v>
      </c>
      <c r="S297" s="170">
        <v>319310.68</v>
      </c>
      <c r="T297" s="166">
        <v>14046</v>
      </c>
      <c r="U297" s="170">
        <v>101115.06</v>
      </c>
      <c r="V297" s="170">
        <f t="shared" si="24"/>
        <v>218195.62</v>
      </c>
      <c r="W297" s="171">
        <v>29270.15</v>
      </c>
      <c r="X297" s="166">
        <v>51260</v>
      </c>
      <c r="Y297" s="170">
        <v>2660.92</v>
      </c>
      <c r="Z297" s="168" t="s">
        <v>1053</v>
      </c>
      <c r="AA297" s="168"/>
      <c r="AB297" s="168">
        <v>9934</v>
      </c>
      <c r="AC297" s="168">
        <v>2051</v>
      </c>
      <c r="AD297" s="168" t="s">
        <v>1058</v>
      </c>
      <c r="AE297" s="168" t="s">
        <v>1059</v>
      </c>
      <c r="AF297" s="166" t="s">
        <v>284</v>
      </c>
      <c r="AG297" s="168"/>
      <c r="AH297" s="166" t="s">
        <v>1060</v>
      </c>
      <c r="AI297" s="168">
        <v>0</v>
      </c>
      <c r="AJ297" s="168">
        <v>0</v>
      </c>
      <c r="AP297" s="206"/>
      <c r="AQ297" s="207"/>
      <c r="AR297" s="207"/>
      <c r="AS297" s="207"/>
      <c r="AT297" s="208"/>
      <c r="AU297" s="207"/>
      <c r="AV297" s="208"/>
    </row>
    <row r="298" spans="1:48" s="205" customFormat="1" ht="15">
      <c r="A298" s="145"/>
      <c r="B298" s="166">
        <v>2183</v>
      </c>
      <c r="C298" s="167">
        <v>203776</v>
      </c>
      <c r="D298" s="166">
        <v>202167</v>
      </c>
      <c r="E298" s="168" t="s">
        <v>1412</v>
      </c>
      <c r="F298" s="166"/>
      <c r="G298" s="168"/>
      <c r="H298" s="168"/>
      <c r="I298" s="168"/>
      <c r="J298" s="168">
        <v>0</v>
      </c>
      <c r="K298" s="168" t="s">
        <v>1413</v>
      </c>
      <c r="L298" s="168"/>
      <c r="M298" s="168" t="s">
        <v>1303</v>
      </c>
      <c r="N298" s="169">
        <v>43313</v>
      </c>
      <c r="O298" s="169">
        <v>43313</v>
      </c>
      <c r="P298" s="168" t="s">
        <v>1385</v>
      </c>
      <c r="Q298" s="166">
        <v>1000</v>
      </c>
      <c r="R298" s="166">
        <v>14040</v>
      </c>
      <c r="S298" s="170">
        <v>1523.41</v>
      </c>
      <c r="T298" s="166">
        <v>14046</v>
      </c>
      <c r="U298" s="170">
        <v>507.81</v>
      </c>
      <c r="V298" s="170">
        <f t="shared" si="24"/>
        <v>1015.6000000000001</v>
      </c>
      <c r="W298" s="171">
        <v>139.65</v>
      </c>
      <c r="X298" s="166">
        <v>51260</v>
      </c>
      <c r="Y298" s="170">
        <v>12.7</v>
      </c>
      <c r="Z298" s="168" t="s">
        <v>1053</v>
      </c>
      <c r="AA298" s="168"/>
      <c r="AB298" s="168" t="s">
        <v>1414</v>
      </c>
      <c r="AC298" s="168"/>
      <c r="AD298" s="168" t="s">
        <v>1058</v>
      </c>
      <c r="AE298" s="168" t="s">
        <v>1059</v>
      </c>
      <c r="AF298" s="166" t="s">
        <v>284</v>
      </c>
      <c r="AG298" s="168"/>
      <c r="AH298" s="166" t="s">
        <v>1060</v>
      </c>
      <c r="AI298" s="168">
        <v>0</v>
      </c>
      <c r="AJ298" s="168">
        <v>0</v>
      </c>
      <c r="AP298" s="206"/>
      <c r="AQ298" s="207"/>
      <c r="AR298" s="207"/>
      <c r="AS298" s="207"/>
      <c r="AT298" s="208"/>
      <c r="AU298" s="207"/>
      <c r="AV298" s="208"/>
    </row>
    <row r="299" spans="1:48" s="205" customFormat="1" ht="15">
      <c r="A299" s="145"/>
      <c r="B299" s="166">
        <v>2183</v>
      </c>
      <c r="C299" s="167">
        <v>203775</v>
      </c>
      <c r="D299" s="166">
        <v>202091</v>
      </c>
      <c r="E299" s="168" t="s">
        <v>1412</v>
      </c>
      <c r="F299" s="166"/>
      <c r="G299" s="168"/>
      <c r="H299" s="168"/>
      <c r="I299" s="168"/>
      <c r="J299" s="168">
        <v>0</v>
      </c>
      <c r="K299" s="168" t="s">
        <v>1413</v>
      </c>
      <c r="L299" s="168"/>
      <c r="M299" s="168" t="s">
        <v>1303</v>
      </c>
      <c r="N299" s="169">
        <v>43343</v>
      </c>
      <c r="O299" s="169">
        <v>43343</v>
      </c>
      <c r="P299" s="168" t="s">
        <v>1396</v>
      </c>
      <c r="Q299" s="166">
        <v>1000</v>
      </c>
      <c r="R299" s="166">
        <v>14040</v>
      </c>
      <c r="S299" s="170">
        <v>811.22</v>
      </c>
      <c r="T299" s="166">
        <v>14046</v>
      </c>
      <c r="U299" s="170">
        <v>263.64</v>
      </c>
      <c r="V299" s="170">
        <f t="shared" si="24"/>
        <v>547.58000000000004</v>
      </c>
      <c r="W299" s="171">
        <v>74.36</v>
      </c>
      <c r="X299" s="166">
        <v>51260</v>
      </c>
      <c r="Y299" s="170">
        <v>6.76</v>
      </c>
      <c r="Z299" s="168" t="s">
        <v>1053</v>
      </c>
      <c r="AA299" s="168"/>
      <c r="AB299" s="168" t="s">
        <v>1414</v>
      </c>
      <c r="AC299" s="168"/>
      <c r="AD299" s="168" t="s">
        <v>1058</v>
      </c>
      <c r="AE299" s="168" t="s">
        <v>1059</v>
      </c>
      <c r="AF299" s="166" t="s">
        <v>284</v>
      </c>
      <c r="AG299" s="168"/>
      <c r="AH299" s="166" t="s">
        <v>1060</v>
      </c>
      <c r="AI299" s="168">
        <v>0</v>
      </c>
      <c r="AJ299" s="168">
        <v>0</v>
      </c>
      <c r="AP299" s="206"/>
      <c r="AQ299" s="207"/>
      <c r="AR299" s="207"/>
      <c r="AS299" s="207"/>
      <c r="AT299" s="208"/>
      <c r="AU299" s="207"/>
      <c r="AV299" s="208"/>
    </row>
    <row r="300" spans="1:48" s="205" customFormat="1" ht="15">
      <c r="A300" s="145"/>
      <c r="B300" s="166">
        <v>2183</v>
      </c>
      <c r="C300" s="167">
        <v>203774</v>
      </c>
      <c r="D300" s="166">
        <v>202090</v>
      </c>
      <c r="E300" s="168" t="s">
        <v>1412</v>
      </c>
      <c r="F300" s="166"/>
      <c r="G300" s="168"/>
      <c r="H300" s="168"/>
      <c r="I300" s="168"/>
      <c r="J300" s="168">
        <v>0</v>
      </c>
      <c r="K300" s="168" t="s">
        <v>1413</v>
      </c>
      <c r="L300" s="168"/>
      <c r="M300" s="168" t="s">
        <v>1303</v>
      </c>
      <c r="N300" s="169">
        <v>43343</v>
      </c>
      <c r="O300" s="169">
        <v>43343</v>
      </c>
      <c r="P300" s="168" t="s">
        <v>1395</v>
      </c>
      <c r="Q300" s="166">
        <v>1000</v>
      </c>
      <c r="R300" s="166">
        <v>14040</v>
      </c>
      <c r="S300" s="170">
        <v>1274.53</v>
      </c>
      <c r="T300" s="166">
        <v>14046</v>
      </c>
      <c r="U300" s="170">
        <v>414.22</v>
      </c>
      <c r="V300" s="170">
        <f t="shared" si="24"/>
        <v>860.31</v>
      </c>
      <c r="W300" s="171">
        <v>116.83</v>
      </c>
      <c r="X300" s="166">
        <v>51260</v>
      </c>
      <c r="Y300" s="170">
        <v>10.62</v>
      </c>
      <c r="Z300" s="168" t="s">
        <v>1053</v>
      </c>
      <c r="AA300" s="168"/>
      <c r="AB300" s="168" t="s">
        <v>1414</v>
      </c>
      <c r="AC300" s="168"/>
      <c r="AD300" s="168" t="s">
        <v>1058</v>
      </c>
      <c r="AE300" s="168" t="s">
        <v>1059</v>
      </c>
      <c r="AF300" s="166" t="s">
        <v>284</v>
      </c>
      <c r="AG300" s="168"/>
      <c r="AH300" s="166" t="s">
        <v>1060</v>
      </c>
      <c r="AI300" s="168">
        <v>0</v>
      </c>
      <c r="AJ300" s="168">
        <v>0</v>
      </c>
      <c r="AP300" s="206"/>
      <c r="AQ300" s="207"/>
      <c r="AR300" s="207"/>
      <c r="AS300" s="207"/>
      <c r="AT300" s="208"/>
      <c r="AU300" s="207"/>
      <c r="AV300" s="208"/>
    </row>
    <row r="301" spans="1:48" s="205" customFormat="1" ht="15">
      <c r="A301" s="145"/>
      <c r="B301" s="166">
        <v>2183</v>
      </c>
      <c r="C301" s="167">
        <v>203765</v>
      </c>
      <c r="D301" s="166">
        <v>202090</v>
      </c>
      <c r="E301" s="168" t="s">
        <v>731</v>
      </c>
      <c r="F301" s="166"/>
      <c r="G301" s="168"/>
      <c r="H301" s="168"/>
      <c r="I301" s="168"/>
      <c r="J301" s="168">
        <v>0</v>
      </c>
      <c r="K301" s="168" t="s">
        <v>1120</v>
      </c>
      <c r="L301" s="168"/>
      <c r="M301" s="168" t="s">
        <v>1303</v>
      </c>
      <c r="N301" s="169">
        <v>43343</v>
      </c>
      <c r="O301" s="169">
        <v>43343</v>
      </c>
      <c r="P301" s="168" t="s">
        <v>1395</v>
      </c>
      <c r="Q301" s="166">
        <v>500</v>
      </c>
      <c r="R301" s="166">
        <v>14040</v>
      </c>
      <c r="S301" s="170">
        <v>731.05</v>
      </c>
      <c r="T301" s="166">
        <v>14046</v>
      </c>
      <c r="U301" s="170">
        <v>475.19</v>
      </c>
      <c r="V301" s="170">
        <f t="shared" si="24"/>
        <v>255.85999999999996</v>
      </c>
      <c r="W301" s="171">
        <v>134.03</v>
      </c>
      <c r="X301" s="166">
        <v>51260</v>
      </c>
      <c r="Y301" s="170">
        <v>12.19</v>
      </c>
      <c r="Z301" s="168" t="s">
        <v>1053</v>
      </c>
      <c r="AA301" s="168"/>
      <c r="AB301" s="168">
        <v>3039</v>
      </c>
      <c r="AC301" s="168"/>
      <c r="AD301" s="168" t="s">
        <v>1058</v>
      </c>
      <c r="AE301" s="168" t="s">
        <v>1059</v>
      </c>
      <c r="AF301" s="166" t="s">
        <v>284</v>
      </c>
      <c r="AG301" s="168"/>
      <c r="AH301" s="166" t="s">
        <v>1060</v>
      </c>
      <c r="AI301" s="168">
        <v>0</v>
      </c>
      <c r="AJ301" s="168">
        <v>0</v>
      </c>
      <c r="AP301" s="206"/>
      <c r="AQ301" s="207"/>
      <c r="AR301" s="207"/>
      <c r="AS301" s="207"/>
      <c r="AT301" s="208"/>
      <c r="AU301" s="207"/>
      <c r="AV301" s="208"/>
    </row>
    <row r="302" spans="1:48" s="205" customFormat="1" ht="15">
      <c r="A302" s="145"/>
      <c r="B302" s="166">
        <v>2183</v>
      </c>
      <c r="C302" s="167">
        <v>203764</v>
      </c>
      <c r="D302" s="166">
        <v>202091</v>
      </c>
      <c r="E302" s="168" t="s">
        <v>731</v>
      </c>
      <c r="F302" s="166"/>
      <c r="G302" s="168"/>
      <c r="H302" s="168"/>
      <c r="I302" s="168"/>
      <c r="J302" s="168">
        <v>0</v>
      </c>
      <c r="K302" s="168" t="s">
        <v>1120</v>
      </c>
      <c r="L302" s="168"/>
      <c r="M302" s="168" t="s">
        <v>1303</v>
      </c>
      <c r="N302" s="169">
        <v>43343</v>
      </c>
      <c r="O302" s="169">
        <v>43343</v>
      </c>
      <c r="P302" s="168" t="s">
        <v>1396</v>
      </c>
      <c r="Q302" s="166">
        <v>500</v>
      </c>
      <c r="R302" s="166">
        <v>14040</v>
      </c>
      <c r="S302" s="170">
        <v>731.05</v>
      </c>
      <c r="T302" s="166">
        <v>14046</v>
      </c>
      <c r="U302" s="170">
        <v>475.19</v>
      </c>
      <c r="V302" s="170">
        <f t="shared" si="24"/>
        <v>255.85999999999996</v>
      </c>
      <c r="W302" s="171">
        <v>134.03</v>
      </c>
      <c r="X302" s="166">
        <v>51260</v>
      </c>
      <c r="Y302" s="170">
        <v>12.19</v>
      </c>
      <c r="Z302" s="168" t="s">
        <v>1053</v>
      </c>
      <c r="AA302" s="168"/>
      <c r="AB302" s="168">
        <v>3040</v>
      </c>
      <c r="AC302" s="168"/>
      <c r="AD302" s="168" t="s">
        <v>1058</v>
      </c>
      <c r="AE302" s="168" t="s">
        <v>1059</v>
      </c>
      <c r="AF302" s="166" t="s">
        <v>284</v>
      </c>
      <c r="AG302" s="168"/>
      <c r="AH302" s="166" t="s">
        <v>1060</v>
      </c>
      <c r="AI302" s="168">
        <v>0</v>
      </c>
      <c r="AJ302" s="168">
        <v>0</v>
      </c>
      <c r="AP302" s="206"/>
      <c r="AQ302" s="207"/>
      <c r="AR302" s="207"/>
      <c r="AS302" s="207"/>
      <c r="AT302" s="208"/>
      <c r="AU302" s="207"/>
      <c r="AV302" s="208"/>
    </row>
    <row r="303" spans="1:48" s="205" customFormat="1" ht="15">
      <c r="A303" s="145"/>
      <c r="B303" s="166">
        <v>2183</v>
      </c>
      <c r="C303" s="167">
        <v>203760</v>
      </c>
      <c r="D303" s="166" t="s">
        <v>1053</v>
      </c>
      <c r="E303" s="168" t="s">
        <v>1415</v>
      </c>
      <c r="F303" s="166"/>
      <c r="G303" s="168"/>
      <c r="H303" s="168" t="s">
        <v>1416</v>
      </c>
      <c r="I303" s="168"/>
      <c r="J303" s="168">
        <v>2018</v>
      </c>
      <c r="K303" s="168" t="s">
        <v>1253</v>
      </c>
      <c r="L303" s="168"/>
      <c r="M303" s="168" t="s">
        <v>1254</v>
      </c>
      <c r="N303" s="169">
        <v>43378</v>
      </c>
      <c r="O303" s="169">
        <v>43378</v>
      </c>
      <c r="P303" s="168" t="s">
        <v>1398</v>
      </c>
      <c r="Q303" s="166">
        <v>500</v>
      </c>
      <c r="R303" s="166">
        <v>14040</v>
      </c>
      <c r="S303" s="170">
        <v>30633.03</v>
      </c>
      <c r="T303" s="166">
        <v>14046</v>
      </c>
      <c r="U303" s="170">
        <v>19400.93</v>
      </c>
      <c r="V303" s="170">
        <f t="shared" si="24"/>
        <v>11232.099999999999</v>
      </c>
      <c r="W303" s="171">
        <v>5616.06</v>
      </c>
      <c r="X303" s="166">
        <v>51260</v>
      </c>
      <c r="Y303" s="170">
        <v>510.55</v>
      </c>
      <c r="Z303" s="168" t="s">
        <v>1053</v>
      </c>
      <c r="AA303" s="168"/>
      <c r="AB303" s="168">
        <v>375646</v>
      </c>
      <c r="AC303" s="168">
        <v>6058</v>
      </c>
      <c r="AD303" s="168" t="s">
        <v>1058</v>
      </c>
      <c r="AE303" s="168" t="s">
        <v>1059</v>
      </c>
      <c r="AF303" s="166" t="s">
        <v>284</v>
      </c>
      <c r="AG303" s="168"/>
      <c r="AH303" s="166" t="s">
        <v>1060</v>
      </c>
      <c r="AI303" s="168">
        <v>0</v>
      </c>
      <c r="AJ303" s="168">
        <v>0</v>
      </c>
      <c r="AP303" s="206"/>
      <c r="AQ303" s="207"/>
      <c r="AR303" s="207"/>
      <c r="AS303" s="207"/>
      <c r="AT303" s="208"/>
      <c r="AU303" s="207"/>
      <c r="AV303" s="208"/>
    </row>
    <row r="304" spans="1:48" s="205" customFormat="1" ht="15">
      <c r="A304" s="145"/>
      <c r="B304" s="166">
        <v>2183</v>
      </c>
      <c r="C304" s="167">
        <v>203437</v>
      </c>
      <c r="D304" s="166">
        <v>202090</v>
      </c>
      <c r="E304" s="168" t="s">
        <v>733</v>
      </c>
      <c r="F304" s="166"/>
      <c r="G304" s="168"/>
      <c r="H304" s="168"/>
      <c r="I304" s="168"/>
      <c r="J304" s="168">
        <v>0</v>
      </c>
      <c r="K304" s="168" t="s">
        <v>1417</v>
      </c>
      <c r="L304" s="168"/>
      <c r="M304" s="168" t="s">
        <v>1303</v>
      </c>
      <c r="N304" s="169">
        <v>43343</v>
      </c>
      <c r="O304" s="169">
        <v>43343</v>
      </c>
      <c r="P304" s="168" t="s">
        <v>1395</v>
      </c>
      <c r="Q304" s="166">
        <v>1000</v>
      </c>
      <c r="R304" s="166">
        <v>14040</v>
      </c>
      <c r="S304" s="170">
        <v>336</v>
      </c>
      <c r="T304" s="166">
        <v>14046</v>
      </c>
      <c r="U304" s="170">
        <v>109.2</v>
      </c>
      <c r="V304" s="170">
        <f t="shared" si="24"/>
        <v>226.8</v>
      </c>
      <c r="W304" s="171">
        <v>30.8</v>
      </c>
      <c r="X304" s="166">
        <v>51260</v>
      </c>
      <c r="Y304" s="170">
        <v>2.8</v>
      </c>
      <c r="Z304" s="168" t="s">
        <v>1053</v>
      </c>
      <c r="AA304" s="168"/>
      <c r="AB304" s="168">
        <v>2758703</v>
      </c>
      <c r="AC304" s="168"/>
      <c r="AD304" s="168" t="s">
        <v>1058</v>
      </c>
      <c r="AE304" s="168" t="s">
        <v>1059</v>
      </c>
      <c r="AF304" s="166" t="s">
        <v>284</v>
      </c>
      <c r="AG304" s="168"/>
      <c r="AH304" s="166" t="s">
        <v>1060</v>
      </c>
      <c r="AI304" s="168">
        <v>0</v>
      </c>
      <c r="AJ304" s="168">
        <v>0</v>
      </c>
      <c r="AP304" s="206"/>
      <c r="AQ304" s="207"/>
      <c r="AR304" s="207"/>
      <c r="AS304" s="207"/>
      <c r="AT304" s="208"/>
      <c r="AU304" s="207"/>
      <c r="AV304" s="208"/>
    </row>
    <row r="305" spans="1:48" s="205" customFormat="1" ht="15">
      <c r="A305" s="145"/>
      <c r="B305" s="166">
        <v>2183</v>
      </c>
      <c r="C305" s="167">
        <v>203124</v>
      </c>
      <c r="D305" s="166" t="s">
        <v>1053</v>
      </c>
      <c r="E305" s="168" t="s">
        <v>758</v>
      </c>
      <c r="F305" s="166"/>
      <c r="G305" s="168"/>
      <c r="H305" s="168" t="s">
        <v>1418</v>
      </c>
      <c r="I305" s="168"/>
      <c r="J305" s="168">
        <v>2019</v>
      </c>
      <c r="K305" s="168" t="s">
        <v>1196</v>
      </c>
      <c r="L305" s="168" t="s">
        <v>1220</v>
      </c>
      <c r="M305" s="168" t="s">
        <v>1286</v>
      </c>
      <c r="N305" s="169">
        <v>43373</v>
      </c>
      <c r="O305" s="169">
        <v>43373</v>
      </c>
      <c r="P305" s="168" t="s">
        <v>1391</v>
      </c>
      <c r="Q305" s="166">
        <v>1000</v>
      </c>
      <c r="R305" s="166">
        <v>14040</v>
      </c>
      <c r="S305" s="170">
        <v>317780.56</v>
      </c>
      <c r="T305" s="166">
        <v>14046</v>
      </c>
      <c r="U305" s="170">
        <v>100630.52</v>
      </c>
      <c r="V305" s="170">
        <f t="shared" si="24"/>
        <v>217150.03999999998</v>
      </c>
      <c r="W305" s="171">
        <v>29129.89</v>
      </c>
      <c r="X305" s="166">
        <v>51260</v>
      </c>
      <c r="Y305" s="170">
        <v>2648.17</v>
      </c>
      <c r="Z305" s="168" t="s">
        <v>1053</v>
      </c>
      <c r="AA305" s="168"/>
      <c r="AB305" s="168">
        <v>24144642</v>
      </c>
      <c r="AC305" s="168">
        <v>2050</v>
      </c>
      <c r="AD305" s="168" t="s">
        <v>1058</v>
      </c>
      <c r="AE305" s="168" t="s">
        <v>1059</v>
      </c>
      <c r="AF305" s="166" t="s">
        <v>284</v>
      </c>
      <c r="AG305" s="168"/>
      <c r="AH305" s="166" t="s">
        <v>1060</v>
      </c>
      <c r="AI305" s="168">
        <v>0</v>
      </c>
      <c r="AJ305" s="168">
        <v>0</v>
      </c>
      <c r="AP305" s="206"/>
      <c r="AQ305" s="207"/>
      <c r="AR305" s="207"/>
      <c r="AS305" s="207"/>
      <c r="AT305" s="208"/>
      <c r="AU305" s="207"/>
      <c r="AV305" s="208"/>
    </row>
    <row r="306" spans="1:48" s="205" customFormat="1" ht="15">
      <c r="A306" s="145"/>
      <c r="B306" s="166">
        <v>2183</v>
      </c>
      <c r="C306" s="167">
        <v>202839</v>
      </c>
      <c r="D306" s="166" t="s">
        <v>1053</v>
      </c>
      <c r="E306" s="168" t="s">
        <v>764</v>
      </c>
      <c r="F306" s="166"/>
      <c r="G306" s="168"/>
      <c r="H306" s="168" t="s">
        <v>1419</v>
      </c>
      <c r="I306" s="168"/>
      <c r="J306" s="168">
        <v>2019</v>
      </c>
      <c r="K306" s="168" t="s">
        <v>1196</v>
      </c>
      <c r="L306" s="168" t="s">
        <v>1220</v>
      </c>
      <c r="M306" s="168" t="s">
        <v>1152</v>
      </c>
      <c r="N306" s="169">
        <v>43373</v>
      </c>
      <c r="O306" s="169">
        <v>43373</v>
      </c>
      <c r="P306" s="168" t="s">
        <v>1389</v>
      </c>
      <c r="Q306" s="166">
        <v>1000</v>
      </c>
      <c r="R306" s="166">
        <v>14040</v>
      </c>
      <c r="S306" s="170">
        <v>338957.39</v>
      </c>
      <c r="T306" s="166">
        <v>14046</v>
      </c>
      <c r="U306" s="170">
        <v>107336.52</v>
      </c>
      <c r="V306" s="170">
        <f t="shared" si="24"/>
        <v>231620.87</v>
      </c>
      <c r="W306" s="171">
        <v>31071.1</v>
      </c>
      <c r="X306" s="166">
        <v>51260</v>
      </c>
      <c r="Y306" s="170">
        <v>2824.65</v>
      </c>
      <c r="Z306" s="168" t="s">
        <v>1053</v>
      </c>
      <c r="AA306" s="168"/>
      <c r="AB306" s="168">
        <v>9740</v>
      </c>
      <c r="AC306" s="168">
        <v>3685</v>
      </c>
      <c r="AD306" s="168" t="s">
        <v>1058</v>
      </c>
      <c r="AE306" s="168" t="s">
        <v>1059</v>
      </c>
      <c r="AF306" s="166" t="s">
        <v>284</v>
      </c>
      <c r="AG306" s="168"/>
      <c r="AH306" s="166" t="s">
        <v>1060</v>
      </c>
      <c r="AI306" s="168">
        <v>0</v>
      </c>
      <c r="AJ306" s="168">
        <v>0</v>
      </c>
      <c r="AP306" s="206"/>
      <c r="AQ306" s="207"/>
      <c r="AR306" s="207"/>
      <c r="AS306" s="207"/>
      <c r="AT306" s="208"/>
      <c r="AU306" s="207"/>
      <c r="AV306" s="208"/>
    </row>
    <row r="307" spans="1:48" s="205" customFormat="1" ht="15">
      <c r="A307" s="145"/>
      <c r="B307" s="166">
        <v>2183</v>
      </c>
      <c r="C307" s="167">
        <v>202838</v>
      </c>
      <c r="D307" s="166" t="s">
        <v>1053</v>
      </c>
      <c r="E307" s="168" t="s">
        <v>764</v>
      </c>
      <c r="F307" s="166"/>
      <c r="G307" s="168"/>
      <c r="H307" s="168" t="s">
        <v>1420</v>
      </c>
      <c r="I307" s="168"/>
      <c r="J307" s="168">
        <v>2019</v>
      </c>
      <c r="K307" s="168" t="s">
        <v>1196</v>
      </c>
      <c r="L307" s="168" t="s">
        <v>1220</v>
      </c>
      <c r="M307" s="168" t="s">
        <v>1152</v>
      </c>
      <c r="N307" s="169">
        <v>43373</v>
      </c>
      <c r="O307" s="169">
        <v>43373</v>
      </c>
      <c r="P307" s="168" t="s">
        <v>1392</v>
      </c>
      <c r="Q307" s="166">
        <v>1000</v>
      </c>
      <c r="R307" s="166">
        <v>14040</v>
      </c>
      <c r="S307" s="170">
        <v>339421.75</v>
      </c>
      <c r="T307" s="166">
        <v>14046</v>
      </c>
      <c r="U307" s="170">
        <v>107483.57</v>
      </c>
      <c r="V307" s="170">
        <f t="shared" si="24"/>
        <v>231938.18</v>
      </c>
      <c r="W307" s="171">
        <v>31113.67</v>
      </c>
      <c r="X307" s="166">
        <v>51260</v>
      </c>
      <c r="Y307" s="170">
        <v>2828.52</v>
      </c>
      <c r="Z307" s="168" t="s">
        <v>1053</v>
      </c>
      <c r="AA307" s="168"/>
      <c r="AB307" s="168">
        <v>9740</v>
      </c>
      <c r="AC307" s="168">
        <v>3686</v>
      </c>
      <c r="AD307" s="168" t="s">
        <v>1058</v>
      </c>
      <c r="AE307" s="168" t="s">
        <v>1059</v>
      </c>
      <c r="AF307" s="166" t="s">
        <v>284</v>
      </c>
      <c r="AG307" s="168"/>
      <c r="AH307" s="166" t="s">
        <v>1060</v>
      </c>
      <c r="AI307" s="168">
        <v>0</v>
      </c>
      <c r="AJ307" s="168">
        <v>0</v>
      </c>
      <c r="AP307" s="206"/>
      <c r="AQ307" s="207"/>
      <c r="AR307" s="207"/>
      <c r="AS307" s="207"/>
      <c r="AT307" s="208"/>
      <c r="AU307" s="207"/>
      <c r="AV307" s="208"/>
    </row>
    <row r="308" spans="1:48" s="205" customFormat="1" ht="15">
      <c r="A308" s="145"/>
      <c r="B308" s="166">
        <v>2183</v>
      </c>
      <c r="C308" s="167">
        <v>202195</v>
      </c>
      <c r="D308" s="166" t="s">
        <v>1053</v>
      </c>
      <c r="E308" s="168" t="s">
        <v>1263</v>
      </c>
      <c r="F308" s="166">
        <v>624</v>
      </c>
      <c r="G308" s="168"/>
      <c r="H308" s="168"/>
      <c r="I308" s="168"/>
      <c r="J308" s="168">
        <v>0</v>
      </c>
      <c r="K308" s="168" t="s">
        <v>1241</v>
      </c>
      <c r="L308" s="168"/>
      <c r="M308" s="168"/>
      <c r="N308" s="169">
        <v>43281</v>
      </c>
      <c r="O308" s="169">
        <v>43281</v>
      </c>
      <c r="P308" s="168" t="s">
        <v>1421</v>
      </c>
      <c r="Q308" s="166">
        <v>700</v>
      </c>
      <c r="R308" s="166">
        <v>14050</v>
      </c>
      <c r="S308" s="170">
        <v>33336.99</v>
      </c>
      <c r="T308" s="166">
        <v>14056</v>
      </c>
      <c r="U308" s="170">
        <v>16271.63</v>
      </c>
      <c r="V308" s="170">
        <f t="shared" si="24"/>
        <v>17065.36</v>
      </c>
      <c r="W308" s="171">
        <v>4365.5600000000004</v>
      </c>
      <c r="X308" s="166">
        <v>54260</v>
      </c>
      <c r="Y308" s="170">
        <v>396.87</v>
      </c>
      <c r="Z308" s="168" t="s">
        <v>1053</v>
      </c>
      <c r="AA308" s="168"/>
      <c r="AB308" s="168">
        <v>65542374</v>
      </c>
      <c r="AC308" s="168"/>
      <c r="AD308" s="168" t="s">
        <v>1058</v>
      </c>
      <c r="AE308" s="168" t="s">
        <v>1059</v>
      </c>
      <c r="AF308" s="166" t="s">
        <v>284</v>
      </c>
      <c r="AG308" s="168"/>
      <c r="AH308" s="166" t="s">
        <v>1060</v>
      </c>
      <c r="AI308" s="168">
        <v>0</v>
      </c>
      <c r="AJ308" s="168">
        <v>0</v>
      </c>
      <c r="AP308" s="206"/>
      <c r="AQ308" s="207"/>
      <c r="AR308" s="207"/>
      <c r="AS308" s="207"/>
      <c r="AT308" s="208"/>
      <c r="AU308" s="207"/>
      <c r="AV308" s="208"/>
    </row>
    <row r="309" spans="1:48" s="205" customFormat="1" ht="15">
      <c r="A309" s="145"/>
      <c r="B309" s="166">
        <v>2183</v>
      </c>
      <c r="C309" s="167">
        <v>202194</v>
      </c>
      <c r="D309" s="166" t="s">
        <v>1053</v>
      </c>
      <c r="E309" s="168" t="s">
        <v>622</v>
      </c>
      <c r="F309" s="166">
        <v>624</v>
      </c>
      <c r="G309" s="168"/>
      <c r="H309" s="168"/>
      <c r="I309" s="168"/>
      <c r="J309" s="168">
        <v>0</v>
      </c>
      <c r="K309" s="168" t="s">
        <v>1241</v>
      </c>
      <c r="L309" s="168"/>
      <c r="M309" s="168"/>
      <c r="N309" s="169">
        <v>43325</v>
      </c>
      <c r="O309" s="169">
        <v>43325</v>
      </c>
      <c r="P309" s="168" t="s">
        <v>1409</v>
      </c>
      <c r="Q309" s="166">
        <v>700</v>
      </c>
      <c r="R309" s="166">
        <v>14050</v>
      </c>
      <c r="S309" s="170">
        <v>33435.82</v>
      </c>
      <c r="T309" s="166">
        <v>14056</v>
      </c>
      <c r="U309" s="170">
        <v>15921.83</v>
      </c>
      <c r="V309" s="170">
        <f t="shared" si="24"/>
        <v>17513.989999999998</v>
      </c>
      <c r="W309" s="171">
        <v>4378.5</v>
      </c>
      <c r="X309" s="166">
        <v>54260</v>
      </c>
      <c r="Y309" s="170">
        <v>398.04</v>
      </c>
      <c r="Z309" s="168" t="s">
        <v>1053</v>
      </c>
      <c r="AA309" s="168"/>
      <c r="AB309" s="168">
        <v>65548488</v>
      </c>
      <c r="AC309" s="168"/>
      <c r="AD309" s="168" t="s">
        <v>1058</v>
      </c>
      <c r="AE309" s="168" t="s">
        <v>1059</v>
      </c>
      <c r="AF309" s="166" t="s">
        <v>284</v>
      </c>
      <c r="AG309" s="168"/>
      <c r="AH309" s="166" t="s">
        <v>1060</v>
      </c>
      <c r="AI309" s="168">
        <v>0</v>
      </c>
      <c r="AJ309" s="168">
        <v>0</v>
      </c>
      <c r="AP309" s="206"/>
      <c r="AQ309" s="207"/>
      <c r="AR309" s="207"/>
      <c r="AS309" s="207"/>
      <c r="AT309" s="208"/>
      <c r="AU309" s="207"/>
      <c r="AV309" s="208"/>
    </row>
    <row r="310" spans="1:48" s="205" customFormat="1" ht="15">
      <c r="A310" s="145"/>
      <c r="B310" s="166">
        <v>2183</v>
      </c>
      <c r="C310" s="167">
        <v>202193</v>
      </c>
      <c r="D310" s="166" t="s">
        <v>1053</v>
      </c>
      <c r="E310" s="168" t="s">
        <v>737</v>
      </c>
      <c r="F310" s="166">
        <v>864</v>
      </c>
      <c r="G310" s="168"/>
      <c r="H310" s="168"/>
      <c r="I310" s="168"/>
      <c r="J310" s="168">
        <v>0</v>
      </c>
      <c r="K310" s="168" t="s">
        <v>1241</v>
      </c>
      <c r="L310" s="168"/>
      <c r="M310" s="168"/>
      <c r="N310" s="169">
        <v>43309</v>
      </c>
      <c r="O310" s="169">
        <v>43309</v>
      </c>
      <c r="P310" s="168" t="s">
        <v>1409</v>
      </c>
      <c r="Q310" s="166">
        <v>700</v>
      </c>
      <c r="R310" s="166">
        <v>14050</v>
      </c>
      <c r="S310" s="170">
        <v>39852.21</v>
      </c>
      <c r="T310" s="166">
        <v>14056</v>
      </c>
      <c r="U310" s="170">
        <v>18977.21</v>
      </c>
      <c r="V310" s="170">
        <f t="shared" si="24"/>
        <v>20875</v>
      </c>
      <c r="W310" s="171">
        <v>5218.7299999999996</v>
      </c>
      <c r="X310" s="166">
        <v>54260</v>
      </c>
      <c r="Y310" s="170">
        <v>474.43</v>
      </c>
      <c r="Z310" s="168" t="s">
        <v>1053</v>
      </c>
      <c r="AA310" s="168"/>
      <c r="AB310" s="168">
        <v>65546477</v>
      </c>
      <c r="AC310" s="168"/>
      <c r="AD310" s="168" t="s">
        <v>1058</v>
      </c>
      <c r="AE310" s="168" t="s">
        <v>1059</v>
      </c>
      <c r="AF310" s="166" t="s">
        <v>284</v>
      </c>
      <c r="AG310" s="168"/>
      <c r="AH310" s="166" t="s">
        <v>1060</v>
      </c>
      <c r="AI310" s="168">
        <v>0</v>
      </c>
      <c r="AJ310" s="168">
        <v>0</v>
      </c>
      <c r="AP310" s="206"/>
      <c r="AQ310" s="207"/>
      <c r="AR310" s="207"/>
      <c r="AS310" s="207"/>
      <c r="AT310" s="208"/>
      <c r="AU310" s="207"/>
      <c r="AV310" s="208"/>
    </row>
    <row r="311" spans="1:48" s="205" customFormat="1" ht="15">
      <c r="A311" s="145"/>
      <c r="B311" s="166">
        <v>2183</v>
      </c>
      <c r="C311" s="167">
        <v>202192</v>
      </c>
      <c r="D311" s="166" t="s">
        <v>1053</v>
      </c>
      <c r="E311" s="168" t="s">
        <v>739</v>
      </c>
      <c r="F311" s="166">
        <v>624</v>
      </c>
      <c r="G311" s="168"/>
      <c r="H311" s="168"/>
      <c r="I311" s="168"/>
      <c r="J311" s="168">
        <v>0</v>
      </c>
      <c r="K311" s="168" t="s">
        <v>1241</v>
      </c>
      <c r="L311" s="168"/>
      <c r="M311" s="168"/>
      <c r="N311" s="169">
        <v>43320</v>
      </c>
      <c r="O311" s="169">
        <v>43320</v>
      </c>
      <c r="P311" s="168" t="s">
        <v>1409</v>
      </c>
      <c r="Q311" s="166">
        <v>700</v>
      </c>
      <c r="R311" s="166">
        <v>14050</v>
      </c>
      <c r="S311" s="170">
        <v>33435.82</v>
      </c>
      <c r="T311" s="166">
        <v>14056</v>
      </c>
      <c r="U311" s="170">
        <v>15921.83</v>
      </c>
      <c r="V311" s="170">
        <f t="shared" si="24"/>
        <v>17513.989999999998</v>
      </c>
      <c r="W311" s="171">
        <v>4378.5</v>
      </c>
      <c r="X311" s="166">
        <v>54260</v>
      </c>
      <c r="Y311" s="170">
        <v>398.04</v>
      </c>
      <c r="Z311" s="168" t="s">
        <v>1053</v>
      </c>
      <c r="AA311" s="168"/>
      <c r="AB311" s="168">
        <v>65548053</v>
      </c>
      <c r="AC311" s="168"/>
      <c r="AD311" s="168" t="s">
        <v>1058</v>
      </c>
      <c r="AE311" s="168" t="s">
        <v>1059</v>
      </c>
      <c r="AF311" s="166" t="s">
        <v>284</v>
      </c>
      <c r="AG311" s="168"/>
      <c r="AH311" s="166" t="s">
        <v>1060</v>
      </c>
      <c r="AI311" s="168">
        <v>0</v>
      </c>
      <c r="AJ311" s="168">
        <v>0</v>
      </c>
      <c r="AP311" s="206"/>
      <c r="AQ311" s="207"/>
      <c r="AR311" s="207"/>
      <c r="AS311" s="207"/>
      <c r="AT311" s="208"/>
      <c r="AU311" s="207"/>
      <c r="AV311" s="208"/>
    </row>
    <row r="312" spans="1:48" s="205" customFormat="1" ht="15">
      <c r="A312" s="145"/>
      <c r="B312" s="166">
        <v>2183</v>
      </c>
      <c r="C312" s="167">
        <v>202191</v>
      </c>
      <c r="D312" s="166" t="s">
        <v>1053</v>
      </c>
      <c r="E312" s="168" t="s">
        <v>736</v>
      </c>
      <c r="F312" s="166">
        <v>624</v>
      </c>
      <c r="G312" s="168"/>
      <c r="H312" s="168"/>
      <c r="I312" s="168"/>
      <c r="J312" s="168">
        <v>0</v>
      </c>
      <c r="K312" s="168" t="s">
        <v>1241</v>
      </c>
      <c r="L312" s="168"/>
      <c r="M312" s="168"/>
      <c r="N312" s="169">
        <v>43320</v>
      </c>
      <c r="O312" s="169">
        <v>43320</v>
      </c>
      <c r="P312" s="168" t="s">
        <v>1409</v>
      </c>
      <c r="Q312" s="166">
        <v>700</v>
      </c>
      <c r="R312" s="166">
        <v>14050</v>
      </c>
      <c r="S312" s="170">
        <v>33435.82</v>
      </c>
      <c r="T312" s="166">
        <v>14056</v>
      </c>
      <c r="U312" s="170">
        <v>15921.83</v>
      </c>
      <c r="V312" s="170">
        <f t="shared" si="24"/>
        <v>17513.989999999998</v>
      </c>
      <c r="W312" s="171">
        <v>4378.5</v>
      </c>
      <c r="X312" s="166">
        <v>54260</v>
      </c>
      <c r="Y312" s="170">
        <v>398.04</v>
      </c>
      <c r="Z312" s="168" t="s">
        <v>1053</v>
      </c>
      <c r="AA312" s="168"/>
      <c r="AB312" s="168">
        <v>65547925</v>
      </c>
      <c r="AC312" s="168"/>
      <c r="AD312" s="168" t="s">
        <v>1058</v>
      </c>
      <c r="AE312" s="168" t="s">
        <v>1059</v>
      </c>
      <c r="AF312" s="166" t="s">
        <v>284</v>
      </c>
      <c r="AG312" s="168"/>
      <c r="AH312" s="166" t="s">
        <v>1060</v>
      </c>
      <c r="AI312" s="168">
        <v>0</v>
      </c>
      <c r="AJ312" s="168">
        <v>0</v>
      </c>
      <c r="AP312" s="206"/>
      <c r="AQ312" s="207"/>
      <c r="AR312" s="207"/>
      <c r="AS312" s="207"/>
      <c r="AT312" s="208"/>
      <c r="AU312" s="207"/>
      <c r="AV312" s="208"/>
    </row>
    <row r="313" spans="1:48" s="205" customFormat="1" ht="15">
      <c r="A313" s="145"/>
      <c r="B313" s="166">
        <v>2183</v>
      </c>
      <c r="C313" s="167">
        <v>202167</v>
      </c>
      <c r="D313" s="166" t="s">
        <v>1053</v>
      </c>
      <c r="E313" s="168" t="s">
        <v>764</v>
      </c>
      <c r="F313" s="166"/>
      <c r="G313" s="168"/>
      <c r="H313" s="168" t="s">
        <v>1422</v>
      </c>
      <c r="I313" s="168"/>
      <c r="J313" s="168">
        <v>2019</v>
      </c>
      <c r="K313" s="168" t="s">
        <v>1196</v>
      </c>
      <c r="L313" s="168" t="s">
        <v>1220</v>
      </c>
      <c r="M313" s="168" t="s">
        <v>1152</v>
      </c>
      <c r="N313" s="169">
        <v>43313</v>
      </c>
      <c r="O313" s="169">
        <v>43313</v>
      </c>
      <c r="P313" s="168" t="s">
        <v>1385</v>
      </c>
      <c r="Q313" s="166">
        <v>1000</v>
      </c>
      <c r="R313" s="166">
        <v>14040</v>
      </c>
      <c r="S313" s="170">
        <v>339272.41</v>
      </c>
      <c r="T313" s="166">
        <v>14046</v>
      </c>
      <c r="U313" s="170">
        <v>113090.8</v>
      </c>
      <c r="V313" s="170">
        <f t="shared" si="24"/>
        <v>226181.61</v>
      </c>
      <c r="W313" s="171">
        <v>31099.97</v>
      </c>
      <c r="X313" s="166">
        <v>51260</v>
      </c>
      <c r="Y313" s="170">
        <v>2827.27</v>
      </c>
      <c r="Z313" s="168" t="s">
        <v>1053</v>
      </c>
      <c r="AA313" s="168"/>
      <c r="AB313" s="168">
        <v>9476</v>
      </c>
      <c r="AC313" s="168">
        <v>3674</v>
      </c>
      <c r="AD313" s="168" t="s">
        <v>1058</v>
      </c>
      <c r="AE313" s="168" t="s">
        <v>1059</v>
      </c>
      <c r="AF313" s="166" t="s">
        <v>284</v>
      </c>
      <c r="AG313" s="168"/>
      <c r="AH313" s="166" t="s">
        <v>1060</v>
      </c>
      <c r="AI313" s="168">
        <v>0</v>
      </c>
      <c r="AJ313" s="168">
        <v>0</v>
      </c>
      <c r="AP313" s="206"/>
      <c r="AQ313" s="207"/>
      <c r="AR313" s="207"/>
      <c r="AS313" s="207"/>
      <c r="AT313" s="208"/>
      <c r="AU313" s="207"/>
      <c r="AV313" s="208"/>
    </row>
    <row r="314" spans="1:48" s="205" customFormat="1" ht="15">
      <c r="A314" s="145"/>
      <c r="B314" s="166">
        <v>2183</v>
      </c>
      <c r="C314" s="167">
        <v>202091</v>
      </c>
      <c r="D314" s="166" t="s">
        <v>1053</v>
      </c>
      <c r="E314" s="168" t="s">
        <v>1423</v>
      </c>
      <c r="F314" s="166"/>
      <c r="G314" s="168"/>
      <c r="H314" s="168" t="s">
        <v>1424</v>
      </c>
      <c r="I314" s="168"/>
      <c r="J314" s="168">
        <v>2019</v>
      </c>
      <c r="K314" s="168" t="s">
        <v>1196</v>
      </c>
      <c r="L314" s="168" t="s">
        <v>1211</v>
      </c>
      <c r="M314" s="168" t="s">
        <v>1212</v>
      </c>
      <c r="N314" s="169">
        <v>43343</v>
      </c>
      <c r="O314" s="169">
        <v>43343</v>
      </c>
      <c r="P314" s="168" t="s">
        <v>1396</v>
      </c>
      <c r="Q314" s="166">
        <v>1000</v>
      </c>
      <c r="R314" s="166">
        <v>14040</v>
      </c>
      <c r="S314" s="170">
        <v>235481.69</v>
      </c>
      <c r="T314" s="166">
        <v>14046</v>
      </c>
      <c r="U314" s="170">
        <v>76531.55</v>
      </c>
      <c r="V314" s="170">
        <f t="shared" si="24"/>
        <v>158950.14000000001</v>
      </c>
      <c r="W314" s="171">
        <v>21585.82</v>
      </c>
      <c r="X314" s="166">
        <v>51260</v>
      </c>
      <c r="Y314" s="170">
        <v>1962.34</v>
      </c>
      <c r="Z314" s="168" t="s">
        <v>1053</v>
      </c>
      <c r="AA314" s="168"/>
      <c r="AB314" s="168">
        <v>9476</v>
      </c>
      <c r="AC314" s="168">
        <v>5050</v>
      </c>
      <c r="AD314" s="168" t="s">
        <v>1058</v>
      </c>
      <c r="AE314" s="168" t="s">
        <v>1059</v>
      </c>
      <c r="AF314" s="166" t="s">
        <v>284</v>
      </c>
      <c r="AG314" s="168"/>
      <c r="AH314" s="166" t="s">
        <v>1060</v>
      </c>
      <c r="AI314" s="168">
        <v>0</v>
      </c>
      <c r="AJ314" s="168">
        <v>0</v>
      </c>
      <c r="AP314" s="206"/>
      <c r="AQ314" s="207"/>
      <c r="AR314" s="207"/>
      <c r="AS314" s="207"/>
      <c r="AT314" s="208"/>
      <c r="AU314" s="207"/>
      <c r="AV314" s="208"/>
    </row>
    <row r="315" spans="1:48" s="205" customFormat="1" ht="15">
      <c r="A315" s="145"/>
      <c r="B315" s="166">
        <v>2183</v>
      </c>
      <c r="C315" s="167">
        <v>202090</v>
      </c>
      <c r="D315" s="166" t="s">
        <v>1053</v>
      </c>
      <c r="E315" s="168" t="s">
        <v>764</v>
      </c>
      <c r="F315" s="166"/>
      <c r="G315" s="168"/>
      <c r="H315" s="168" t="s">
        <v>1425</v>
      </c>
      <c r="I315" s="168"/>
      <c r="J315" s="168">
        <v>2019</v>
      </c>
      <c r="K315" s="168" t="s">
        <v>1196</v>
      </c>
      <c r="L315" s="168" t="s">
        <v>1220</v>
      </c>
      <c r="M315" s="168" t="s">
        <v>1152</v>
      </c>
      <c r="N315" s="169">
        <v>43343</v>
      </c>
      <c r="O315" s="169">
        <v>43343</v>
      </c>
      <c r="P315" s="168" t="s">
        <v>1395</v>
      </c>
      <c r="Q315" s="166">
        <v>1000</v>
      </c>
      <c r="R315" s="166">
        <v>14040</v>
      </c>
      <c r="S315" s="170">
        <v>339421.75</v>
      </c>
      <c r="T315" s="166">
        <v>14046</v>
      </c>
      <c r="U315" s="170">
        <v>110312.09</v>
      </c>
      <c r="V315" s="170">
        <f t="shared" si="24"/>
        <v>229109.66</v>
      </c>
      <c r="W315" s="171">
        <v>31113.67</v>
      </c>
      <c r="X315" s="166">
        <v>51260</v>
      </c>
      <c r="Y315" s="170">
        <v>2828.52</v>
      </c>
      <c r="Z315" s="168" t="s">
        <v>1053</v>
      </c>
      <c r="AA315" s="168"/>
      <c r="AB315" s="168">
        <v>9476</v>
      </c>
      <c r="AC315" s="168">
        <v>3672</v>
      </c>
      <c r="AD315" s="168" t="s">
        <v>1058</v>
      </c>
      <c r="AE315" s="168" t="s">
        <v>1059</v>
      </c>
      <c r="AF315" s="166" t="s">
        <v>284</v>
      </c>
      <c r="AG315" s="168"/>
      <c r="AH315" s="166" t="s">
        <v>1060</v>
      </c>
      <c r="AI315" s="168">
        <v>0</v>
      </c>
      <c r="AJ315" s="168">
        <v>0</v>
      </c>
      <c r="AP315" s="206"/>
      <c r="AQ315" s="207"/>
      <c r="AR315" s="207"/>
      <c r="AS315" s="207"/>
      <c r="AT315" s="208"/>
      <c r="AU315" s="207"/>
      <c r="AV315" s="208"/>
    </row>
    <row r="316" spans="1:48" s="205" customFormat="1" ht="15">
      <c r="A316" s="145"/>
      <c r="B316" s="166">
        <v>2183</v>
      </c>
      <c r="C316" s="167">
        <v>200989</v>
      </c>
      <c r="D316" s="166">
        <v>199117</v>
      </c>
      <c r="E316" s="168" t="s">
        <v>1426</v>
      </c>
      <c r="F316" s="166"/>
      <c r="G316" s="168"/>
      <c r="H316" s="168"/>
      <c r="I316" s="168"/>
      <c r="J316" s="168">
        <v>0</v>
      </c>
      <c r="K316" s="168" t="s">
        <v>1222</v>
      </c>
      <c r="L316" s="168"/>
      <c r="M316" s="168" t="s">
        <v>1303</v>
      </c>
      <c r="N316" s="169">
        <v>43281</v>
      </c>
      <c r="O316" s="169">
        <v>43281</v>
      </c>
      <c r="P316" s="168" t="s">
        <v>1427</v>
      </c>
      <c r="Q316" s="166">
        <v>1000</v>
      </c>
      <c r="R316" s="166">
        <v>14040</v>
      </c>
      <c r="S316" s="170">
        <v>950.67</v>
      </c>
      <c r="T316" s="166">
        <v>14046</v>
      </c>
      <c r="U316" s="170">
        <v>324.79000000000002</v>
      </c>
      <c r="V316" s="170">
        <f t="shared" si="24"/>
        <v>625.87999999999988</v>
      </c>
      <c r="W316" s="171">
        <v>87.14</v>
      </c>
      <c r="X316" s="166">
        <v>51260</v>
      </c>
      <c r="Y316" s="170">
        <v>7.92</v>
      </c>
      <c r="Z316" s="168" t="s">
        <v>1053</v>
      </c>
      <c r="AA316" s="168"/>
      <c r="AB316" s="168" t="s">
        <v>1428</v>
      </c>
      <c r="AC316" s="168"/>
      <c r="AD316" s="168" t="s">
        <v>1058</v>
      </c>
      <c r="AE316" s="168" t="s">
        <v>1059</v>
      </c>
      <c r="AF316" s="166" t="s">
        <v>284</v>
      </c>
      <c r="AG316" s="168"/>
      <c r="AH316" s="166" t="s">
        <v>1060</v>
      </c>
      <c r="AI316" s="168">
        <v>0</v>
      </c>
      <c r="AJ316" s="168">
        <v>0</v>
      </c>
      <c r="AP316" s="206"/>
      <c r="AQ316" s="207"/>
      <c r="AR316" s="207"/>
      <c r="AS316" s="207"/>
      <c r="AT316" s="208"/>
      <c r="AU316" s="207"/>
      <c r="AV316" s="208"/>
    </row>
    <row r="317" spans="1:48" s="205" customFormat="1" ht="15">
      <c r="A317" s="145"/>
      <c r="B317" s="166">
        <v>2183</v>
      </c>
      <c r="C317" s="167">
        <v>200622</v>
      </c>
      <c r="D317" s="166">
        <v>199117</v>
      </c>
      <c r="E317" s="168" t="s">
        <v>731</v>
      </c>
      <c r="F317" s="166"/>
      <c r="G317" s="168"/>
      <c r="H317" s="168"/>
      <c r="I317" s="168"/>
      <c r="J317" s="168">
        <v>0</v>
      </c>
      <c r="K317" s="168" t="s">
        <v>1120</v>
      </c>
      <c r="L317" s="168"/>
      <c r="M317" s="168" t="s">
        <v>1303</v>
      </c>
      <c r="N317" s="169">
        <v>43281</v>
      </c>
      <c r="O317" s="169">
        <v>43281</v>
      </c>
      <c r="P317" s="168" t="s">
        <v>1427</v>
      </c>
      <c r="Q317" s="166">
        <v>500</v>
      </c>
      <c r="R317" s="166">
        <v>14040</v>
      </c>
      <c r="S317" s="170">
        <v>722.88</v>
      </c>
      <c r="T317" s="166">
        <v>14046</v>
      </c>
      <c r="U317" s="170">
        <v>493.98</v>
      </c>
      <c r="V317" s="170">
        <f t="shared" si="24"/>
        <v>228.89999999999998</v>
      </c>
      <c r="W317" s="171">
        <v>132.53</v>
      </c>
      <c r="X317" s="166">
        <v>51260</v>
      </c>
      <c r="Y317" s="170">
        <v>12.05</v>
      </c>
      <c r="Z317" s="168" t="s">
        <v>1053</v>
      </c>
      <c r="AA317" s="168"/>
      <c r="AB317" s="168">
        <v>2914</v>
      </c>
      <c r="AC317" s="168"/>
      <c r="AD317" s="168" t="s">
        <v>1058</v>
      </c>
      <c r="AE317" s="168" t="s">
        <v>1059</v>
      </c>
      <c r="AF317" s="166" t="s">
        <v>284</v>
      </c>
      <c r="AG317" s="168"/>
      <c r="AH317" s="166" t="s">
        <v>1060</v>
      </c>
      <c r="AI317" s="168">
        <v>0</v>
      </c>
      <c r="AJ317" s="168">
        <v>0</v>
      </c>
      <c r="AP317" s="206"/>
      <c r="AQ317" s="207"/>
      <c r="AR317" s="207"/>
      <c r="AS317" s="207"/>
      <c r="AT317" s="208"/>
      <c r="AU317" s="207"/>
      <c r="AV317" s="208"/>
    </row>
    <row r="318" spans="1:48" s="205" customFormat="1" ht="15">
      <c r="A318" s="145"/>
      <c r="B318" s="166">
        <v>2183</v>
      </c>
      <c r="C318" s="167">
        <v>200600</v>
      </c>
      <c r="D318" s="166" t="s">
        <v>1053</v>
      </c>
      <c r="E318" s="168" t="s">
        <v>906</v>
      </c>
      <c r="F318" s="166">
        <v>56</v>
      </c>
      <c r="G318" s="168"/>
      <c r="H318" s="168"/>
      <c r="I318" s="168"/>
      <c r="J318" s="168">
        <v>0</v>
      </c>
      <c r="K318" s="168"/>
      <c r="L318" s="168"/>
      <c r="M318" s="168" t="s">
        <v>1145</v>
      </c>
      <c r="N318" s="169">
        <v>39755</v>
      </c>
      <c r="O318" s="169">
        <v>39755</v>
      </c>
      <c r="P318" s="168"/>
      <c r="Q318" s="166">
        <v>700</v>
      </c>
      <c r="R318" s="166">
        <v>14050</v>
      </c>
      <c r="S318" s="170">
        <v>72596.160000000003</v>
      </c>
      <c r="T318" s="166">
        <v>14056</v>
      </c>
      <c r="U318" s="170">
        <v>72596.160000000003</v>
      </c>
      <c r="V318" s="170">
        <f t="shared" si="24"/>
        <v>0</v>
      </c>
      <c r="W318" s="171">
        <v>0</v>
      </c>
      <c r="X318" s="166">
        <v>54260</v>
      </c>
      <c r="Y318" s="170">
        <v>0</v>
      </c>
      <c r="Z318" s="168" t="s">
        <v>1059</v>
      </c>
      <c r="AA318" s="168" t="s">
        <v>1140</v>
      </c>
      <c r="AB318" s="168"/>
      <c r="AC318" s="168"/>
      <c r="AD318" s="168" t="s">
        <v>1058</v>
      </c>
      <c r="AE318" s="168" t="s">
        <v>1059</v>
      </c>
      <c r="AF318" s="166" t="s">
        <v>284</v>
      </c>
      <c r="AG318" s="216">
        <v>43281</v>
      </c>
      <c r="AH318" s="166" t="s">
        <v>1060</v>
      </c>
      <c r="AI318" s="168">
        <v>0</v>
      </c>
      <c r="AJ318" s="168">
        <v>72596.160000000003</v>
      </c>
      <c r="AP318" s="206"/>
      <c r="AQ318" s="207"/>
      <c r="AR318" s="207"/>
      <c r="AS318" s="207"/>
      <c r="AT318" s="208"/>
      <c r="AU318" s="207"/>
      <c r="AV318" s="208"/>
    </row>
    <row r="319" spans="1:48" s="205" customFormat="1" ht="15">
      <c r="A319" s="145"/>
      <c r="B319" s="166">
        <v>2183</v>
      </c>
      <c r="C319" s="167">
        <v>200593</v>
      </c>
      <c r="D319" s="166" t="s">
        <v>1053</v>
      </c>
      <c r="E319" s="168" t="s">
        <v>1429</v>
      </c>
      <c r="F319" s="166">
        <v>88</v>
      </c>
      <c r="G319" s="168"/>
      <c r="H319" s="168"/>
      <c r="I319" s="168"/>
      <c r="J319" s="168">
        <v>0</v>
      </c>
      <c r="K319" s="168"/>
      <c r="L319" s="168"/>
      <c r="M319" s="168" t="s">
        <v>1215</v>
      </c>
      <c r="N319" s="169">
        <v>39755</v>
      </c>
      <c r="O319" s="169">
        <v>39755</v>
      </c>
      <c r="P319" s="168"/>
      <c r="Q319" s="166">
        <v>700</v>
      </c>
      <c r="R319" s="166">
        <v>14050</v>
      </c>
      <c r="S319" s="170">
        <v>114079.67999999999</v>
      </c>
      <c r="T319" s="166">
        <v>14056</v>
      </c>
      <c r="U319" s="170">
        <v>114079.67999999999</v>
      </c>
      <c r="V319" s="170">
        <f t="shared" si="24"/>
        <v>0</v>
      </c>
      <c r="W319" s="171">
        <v>0</v>
      </c>
      <c r="X319" s="166">
        <v>54260</v>
      </c>
      <c r="Y319" s="170">
        <v>0</v>
      </c>
      <c r="Z319" s="168" t="s">
        <v>1059</v>
      </c>
      <c r="AA319" s="168" t="s">
        <v>1140</v>
      </c>
      <c r="AB319" s="168"/>
      <c r="AC319" s="168"/>
      <c r="AD319" s="168" t="s">
        <v>1058</v>
      </c>
      <c r="AE319" s="168" t="s">
        <v>1059</v>
      </c>
      <c r="AF319" s="166" t="s">
        <v>284</v>
      </c>
      <c r="AG319" s="216">
        <v>43281</v>
      </c>
      <c r="AH319" s="166" t="s">
        <v>1060</v>
      </c>
      <c r="AI319" s="168">
        <v>0</v>
      </c>
      <c r="AJ319" s="168">
        <v>114079.67999999999</v>
      </c>
      <c r="AP319" s="206"/>
      <c r="AQ319" s="207"/>
      <c r="AR319" s="207"/>
      <c r="AS319" s="207"/>
      <c r="AT319" s="208"/>
      <c r="AU319" s="207"/>
      <c r="AV319" s="208"/>
    </row>
    <row r="320" spans="1:48" s="205" customFormat="1" ht="15">
      <c r="A320" s="145"/>
      <c r="B320" s="166">
        <v>2183</v>
      </c>
      <c r="C320" s="167">
        <v>200586</v>
      </c>
      <c r="D320" s="166" t="s">
        <v>1053</v>
      </c>
      <c r="E320" s="168" t="s">
        <v>1430</v>
      </c>
      <c r="F320" s="166">
        <v>80</v>
      </c>
      <c r="G320" s="168"/>
      <c r="H320" s="168"/>
      <c r="I320" s="168"/>
      <c r="J320" s="168">
        <v>0</v>
      </c>
      <c r="K320" s="168"/>
      <c r="L320" s="168"/>
      <c r="M320" s="168" t="s">
        <v>1431</v>
      </c>
      <c r="N320" s="169">
        <v>39755</v>
      </c>
      <c r="O320" s="169">
        <v>39755</v>
      </c>
      <c r="P320" s="168"/>
      <c r="Q320" s="166">
        <v>700</v>
      </c>
      <c r="R320" s="166">
        <v>14050</v>
      </c>
      <c r="S320" s="170">
        <v>103709.6</v>
      </c>
      <c r="T320" s="166">
        <v>14056</v>
      </c>
      <c r="U320" s="170">
        <v>103709.6</v>
      </c>
      <c r="V320" s="170">
        <f t="shared" si="24"/>
        <v>0</v>
      </c>
      <c r="W320" s="171">
        <v>0</v>
      </c>
      <c r="X320" s="166">
        <v>54260</v>
      </c>
      <c r="Y320" s="170">
        <v>0</v>
      </c>
      <c r="Z320" s="168" t="s">
        <v>1059</v>
      </c>
      <c r="AA320" s="168" t="s">
        <v>1140</v>
      </c>
      <c r="AB320" s="168"/>
      <c r="AC320" s="168"/>
      <c r="AD320" s="168" t="s">
        <v>1058</v>
      </c>
      <c r="AE320" s="168" t="s">
        <v>1059</v>
      </c>
      <c r="AF320" s="166" t="s">
        <v>284</v>
      </c>
      <c r="AG320" s="216">
        <v>43281</v>
      </c>
      <c r="AH320" s="166" t="s">
        <v>1060</v>
      </c>
      <c r="AI320" s="168">
        <v>2</v>
      </c>
      <c r="AJ320" s="168">
        <v>103709.6</v>
      </c>
      <c r="AP320" s="206"/>
      <c r="AQ320" s="207"/>
      <c r="AR320" s="207"/>
      <c r="AS320" s="207"/>
      <c r="AT320" s="208"/>
      <c r="AU320" s="207"/>
      <c r="AV320" s="208"/>
    </row>
    <row r="321" spans="1:48" s="205" customFormat="1" ht="15">
      <c r="A321" s="145"/>
      <c r="B321" s="166">
        <v>2183</v>
      </c>
      <c r="C321" s="167">
        <v>200583</v>
      </c>
      <c r="D321" s="166" t="s">
        <v>1053</v>
      </c>
      <c r="E321" s="168" t="s">
        <v>1291</v>
      </c>
      <c r="F321" s="166">
        <v>229</v>
      </c>
      <c r="G321" s="168"/>
      <c r="H321" s="168"/>
      <c r="I321" s="168"/>
      <c r="J321" s="168">
        <v>0</v>
      </c>
      <c r="K321" s="168"/>
      <c r="L321" s="168"/>
      <c r="M321" s="168" t="s">
        <v>1136</v>
      </c>
      <c r="N321" s="169">
        <v>39755</v>
      </c>
      <c r="O321" s="169">
        <v>39755</v>
      </c>
      <c r="P321" s="168"/>
      <c r="Q321" s="166">
        <v>1200</v>
      </c>
      <c r="R321" s="166">
        <v>14050</v>
      </c>
      <c r="S321" s="170">
        <v>31979.85</v>
      </c>
      <c r="T321" s="166">
        <v>14056</v>
      </c>
      <c r="U321" s="170">
        <v>31979.85</v>
      </c>
      <c r="V321" s="170">
        <f t="shared" si="24"/>
        <v>0</v>
      </c>
      <c r="W321" s="171">
        <v>0</v>
      </c>
      <c r="X321" s="166">
        <v>54260</v>
      </c>
      <c r="Y321" s="170">
        <v>0</v>
      </c>
      <c r="Z321" s="168" t="s">
        <v>1059</v>
      </c>
      <c r="AA321" s="168" t="s">
        <v>1140</v>
      </c>
      <c r="AB321" s="168"/>
      <c r="AC321" s="168"/>
      <c r="AD321" s="168" t="s">
        <v>1058</v>
      </c>
      <c r="AE321" s="168" t="s">
        <v>1059</v>
      </c>
      <c r="AF321" s="166" t="s">
        <v>284</v>
      </c>
      <c r="AG321" s="216">
        <v>44408</v>
      </c>
      <c r="AH321" s="166" t="s">
        <v>1060</v>
      </c>
      <c r="AI321" s="168">
        <v>1</v>
      </c>
      <c r="AJ321" s="168">
        <v>31979.85</v>
      </c>
      <c r="AP321" s="206"/>
      <c r="AQ321" s="207"/>
      <c r="AR321" s="207"/>
      <c r="AS321" s="207"/>
      <c r="AT321" s="208"/>
      <c r="AU321" s="207"/>
      <c r="AV321" s="208"/>
    </row>
    <row r="322" spans="1:48" s="205" customFormat="1" ht="15">
      <c r="A322" s="145"/>
      <c r="B322" s="166">
        <v>2183</v>
      </c>
      <c r="C322" s="167">
        <v>200581</v>
      </c>
      <c r="D322" s="166" t="s">
        <v>1053</v>
      </c>
      <c r="E322" s="168" t="s">
        <v>1432</v>
      </c>
      <c r="F322" s="166">
        <v>87</v>
      </c>
      <c r="G322" s="168"/>
      <c r="H322" s="168"/>
      <c r="I322" s="168"/>
      <c r="J322" s="168">
        <v>0</v>
      </c>
      <c r="K322" s="168"/>
      <c r="L322" s="168"/>
      <c r="M322" s="168" t="s">
        <v>1215</v>
      </c>
      <c r="N322" s="169">
        <v>39755</v>
      </c>
      <c r="O322" s="169">
        <v>39755</v>
      </c>
      <c r="P322" s="168"/>
      <c r="Q322" s="166">
        <v>700</v>
      </c>
      <c r="R322" s="166">
        <v>14050</v>
      </c>
      <c r="S322" s="170">
        <v>130650.51</v>
      </c>
      <c r="T322" s="166">
        <v>14056</v>
      </c>
      <c r="U322" s="170">
        <v>130650.51</v>
      </c>
      <c r="V322" s="170">
        <f t="shared" si="24"/>
        <v>0</v>
      </c>
      <c r="W322" s="171">
        <v>0</v>
      </c>
      <c r="X322" s="166">
        <v>54260</v>
      </c>
      <c r="Y322" s="170">
        <v>0</v>
      </c>
      <c r="Z322" s="168" t="s">
        <v>1059</v>
      </c>
      <c r="AA322" s="168" t="s">
        <v>1140</v>
      </c>
      <c r="AB322" s="168"/>
      <c r="AC322" s="168"/>
      <c r="AD322" s="168" t="s">
        <v>1058</v>
      </c>
      <c r="AE322" s="168" t="s">
        <v>1059</v>
      </c>
      <c r="AF322" s="166" t="s">
        <v>284</v>
      </c>
      <c r="AG322" s="216">
        <v>44408</v>
      </c>
      <c r="AH322" s="166" t="s">
        <v>1060</v>
      </c>
      <c r="AI322" s="168">
        <v>1</v>
      </c>
      <c r="AJ322" s="168">
        <v>130650.51</v>
      </c>
      <c r="AP322" s="206"/>
      <c r="AQ322" s="207"/>
      <c r="AR322" s="207"/>
      <c r="AS322" s="207"/>
      <c r="AT322" s="208"/>
      <c r="AU322" s="207"/>
      <c r="AV322" s="208"/>
    </row>
    <row r="323" spans="1:48" s="205" customFormat="1" ht="15">
      <c r="A323" s="145"/>
      <c r="B323" s="166">
        <v>2183</v>
      </c>
      <c r="C323" s="167">
        <v>200572</v>
      </c>
      <c r="D323" s="166" t="s">
        <v>1053</v>
      </c>
      <c r="E323" s="168" t="s">
        <v>613</v>
      </c>
      <c r="F323" s="166">
        <v>82</v>
      </c>
      <c r="G323" s="168"/>
      <c r="H323" s="168"/>
      <c r="I323" s="168"/>
      <c r="J323" s="168">
        <v>0</v>
      </c>
      <c r="K323" s="168"/>
      <c r="L323" s="168"/>
      <c r="M323" s="168" t="s">
        <v>1129</v>
      </c>
      <c r="N323" s="169">
        <v>39755</v>
      </c>
      <c r="O323" s="169">
        <v>39755</v>
      </c>
      <c r="P323" s="168"/>
      <c r="Q323" s="166">
        <v>1200</v>
      </c>
      <c r="R323" s="166">
        <v>14050</v>
      </c>
      <c r="S323" s="170">
        <v>11451.3</v>
      </c>
      <c r="T323" s="166">
        <v>14056</v>
      </c>
      <c r="U323" s="170">
        <v>11451.3</v>
      </c>
      <c r="V323" s="170">
        <f t="shared" si="24"/>
        <v>0</v>
      </c>
      <c r="W323" s="171">
        <v>0</v>
      </c>
      <c r="X323" s="166">
        <v>54260</v>
      </c>
      <c r="Y323" s="170">
        <v>0</v>
      </c>
      <c r="Z323" s="168" t="s">
        <v>1059</v>
      </c>
      <c r="AA323" s="168" t="s">
        <v>1140</v>
      </c>
      <c r="AB323" s="168"/>
      <c r="AC323" s="168"/>
      <c r="AD323" s="168" t="s">
        <v>1058</v>
      </c>
      <c r="AE323" s="168" t="s">
        <v>1059</v>
      </c>
      <c r="AF323" s="166" t="s">
        <v>284</v>
      </c>
      <c r="AG323" s="216">
        <v>43281</v>
      </c>
      <c r="AH323" s="166" t="s">
        <v>1060</v>
      </c>
      <c r="AI323" s="168">
        <v>6</v>
      </c>
      <c r="AJ323" s="168">
        <v>9224.66</v>
      </c>
      <c r="AP323" s="206"/>
      <c r="AQ323" s="207"/>
      <c r="AR323" s="207"/>
      <c r="AS323" s="207"/>
      <c r="AT323" s="208"/>
      <c r="AU323" s="207"/>
      <c r="AV323" s="208"/>
    </row>
    <row r="324" spans="1:48" s="205" customFormat="1" ht="15">
      <c r="A324" s="145"/>
      <c r="B324" s="166">
        <v>2183</v>
      </c>
      <c r="C324" s="167">
        <v>200571</v>
      </c>
      <c r="D324" s="166" t="s">
        <v>1053</v>
      </c>
      <c r="E324" s="168" t="s">
        <v>1433</v>
      </c>
      <c r="F324" s="166">
        <v>12</v>
      </c>
      <c r="G324" s="168"/>
      <c r="H324" s="168"/>
      <c r="I324" s="168"/>
      <c r="J324" s="168">
        <v>0</v>
      </c>
      <c r="K324" s="168"/>
      <c r="L324" s="168"/>
      <c r="M324" s="168" t="s">
        <v>1434</v>
      </c>
      <c r="N324" s="169">
        <v>39755</v>
      </c>
      <c r="O324" s="169">
        <v>39755</v>
      </c>
      <c r="P324" s="168"/>
      <c r="Q324" s="166">
        <v>700</v>
      </c>
      <c r="R324" s="166">
        <v>14050</v>
      </c>
      <c r="S324" s="170">
        <v>1567.56</v>
      </c>
      <c r="T324" s="166">
        <v>14056</v>
      </c>
      <c r="U324" s="170">
        <v>1567.56</v>
      </c>
      <c r="V324" s="170">
        <f t="shared" si="24"/>
        <v>0</v>
      </c>
      <c r="W324" s="171">
        <v>0</v>
      </c>
      <c r="X324" s="166">
        <v>54260</v>
      </c>
      <c r="Y324" s="170">
        <v>0</v>
      </c>
      <c r="Z324" s="168" t="s">
        <v>1059</v>
      </c>
      <c r="AA324" s="168" t="s">
        <v>1140</v>
      </c>
      <c r="AB324" s="168"/>
      <c r="AC324" s="168"/>
      <c r="AD324" s="168" t="s">
        <v>1058</v>
      </c>
      <c r="AE324" s="168" t="s">
        <v>1059</v>
      </c>
      <c r="AF324" s="166" t="s">
        <v>284</v>
      </c>
      <c r="AG324" s="216">
        <v>43281</v>
      </c>
      <c r="AH324" s="166" t="s">
        <v>1060</v>
      </c>
      <c r="AI324" s="168">
        <v>0</v>
      </c>
      <c r="AJ324" s="168">
        <v>1567.56</v>
      </c>
      <c r="AP324" s="206"/>
      <c r="AQ324" s="207"/>
      <c r="AR324" s="207"/>
      <c r="AS324" s="207"/>
      <c r="AT324" s="208"/>
      <c r="AU324" s="207"/>
      <c r="AV324" s="208"/>
    </row>
    <row r="325" spans="1:48" s="205" customFormat="1" ht="15">
      <c r="A325" s="145"/>
      <c r="B325" s="166">
        <v>2183</v>
      </c>
      <c r="C325" s="167">
        <v>199449</v>
      </c>
      <c r="D325" s="166" t="s">
        <v>1053</v>
      </c>
      <c r="E325" s="168" t="s">
        <v>738</v>
      </c>
      <c r="F325" s="166">
        <v>864</v>
      </c>
      <c r="G325" s="168"/>
      <c r="H325" s="168"/>
      <c r="I325" s="168"/>
      <c r="J325" s="168">
        <v>0</v>
      </c>
      <c r="K325" s="168" t="s">
        <v>1435</v>
      </c>
      <c r="L325" s="168"/>
      <c r="M325" s="168"/>
      <c r="N325" s="169">
        <v>43190</v>
      </c>
      <c r="O325" s="169">
        <v>43190</v>
      </c>
      <c r="P325" s="168" t="s">
        <v>1421</v>
      </c>
      <c r="Q325" s="166">
        <v>700</v>
      </c>
      <c r="R325" s="166">
        <v>14050</v>
      </c>
      <c r="S325" s="170">
        <v>39644.51</v>
      </c>
      <c r="T325" s="166">
        <v>14056</v>
      </c>
      <c r="U325" s="170">
        <v>20766.169999999998</v>
      </c>
      <c r="V325" s="170">
        <f t="shared" si="24"/>
        <v>18878.340000000004</v>
      </c>
      <c r="W325" s="171">
        <v>5191.54</v>
      </c>
      <c r="X325" s="166">
        <v>54260</v>
      </c>
      <c r="Y325" s="170">
        <v>471.96</v>
      </c>
      <c r="Z325" s="168" t="s">
        <v>1053</v>
      </c>
      <c r="AA325" s="168"/>
      <c r="AB325" s="168">
        <v>65526376</v>
      </c>
      <c r="AC325" s="168"/>
      <c r="AD325" s="168" t="s">
        <v>1058</v>
      </c>
      <c r="AE325" s="168" t="s">
        <v>1059</v>
      </c>
      <c r="AF325" s="166" t="s">
        <v>284</v>
      </c>
      <c r="AG325" s="168"/>
      <c r="AH325" s="166" t="s">
        <v>1060</v>
      </c>
      <c r="AI325" s="168">
        <v>0</v>
      </c>
      <c r="AJ325" s="168">
        <v>0</v>
      </c>
      <c r="AP325" s="206"/>
      <c r="AQ325" s="207"/>
      <c r="AR325" s="207"/>
      <c r="AS325" s="207"/>
      <c r="AT325" s="208"/>
      <c r="AU325" s="207"/>
      <c r="AV325" s="208"/>
    </row>
    <row r="326" spans="1:48" s="205" customFormat="1" ht="15">
      <c r="A326" s="145"/>
      <c r="B326" s="166">
        <v>2183</v>
      </c>
      <c r="C326" s="167">
        <v>199448</v>
      </c>
      <c r="D326" s="166" t="s">
        <v>1053</v>
      </c>
      <c r="E326" s="168" t="s">
        <v>1436</v>
      </c>
      <c r="F326" s="166">
        <v>624</v>
      </c>
      <c r="G326" s="168"/>
      <c r="H326" s="168"/>
      <c r="I326" s="168"/>
      <c r="J326" s="168">
        <v>0</v>
      </c>
      <c r="K326" s="168" t="s">
        <v>1435</v>
      </c>
      <c r="L326" s="168"/>
      <c r="M326" s="168"/>
      <c r="N326" s="169">
        <v>43216</v>
      </c>
      <c r="O326" s="169">
        <v>43216</v>
      </c>
      <c r="P326" s="168" t="s">
        <v>1437</v>
      </c>
      <c r="Q326" s="166">
        <v>700</v>
      </c>
      <c r="R326" s="166">
        <v>14050</v>
      </c>
      <c r="S326" s="170">
        <v>33108.660000000003</v>
      </c>
      <c r="T326" s="166">
        <v>14056</v>
      </c>
      <c r="U326" s="170">
        <v>16948.490000000002</v>
      </c>
      <c r="V326" s="170">
        <f t="shared" si="24"/>
        <v>16160.170000000002</v>
      </c>
      <c r="W326" s="171">
        <v>4335.66</v>
      </c>
      <c r="X326" s="166">
        <v>54260</v>
      </c>
      <c r="Y326" s="170">
        <v>394.15</v>
      </c>
      <c r="Z326" s="168" t="s">
        <v>1053</v>
      </c>
      <c r="AA326" s="168"/>
      <c r="AB326" s="168">
        <v>65530553</v>
      </c>
      <c r="AC326" s="168"/>
      <c r="AD326" s="168" t="s">
        <v>1058</v>
      </c>
      <c r="AE326" s="168" t="s">
        <v>1059</v>
      </c>
      <c r="AF326" s="166" t="s">
        <v>284</v>
      </c>
      <c r="AG326" s="168"/>
      <c r="AH326" s="166" t="s">
        <v>1060</v>
      </c>
      <c r="AI326" s="168">
        <v>0</v>
      </c>
      <c r="AJ326" s="168">
        <v>0</v>
      </c>
      <c r="AP326" s="206"/>
      <c r="AQ326" s="207"/>
      <c r="AR326" s="207"/>
      <c r="AS326" s="207"/>
      <c r="AT326" s="208"/>
      <c r="AU326" s="207"/>
      <c r="AV326" s="208"/>
    </row>
    <row r="327" spans="1:48" s="205" customFormat="1" ht="15">
      <c r="A327" s="145"/>
      <c r="B327" s="166">
        <v>2183</v>
      </c>
      <c r="C327" s="167">
        <v>199447</v>
      </c>
      <c r="D327" s="166" t="s">
        <v>1053</v>
      </c>
      <c r="E327" s="168" t="s">
        <v>737</v>
      </c>
      <c r="F327" s="166">
        <v>432</v>
      </c>
      <c r="G327" s="168"/>
      <c r="H327" s="168"/>
      <c r="I327" s="168"/>
      <c r="J327" s="168">
        <v>0</v>
      </c>
      <c r="K327" s="168" t="s">
        <v>1435</v>
      </c>
      <c r="L327" s="168"/>
      <c r="M327" s="168"/>
      <c r="N327" s="169">
        <v>43208</v>
      </c>
      <c r="O327" s="169">
        <v>43208</v>
      </c>
      <c r="P327" s="168" t="s">
        <v>1421</v>
      </c>
      <c r="Q327" s="166">
        <v>700</v>
      </c>
      <c r="R327" s="166">
        <v>14050</v>
      </c>
      <c r="S327" s="170">
        <v>20942.36</v>
      </c>
      <c r="T327" s="166">
        <v>14056</v>
      </c>
      <c r="U327" s="170">
        <v>10720.51</v>
      </c>
      <c r="V327" s="170">
        <f t="shared" si="24"/>
        <v>10221.85</v>
      </c>
      <c r="W327" s="171">
        <v>2742.46</v>
      </c>
      <c r="X327" s="166">
        <v>54260</v>
      </c>
      <c r="Y327" s="170">
        <v>249.32</v>
      </c>
      <c r="Z327" s="168" t="s">
        <v>1053</v>
      </c>
      <c r="AA327" s="168"/>
      <c r="AB327" s="168">
        <v>65529504</v>
      </c>
      <c r="AC327" s="168"/>
      <c r="AD327" s="168" t="s">
        <v>1058</v>
      </c>
      <c r="AE327" s="168" t="s">
        <v>1059</v>
      </c>
      <c r="AF327" s="166" t="s">
        <v>284</v>
      </c>
      <c r="AG327" s="168"/>
      <c r="AH327" s="166" t="s">
        <v>1060</v>
      </c>
      <c r="AI327" s="168">
        <v>0</v>
      </c>
      <c r="AJ327" s="168">
        <v>0</v>
      </c>
      <c r="AP327" s="206"/>
      <c r="AQ327" s="207"/>
      <c r="AR327" s="207"/>
      <c r="AS327" s="207"/>
      <c r="AT327" s="208"/>
      <c r="AU327" s="207"/>
      <c r="AV327" s="208"/>
    </row>
    <row r="328" spans="1:48" s="205" customFormat="1" ht="15">
      <c r="A328" s="145"/>
      <c r="B328" s="166">
        <v>2183</v>
      </c>
      <c r="C328" s="167">
        <v>199446</v>
      </c>
      <c r="D328" s="166" t="s">
        <v>1053</v>
      </c>
      <c r="E328" s="168" t="s">
        <v>736</v>
      </c>
      <c r="F328" s="166">
        <v>312</v>
      </c>
      <c r="G328" s="168"/>
      <c r="H328" s="168"/>
      <c r="I328" s="168"/>
      <c r="J328" s="168">
        <v>0</v>
      </c>
      <c r="K328" s="168" t="s">
        <v>1435</v>
      </c>
      <c r="L328" s="168"/>
      <c r="M328" s="168"/>
      <c r="N328" s="169">
        <v>43208</v>
      </c>
      <c r="O328" s="169">
        <v>43208</v>
      </c>
      <c r="P328" s="168" t="s">
        <v>1421</v>
      </c>
      <c r="Q328" s="166">
        <v>700</v>
      </c>
      <c r="R328" s="166">
        <v>14050</v>
      </c>
      <c r="S328" s="170">
        <v>17734.16</v>
      </c>
      <c r="T328" s="166">
        <v>14056</v>
      </c>
      <c r="U328" s="170">
        <v>9078.1299999999992</v>
      </c>
      <c r="V328" s="170">
        <f t="shared" si="24"/>
        <v>8656.0300000000007</v>
      </c>
      <c r="W328" s="171">
        <v>2322.31</v>
      </c>
      <c r="X328" s="166">
        <v>54260</v>
      </c>
      <c r="Y328" s="170">
        <v>211.12</v>
      </c>
      <c r="Z328" s="168" t="s">
        <v>1053</v>
      </c>
      <c r="AA328" s="168"/>
      <c r="AB328" s="168">
        <v>65529529</v>
      </c>
      <c r="AC328" s="168"/>
      <c r="AD328" s="168" t="s">
        <v>1058</v>
      </c>
      <c r="AE328" s="168" t="s">
        <v>1059</v>
      </c>
      <c r="AF328" s="166" t="s">
        <v>284</v>
      </c>
      <c r="AG328" s="168"/>
      <c r="AH328" s="166" t="s">
        <v>1060</v>
      </c>
      <c r="AI328" s="168">
        <v>0</v>
      </c>
      <c r="AJ328" s="168">
        <v>0</v>
      </c>
      <c r="AP328" s="206"/>
      <c r="AQ328" s="207"/>
      <c r="AR328" s="207"/>
      <c r="AS328" s="207"/>
      <c r="AT328" s="208"/>
      <c r="AU328" s="207"/>
      <c r="AV328" s="208"/>
    </row>
    <row r="329" spans="1:48" s="205" customFormat="1" ht="15">
      <c r="A329" s="145"/>
      <c r="B329" s="166">
        <v>2183</v>
      </c>
      <c r="C329" s="167">
        <v>199445</v>
      </c>
      <c r="D329" s="166" t="s">
        <v>1053</v>
      </c>
      <c r="E329" s="168" t="s">
        <v>802</v>
      </c>
      <c r="F329" s="166">
        <v>624</v>
      </c>
      <c r="G329" s="168"/>
      <c r="H329" s="168"/>
      <c r="I329" s="168"/>
      <c r="J329" s="168">
        <v>0</v>
      </c>
      <c r="K329" s="168" t="s">
        <v>1435</v>
      </c>
      <c r="L329" s="168"/>
      <c r="M329" s="168"/>
      <c r="N329" s="169">
        <v>43208</v>
      </c>
      <c r="O329" s="169">
        <v>43208</v>
      </c>
      <c r="P329" s="168" t="s">
        <v>1421</v>
      </c>
      <c r="Q329" s="166">
        <v>700</v>
      </c>
      <c r="R329" s="166">
        <v>14050</v>
      </c>
      <c r="S329" s="170">
        <v>33108.660000000003</v>
      </c>
      <c r="T329" s="166">
        <v>14056</v>
      </c>
      <c r="U329" s="170">
        <v>16948.490000000002</v>
      </c>
      <c r="V329" s="170">
        <f t="shared" si="24"/>
        <v>16160.170000000002</v>
      </c>
      <c r="W329" s="171">
        <v>4335.66</v>
      </c>
      <c r="X329" s="166">
        <v>54260</v>
      </c>
      <c r="Y329" s="170">
        <v>394.15</v>
      </c>
      <c r="Z329" s="168" t="s">
        <v>1053</v>
      </c>
      <c r="AA329" s="168"/>
      <c r="AB329" s="168">
        <v>65529627</v>
      </c>
      <c r="AC329" s="168"/>
      <c r="AD329" s="168" t="s">
        <v>1058</v>
      </c>
      <c r="AE329" s="168" t="s">
        <v>1059</v>
      </c>
      <c r="AF329" s="166" t="s">
        <v>284</v>
      </c>
      <c r="AG329" s="168"/>
      <c r="AH329" s="166" t="s">
        <v>1060</v>
      </c>
      <c r="AI329" s="168">
        <v>0</v>
      </c>
      <c r="AJ329" s="168">
        <v>0</v>
      </c>
      <c r="AP329" s="206"/>
      <c r="AQ329" s="207"/>
      <c r="AR329" s="207"/>
      <c r="AS329" s="207"/>
      <c r="AT329" s="208"/>
      <c r="AU329" s="207"/>
      <c r="AV329" s="208"/>
    </row>
    <row r="330" spans="1:48" s="205" customFormat="1" ht="15">
      <c r="A330" s="145"/>
      <c r="B330" s="166">
        <v>2183</v>
      </c>
      <c r="C330" s="167">
        <v>199444</v>
      </c>
      <c r="D330" s="166" t="s">
        <v>1053</v>
      </c>
      <c r="E330" s="168" t="s">
        <v>735</v>
      </c>
      <c r="F330" s="166">
        <v>945</v>
      </c>
      <c r="G330" s="168"/>
      <c r="H330" s="168"/>
      <c r="I330" s="168"/>
      <c r="J330" s="168">
        <v>0</v>
      </c>
      <c r="K330" s="168" t="s">
        <v>1435</v>
      </c>
      <c r="L330" s="168"/>
      <c r="M330" s="168"/>
      <c r="N330" s="169">
        <v>43208</v>
      </c>
      <c r="O330" s="169">
        <v>43208</v>
      </c>
      <c r="P330" s="168" t="s">
        <v>1421</v>
      </c>
      <c r="Q330" s="166">
        <v>700</v>
      </c>
      <c r="R330" s="166">
        <v>14050</v>
      </c>
      <c r="S330" s="170">
        <v>37863.78</v>
      </c>
      <c r="T330" s="166">
        <v>14056</v>
      </c>
      <c r="U330" s="170">
        <v>19382.650000000001</v>
      </c>
      <c r="V330" s="170">
        <f t="shared" si="24"/>
        <v>18481.129999999997</v>
      </c>
      <c r="W330" s="171">
        <v>4958.3500000000004</v>
      </c>
      <c r="X330" s="166">
        <v>54260</v>
      </c>
      <c r="Y330" s="170">
        <v>450.76</v>
      </c>
      <c r="Z330" s="168" t="s">
        <v>1053</v>
      </c>
      <c r="AA330" s="168"/>
      <c r="AB330" s="168">
        <v>65529102</v>
      </c>
      <c r="AC330" s="168"/>
      <c r="AD330" s="168" t="s">
        <v>1058</v>
      </c>
      <c r="AE330" s="168" t="s">
        <v>1059</v>
      </c>
      <c r="AF330" s="166" t="s">
        <v>284</v>
      </c>
      <c r="AG330" s="168"/>
      <c r="AH330" s="166" t="s">
        <v>1060</v>
      </c>
      <c r="AI330" s="168">
        <v>0</v>
      </c>
      <c r="AJ330" s="168">
        <v>0</v>
      </c>
      <c r="AP330" s="206"/>
      <c r="AQ330" s="207"/>
      <c r="AR330" s="207"/>
      <c r="AS330" s="207"/>
      <c r="AT330" s="208"/>
      <c r="AU330" s="207"/>
      <c r="AV330" s="208"/>
    </row>
    <row r="331" spans="1:48" s="205" customFormat="1" ht="15">
      <c r="A331" s="145"/>
      <c r="B331" s="166">
        <v>2183</v>
      </c>
      <c r="C331" s="167">
        <v>199421</v>
      </c>
      <c r="D331" s="166">
        <v>199117</v>
      </c>
      <c r="E331" s="168" t="s">
        <v>729</v>
      </c>
      <c r="F331" s="166"/>
      <c r="G331" s="168"/>
      <c r="H331" s="168"/>
      <c r="I331" s="168"/>
      <c r="J331" s="168">
        <v>0</v>
      </c>
      <c r="K331" s="168" t="s">
        <v>1438</v>
      </c>
      <c r="L331" s="168"/>
      <c r="M331" s="168" t="s">
        <v>1303</v>
      </c>
      <c r="N331" s="169">
        <v>43281</v>
      </c>
      <c r="O331" s="169">
        <v>43281</v>
      </c>
      <c r="P331" s="168" t="s">
        <v>1427</v>
      </c>
      <c r="Q331" s="166">
        <v>1000</v>
      </c>
      <c r="R331" s="166">
        <v>14040</v>
      </c>
      <c r="S331" s="170">
        <v>1003.93</v>
      </c>
      <c r="T331" s="166">
        <v>14046</v>
      </c>
      <c r="U331" s="170">
        <v>343</v>
      </c>
      <c r="V331" s="170">
        <f t="shared" si="24"/>
        <v>660.93</v>
      </c>
      <c r="W331" s="171">
        <v>92.02</v>
      </c>
      <c r="X331" s="166">
        <v>51260</v>
      </c>
      <c r="Y331" s="170">
        <v>8.36</v>
      </c>
      <c r="Z331" s="168" t="s">
        <v>1053</v>
      </c>
      <c r="AA331" s="168"/>
      <c r="AB331" s="168">
        <v>2782</v>
      </c>
      <c r="AC331" s="168"/>
      <c r="AD331" s="168" t="s">
        <v>1058</v>
      </c>
      <c r="AE331" s="168" t="s">
        <v>1059</v>
      </c>
      <c r="AF331" s="166" t="s">
        <v>284</v>
      </c>
      <c r="AG331" s="168"/>
      <c r="AH331" s="166" t="s">
        <v>1060</v>
      </c>
      <c r="AI331" s="168">
        <v>0</v>
      </c>
      <c r="AJ331" s="168">
        <v>0</v>
      </c>
      <c r="AP331" s="206"/>
      <c r="AQ331" s="207"/>
      <c r="AR331" s="207"/>
      <c r="AS331" s="207"/>
      <c r="AT331" s="208"/>
      <c r="AU331" s="207"/>
      <c r="AV331" s="208"/>
    </row>
    <row r="332" spans="1:48" s="205" customFormat="1" ht="15">
      <c r="A332" s="145"/>
      <c r="B332" s="166">
        <v>2183</v>
      </c>
      <c r="C332" s="167">
        <v>199117</v>
      </c>
      <c r="D332" s="166" t="s">
        <v>1053</v>
      </c>
      <c r="E332" s="168" t="s">
        <v>1439</v>
      </c>
      <c r="F332" s="166"/>
      <c r="G332" s="168"/>
      <c r="H332" s="168" t="s">
        <v>1440</v>
      </c>
      <c r="I332" s="168"/>
      <c r="J332" s="168">
        <v>2018</v>
      </c>
      <c r="K332" s="168" t="s">
        <v>1196</v>
      </c>
      <c r="L332" s="168" t="s">
        <v>1220</v>
      </c>
      <c r="M332" s="168" t="s">
        <v>1152</v>
      </c>
      <c r="N332" s="169">
        <v>43281</v>
      </c>
      <c r="O332" s="169">
        <v>43281</v>
      </c>
      <c r="P332" s="168" t="s">
        <v>1427</v>
      </c>
      <c r="Q332" s="166">
        <v>1000</v>
      </c>
      <c r="R332" s="166">
        <v>14040</v>
      </c>
      <c r="S332" s="170">
        <v>339421.75</v>
      </c>
      <c r="T332" s="166">
        <v>14046</v>
      </c>
      <c r="U332" s="170">
        <v>115969.12</v>
      </c>
      <c r="V332" s="170">
        <f t="shared" si="24"/>
        <v>223452.63</v>
      </c>
      <c r="W332" s="171">
        <v>31113.67</v>
      </c>
      <c r="X332" s="166">
        <v>51260</v>
      </c>
      <c r="Y332" s="170">
        <v>2828.52</v>
      </c>
      <c r="Z332" s="168" t="s">
        <v>1053</v>
      </c>
      <c r="AA332" s="168"/>
      <c r="AB332" s="168"/>
      <c r="AC332" s="168">
        <v>3673</v>
      </c>
      <c r="AD332" s="168" t="s">
        <v>1058</v>
      </c>
      <c r="AE332" s="168" t="s">
        <v>1059</v>
      </c>
      <c r="AF332" s="166" t="s">
        <v>284</v>
      </c>
      <c r="AG332" s="168"/>
      <c r="AH332" s="166" t="s">
        <v>1060</v>
      </c>
      <c r="AI332" s="168">
        <v>0</v>
      </c>
      <c r="AJ332" s="168">
        <v>0</v>
      </c>
      <c r="AP332" s="206"/>
      <c r="AQ332" s="207"/>
      <c r="AR332" s="207"/>
      <c r="AS332" s="207"/>
      <c r="AT332" s="208"/>
      <c r="AU332" s="207"/>
      <c r="AV332" s="208"/>
    </row>
    <row r="333" spans="1:48" s="205" customFormat="1" ht="15">
      <c r="A333" s="145"/>
      <c r="B333" s="166">
        <v>2183</v>
      </c>
      <c r="C333" s="167">
        <v>198061</v>
      </c>
      <c r="D333" s="166" t="s">
        <v>1053</v>
      </c>
      <c r="E333" s="168" t="s">
        <v>795</v>
      </c>
      <c r="F333" s="166">
        <v>3</v>
      </c>
      <c r="G333" s="168"/>
      <c r="H333" s="168"/>
      <c r="I333" s="168"/>
      <c r="J333" s="168">
        <v>0</v>
      </c>
      <c r="K333" s="168"/>
      <c r="L333" s="168"/>
      <c r="M333" s="168" t="s">
        <v>1441</v>
      </c>
      <c r="N333" s="169">
        <v>33664</v>
      </c>
      <c r="O333" s="169">
        <v>33664</v>
      </c>
      <c r="P333" s="168"/>
      <c r="Q333" s="166">
        <v>1500</v>
      </c>
      <c r="R333" s="166">
        <v>14050</v>
      </c>
      <c r="S333" s="170">
        <v>7710</v>
      </c>
      <c r="T333" s="166">
        <v>14056</v>
      </c>
      <c r="U333" s="170">
        <v>7710</v>
      </c>
      <c r="V333" s="170">
        <f t="shared" si="24"/>
        <v>0</v>
      </c>
      <c r="W333" s="171">
        <v>0</v>
      </c>
      <c r="X333" s="166">
        <v>54260</v>
      </c>
      <c r="Y333" s="170">
        <v>0</v>
      </c>
      <c r="Z333" s="168" t="s">
        <v>1059</v>
      </c>
      <c r="AA333" s="168" t="s">
        <v>1442</v>
      </c>
      <c r="AB333" s="168"/>
      <c r="AC333" s="168"/>
      <c r="AD333" s="168" t="s">
        <v>1058</v>
      </c>
      <c r="AE333" s="168" t="s">
        <v>1059</v>
      </c>
      <c r="AF333" s="166" t="s">
        <v>284</v>
      </c>
      <c r="AG333" s="216">
        <v>43251</v>
      </c>
      <c r="AH333" s="166" t="s">
        <v>1060</v>
      </c>
      <c r="AI333" s="168">
        <v>0</v>
      </c>
      <c r="AJ333" s="168">
        <v>7710</v>
      </c>
      <c r="AP333" s="206"/>
      <c r="AQ333" s="207"/>
      <c r="AR333" s="207"/>
      <c r="AS333" s="207"/>
      <c r="AT333" s="208"/>
      <c r="AU333" s="207"/>
      <c r="AV333" s="208"/>
    </row>
    <row r="334" spans="1:48" s="205" customFormat="1" ht="15">
      <c r="A334" s="145"/>
      <c r="B334" s="166">
        <v>2183</v>
      </c>
      <c r="C334" s="167">
        <v>198060</v>
      </c>
      <c r="D334" s="166" t="s">
        <v>1053</v>
      </c>
      <c r="E334" s="168" t="s">
        <v>796</v>
      </c>
      <c r="F334" s="166">
        <v>8</v>
      </c>
      <c r="G334" s="168"/>
      <c r="H334" s="168"/>
      <c r="I334" s="168"/>
      <c r="J334" s="168">
        <v>0</v>
      </c>
      <c r="K334" s="168"/>
      <c r="L334" s="168"/>
      <c r="M334" s="168" t="s">
        <v>1443</v>
      </c>
      <c r="N334" s="169">
        <v>32192</v>
      </c>
      <c r="O334" s="169">
        <v>32192</v>
      </c>
      <c r="P334" s="168"/>
      <c r="Q334" s="166">
        <v>1500</v>
      </c>
      <c r="R334" s="166">
        <v>14050</v>
      </c>
      <c r="S334" s="170">
        <v>22692</v>
      </c>
      <c r="T334" s="166">
        <v>14056</v>
      </c>
      <c r="U334" s="170">
        <v>22692</v>
      </c>
      <c r="V334" s="170">
        <f t="shared" ref="V334:V397" si="25">S334-U334</f>
        <v>0</v>
      </c>
      <c r="W334" s="171">
        <v>0</v>
      </c>
      <c r="X334" s="166">
        <v>54260</v>
      </c>
      <c r="Y334" s="170">
        <v>0</v>
      </c>
      <c r="Z334" s="168" t="s">
        <v>1059</v>
      </c>
      <c r="AA334" s="168" t="s">
        <v>1442</v>
      </c>
      <c r="AB334" s="168"/>
      <c r="AC334" s="168"/>
      <c r="AD334" s="168" t="s">
        <v>1058</v>
      </c>
      <c r="AE334" s="168" t="s">
        <v>1059</v>
      </c>
      <c r="AF334" s="166" t="s">
        <v>284</v>
      </c>
      <c r="AG334" s="216">
        <v>43251</v>
      </c>
      <c r="AH334" s="166" t="s">
        <v>1060</v>
      </c>
      <c r="AI334" s="168">
        <v>0</v>
      </c>
      <c r="AJ334" s="168">
        <v>22692</v>
      </c>
      <c r="AP334" s="206"/>
      <c r="AQ334" s="207"/>
      <c r="AR334" s="207"/>
      <c r="AS334" s="207"/>
      <c r="AT334" s="208"/>
      <c r="AU334" s="207"/>
      <c r="AV334" s="208"/>
    </row>
    <row r="335" spans="1:48" s="205" customFormat="1" ht="15">
      <c r="A335" s="145"/>
      <c r="B335" s="166">
        <v>2183</v>
      </c>
      <c r="C335" s="167">
        <v>197581</v>
      </c>
      <c r="D335" s="166">
        <v>195950</v>
      </c>
      <c r="E335" s="168" t="s">
        <v>1444</v>
      </c>
      <c r="F335" s="166"/>
      <c r="G335" s="168"/>
      <c r="H335" s="168"/>
      <c r="I335" s="168"/>
      <c r="J335" s="168">
        <v>0</v>
      </c>
      <c r="K335" s="168" t="s">
        <v>1417</v>
      </c>
      <c r="L335" s="168"/>
      <c r="M335" s="168" t="s">
        <v>1303</v>
      </c>
      <c r="N335" s="169">
        <v>43220</v>
      </c>
      <c r="O335" s="169">
        <v>43220</v>
      </c>
      <c r="P335" s="168" t="s">
        <v>1445</v>
      </c>
      <c r="Q335" s="166">
        <v>1000</v>
      </c>
      <c r="R335" s="166">
        <v>14040</v>
      </c>
      <c r="S335" s="170">
        <v>336</v>
      </c>
      <c r="T335" s="166">
        <v>14046</v>
      </c>
      <c r="U335" s="170">
        <v>120.4</v>
      </c>
      <c r="V335" s="170">
        <f t="shared" si="25"/>
        <v>215.6</v>
      </c>
      <c r="W335" s="171">
        <v>30.8</v>
      </c>
      <c r="X335" s="166">
        <v>51260</v>
      </c>
      <c r="Y335" s="170">
        <v>2.8</v>
      </c>
      <c r="Z335" s="168" t="s">
        <v>1053</v>
      </c>
      <c r="AA335" s="168"/>
      <c r="AB335" s="168">
        <v>2699323</v>
      </c>
      <c r="AC335" s="168"/>
      <c r="AD335" s="168" t="s">
        <v>1058</v>
      </c>
      <c r="AE335" s="168" t="s">
        <v>1059</v>
      </c>
      <c r="AF335" s="166" t="s">
        <v>284</v>
      </c>
      <c r="AG335" s="168"/>
      <c r="AH335" s="166" t="s">
        <v>1060</v>
      </c>
      <c r="AI335" s="168">
        <v>0</v>
      </c>
      <c r="AJ335" s="168">
        <v>0</v>
      </c>
      <c r="AP335" s="206"/>
      <c r="AQ335" s="207"/>
      <c r="AR335" s="207"/>
      <c r="AS335" s="207"/>
      <c r="AT335" s="208"/>
      <c r="AU335" s="207"/>
      <c r="AV335" s="208"/>
    </row>
    <row r="336" spans="1:48" s="205" customFormat="1" ht="15">
      <c r="A336" s="145"/>
      <c r="B336" s="166">
        <v>2183</v>
      </c>
      <c r="C336" s="167">
        <v>197580</v>
      </c>
      <c r="D336" s="166">
        <v>195950</v>
      </c>
      <c r="E336" s="168" t="s">
        <v>729</v>
      </c>
      <c r="F336" s="166"/>
      <c r="G336" s="168"/>
      <c r="H336" s="168"/>
      <c r="I336" s="168"/>
      <c r="J336" s="168">
        <v>0</v>
      </c>
      <c r="K336" s="168" t="s">
        <v>1446</v>
      </c>
      <c r="L336" s="168"/>
      <c r="M336" s="168" t="s">
        <v>1303</v>
      </c>
      <c r="N336" s="169">
        <v>43220</v>
      </c>
      <c r="O336" s="169">
        <v>43220</v>
      </c>
      <c r="P336" s="168" t="s">
        <v>1445</v>
      </c>
      <c r="Q336" s="166">
        <v>1000</v>
      </c>
      <c r="R336" s="166">
        <v>14040</v>
      </c>
      <c r="S336" s="170">
        <v>1003.93</v>
      </c>
      <c r="T336" s="166">
        <v>14046</v>
      </c>
      <c r="U336" s="170">
        <v>359.73</v>
      </c>
      <c r="V336" s="170">
        <f t="shared" si="25"/>
        <v>644.19999999999993</v>
      </c>
      <c r="W336" s="171">
        <v>92.02</v>
      </c>
      <c r="X336" s="166">
        <v>51260</v>
      </c>
      <c r="Y336" s="170">
        <v>8.36</v>
      </c>
      <c r="Z336" s="168" t="s">
        <v>1053</v>
      </c>
      <c r="AA336" s="168"/>
      <c r="AB336" s="168">
        <v>2751</v>
      </c>
      <c r="AC336" s="168"/>
      <c r="AD336" s="168" t="s">
        <v>1058</v>
      </c>
      <c r="AE336" s="168" t="s">
        <v>1059</v>
      </c>
      <c r="AF336" s="166" t="s">
        <v>284</v>
      </c>
      <c r="AG336" s="168"/>
      <c r="AH336" s="166" t="s">
        <v>1060</v>
      </c>
      <c r="AI336" s="168">
        <v>0</v>
      </c>
      <c r="AJ336" s="168">
        <v>0</v>
      </c>
      <c r="AP336" s="206"/>
      <c r="AQ336" s="207"/>
      <c r="AR336" s="207"/>
      <c r="AS336" s="207"/>
      <c r="AT336" s="208"/>
      <c r="AU336" s="207"/>
      <c r="AV336" s="208"/>
    </row>
    <row r="337" spans="1:48" s="205" customFormat="1" ht="15">
      <c r="A337" s="145"/>
      <c r="B337" s="166">
        <v>2183</v>
      </c>
      <c r="C337" s="167">
        <v>197493</v>
      </c>
      <c r="D337" s="166">
        <v>195950</v>
      </c>
      <c r="E337" s="168" t="s">
        <v>1447</v>
      </c>
      <c r="F337" s="166"/>
      <c r="G337" s="168"/>
      <c r="H337" s="168"/>
      <c r="I337" s="168"/>
      <c r="J337" s="168">
        <v>0</v>
      </c>
      <c r="K337" s="168" t="s">
        <v>1222</v>
      </c>
      <c r="L337" s="168"/>
      <c r="M337" s="168" t="s">
        <v>1303</v>
      </c>
      <c r="N337" s="169">
        <v>43220</v>
      </c>
      <c r="O337" s="169">
        <v>43220</v>
      </c>
      <c r="P337" s="168" t="s">
        <v>1445</v>
      </c>
      <c r="Q337" s="166">
        <v>1000</v>
      </c>
      <c r="R337" s="166">
        <v>14040</v>
      </c>
      <c r="S337" s="170">
        <v>677.33</v>
      </c>
      <c r="T337" s="166">
        <v>14046</v>
      </c>
      <c r="U337" s="170">
        <v>242.71</v>
      </c>
      <c r="V337" s="170">
        <f t="shared" si="25"/>
        <v>434.62</v>
      </c>
      <c r="W337" s="171">
        <v>62.09</v>
      </c>
      <c r="X337" s="166">
        <v>51260</v>
      </c>
      <c r="Y337" s="170">
        <v>5.65</v>
      </c>
      <c r="Z337" s="168" t="s">
        <v>1053</v>
      </c>
      <c r="AA337" s="168"/>
      <c r="AB337" s="168">
        <v>51118</v>
      </c>
      <c r="AC337" s="168"/>
      <c r="AD337" s="168" t="s">
        <v>1058</v>
      </c>
      <c r="AE337" s="168" t="s">
        <v>1059</v>
      </c>
      <c r="AF337" s="166" t="s">
        <v>284</v>
      </c>
      <c r="AG337" s="168"/>
      <c r="AH337" s="166" t="s">
        <v>1060</v>
      </c>
      <c r="AI337" s="168">
        <v>0</v>
      </c>
      <c r="AJ337" s="168">
        <v>0</v>
      </c>
      <c r="AP337" s="206"/>
      <c r="AQ337" s="207"/>
      <c r="AR337" s="207"/>
      <c r="AS337" s="207"/>
      <c r="AT337" s="208"/>
      <c r="AU337" s="207"/>
      <c r="AV337" s="208"/>
    </row>
    <row r="338" spans="1:48" s="205" customFormat="1" ht="15">
      <c r="A338" s="145"/>
      <c r="B338" s="166">
        <v>2183</v>
      </c>
      <c r="C338" s="167">
        <v>197437</v>
      </c>
      <c r="D338" s="166">
        <v>195950</v>
      </c>
      <c r="E338" s="168" t="s">
        <v>1394</v>
      </c>
      <c r="F338" s="166"/>
      <c r="G338" s="168"/>
      <c r="H338" s="168"/>
      <c r="I338" s="168"/>
      <c r="J338" s="168">
        <v>0</v>
      </c>
      <c r="K338" s="168" t="s">
        <v>1448</v>
      </c>
      <c r="L338" s="168"/>
      <c r="M338" s="168" t="s">
        <v>1108</v>
      </c>
      <c r="N338" s="169">
        <v>43220</v>
      </c>
      <c r="O338" s="169">
        <v>43220</v>
      </c>
      <c r="P338" s="168" t="s">
        <v>1445</v>
      </c>
      <c r="Q338" s="166">
        <v>500</v>
      </c>
      <c r="R338" s="166">
        <v>14040</v>
      </c>
      <c r="S338" s="170">
        <v>518.38</v>
      </c>
      <c r="T338" s="166">
        <v>14046</v>
      </c>
      <c r="U338" s="170">
        <v>371.52</v>
      </c>
      <c r="V338" s="170">
        <f t="shared" si="25"/>
        <v>146.86000000000001</v>
      </c>
      <c r="W338" s="171">
        <v>95.04</v>
      </c>
      <c r="X338" s="166">
        <v>51260</v>
      </c>
      <c r="Y338" s="170">
        <v>8.64</v>
      </c>
      <c r="Z338" s="168" t="s">
        <v>1053</v>
      </c>
      <c r="AA338" s="168"/>
      <c r="AB338" s="168">
        <v>5129747</v>
      </c>
      <c r="AC338" s="168"/>
      <c r="AD338" s="168" t="s">
        <v>1058</v>
      </c>
      <c r="AE338" s="168" t="s">
        <v>1059</v>
      </c>
      <c r="AF338" s="166" t="s">
        <v>284</v>
      </c>
      <c r="AG338" s="168"/>
      <c r="AH338" s="166" t="s">
        <v>1060</v>
      </c>
      <c r="AI338" s="168">
        <v>0</v>
      </c>
      <c r="AJ338" s="168">
        <v>0</v>
      </c>
      <c r="AP338" s="206"/>
      <c r="AQ338" s="207"/>
      <c r="AR338" s="207"/>
      <c r="AS338" s="207"/>
      <c r="AT338" s="208"/>
      <c r="AU338" s="207"/>
      <c r="AV338" s="208"/>
    </row>
    <row r="339" spans="1:48" s="205" customFormat="1" ht="15">
      <c r="A339" s="145"/>
      <c r="B339" s="166">
        <v>2183</v>
      </c>
      <c r="C339" s="167">
        <v>196996</v>
      </c>
      <c r="D339" s="166">
        <v>195950</v>
      </c>
      <c r="E339" s="168" t="s">
        <v>890</v>
      </c>
      <c r="F339" s="166"/>
      <c r="G339" s="168"/>
      <c r="H339" s="168"/>
      <c r="I339" s="168"/>
      <c r="J339" s="168">
        <v>0</v>
      </c>
      <c r="K339" s="168"/>
      <c r="L339" s="168"/>
      <c r="M339" s="168" t="s">
        <v>1108</v>
      </c>
      <c r="N339" s="169">
        <v>43220</v>
      </c>
      <c r="O339" s="169">
        <v>43220</v>
      </c>
      <c r="P339" s="168" t="s">
        <v>1445</v>
      </c>
      <c r="Q339" s="166">
        <v>500</v>
      </c>
      <c r="R339" s="166">
        <v>14040</v>
      </c>
      <c r="S339" s="170">
        <v>722.88</v>
      </c>
      <c r="T339" s="166">
        <v>14046</v>
      </c>
      <c r="U339" s="170">
        <v>518.07000000000005</v>
      </c>
      <c r="V339" s="170">
        <f t="shared" si="25"/>
        <v>204.80999999999995</v>
      </c>
      <c r="W339" s="171">
        <v>132.53</v>
      </c>
      <c r="X339" s="166">
        <v>51260</v>
      </c>
      <c r="Y339" s="170">
        <v>12.05</v>
      </c>
      <c r="Z339" s="168" t="s">
        <v>1053</v>
      </c>
      <c r="AA339" s="168"/>
      <c r="AB339" s="168">
        <v>2736</v>
      </c>
      <c r="AC339" s="168"/>
      <c r="AD339" s="168" t="s">
        <v>1058</v>
      </c>
      <c r="AE339" s="168" t="s">
        <v>1059</v>
      </c>
      <c r="AF339" s="166" t="s">
        <v>284</v>
      </c>
      <c r="AG339" s="168"/>
      <c r="AH339" s="166" t="s">
        <v>1060</v>
      </c>
      <c r="AI339" s="168">
        <v>0</v>
      </c>
      <c r="AJ339" s="168">
        <v>0</v>
      </c>
      <c r="AP339" s="206"/>
      <c r="AQ339" s="207"/>
      <c r="AR339" s="207"/>
      <c r="AS339" s="207"/>
      <c r="AT339" s="208"/>
      <c r="AU339" s="207"/>
      <c r="AV339" s="208"/>
    </row>
    <row r="340" spans="1:48" s="205" customFormat="1" ht="15">
      <c r="A340" s="145"/>
      <c r="B340" s="166">
        <v>2183</v>
      </c>
      <c r="C340" s="167">
        <v>196852</v>
      </c>
      <c r="D340" s="166">
        <v>194074</v>
      </c>
      <c r="E340" s="168" t="s">
        <v>729</v>
      </c>
      <c r="F340" s="166"/>
      <c r="G340" s="168"/>
      <c r="H340" s="168"/>
      <c r="I340" s="168"/>
      <c r="J340" s="168">
        <v>0</v>
      </c>
      <c r="K340" s="168"/>
      <c r="L340" s="168" t="s">
        <v>1449</v>
      </c>
      <c r="M340" s="168" t="s">
        <v>1108</v>
      </c>
      <c r="N340" s="169">
        <v>43190</v>
      </c>
      <c r="O340" s="169">
        <v>43190</v>
      </c>
      <c r="P340" s="168" t="s">
        <v>1450</v>
      </c>
      <c r="Q340" s="166">
        <v>1000</v>
      </c>
      <c r="R340" s="166">
        <v>14040</v>
      </c>
      <c r="S340" s="170">
        <v>794.16</v>
      </c>
      <c r="T340" s="166">
        <v>14046</v>
      </c>
      <c r="U340" s="170">
        <v>291.2</v>
      </c>
      <c r="V340" s="170">
        <f t="shared" si="25"/>
        <v>502.96</v>
      </c>
      <c r="W340" s="171">
        <v>72.8</v>
      </c>
      <c r="X340" s="166">
        <v>51260</v>
      </c>
      <c r="Y340" s="170">
        <v>6.62</v>
      </c>
      <c r="Z340" s="168" t="s">
        <v>1053</v>
      </c>
      <c r="AA340" s="168"/>
      <c r="AB340" s="168">
        <v>47150</v>
      </c>
      <c r="AC340" s="168"/>
      <c r="AD340" s="168" t="s">
        <v>1058</v>
      </c>
      <c r="AE340" s="168" t="s">
        <v>1059</v>
      </c>
      <c r="AF340" s="166" t="s">
        <v>284</v>
      </c>
      <c r="AG340" s="168"/>
      <c r="AH340" s="166" t="s">
        <v>1060</v>
      </c>
      <c r="AI340" s="168">
        <v>0</v>
      </c>
      <c r="AJ340" s="168">
        <v>0</v>
      </c>
      <c r="AP340" s="206"/>
      <c r="AQ340" s="207"/>
      <c r="AR340" s="207"/>
      <c r="AS340" s="207"/>
      <c r="AT340" s="208"/>
      <c r="AU340" s="207"/>
      <c r="AV340" s="208"/>
    </row>
    <row r="341" spans="1:48" s="205" customFormat="1" ht="15">
      <c r="A341" s="145"/>
      <c r="B341" s="166">
        <v>2183</v>
      </c>
      <c r="C341" s="167">
        <v>196551</v>
      </c>
      <c r="D341" s="166" t="s">
        <v>1053</v>
      </c>
      <c r="E341" s="168" t="s">
        <v>1451</v>
      </c>
      <c r="F341" s="166">
        <v>624</v>
      </c>
      <c r="G341" s="168"/>
      <c r="H341" s="168"/>
      <c r="I341" s="168" t="s">
        <v>1172</v>
      </c>
      <c r="J341" s="168">
        <v>0</v>
      </c>
      <c r="K341" s="168" t="s">
        <v>1452</v>
      </c>
      <c r="L341" s="168"/>
      <c r="M341" s="168"/>
      <c r="N341" s="169">
        <v>43187</v>
      </c>
      <c r="O341" s="169">
        <v>43187</v>
      </c>
      <c r="P341" s="168" t="s">
        <v>1437</v>
      </c>
      <c r="Q341" s="166">
        <v>700</v>
      </c>
      <c r="R341" s="166">
        <v>14050</v>
      </c>
      <c r="S341" s="170">
        <v>32857.040000000001</v>
      </c>
      <c r="T341" s="166">
        <v>14056</v>
      </c>
      <c r="U341" s="170">
        <v>17210.830000000002</v>
      </c>
      <c r="V341" s="170">
        <f t="shared" si="25"/>
        <v>15646.21</v>
      </c>
      <c r="W341" s="171">
        <v>4302.71</v>
      </c>
      <c r="X341" s="166">
        <v>54260</v>
      </c>
      <c r="Y341" s="170">
        <v>391.16</v>
      </c>
      <c r="Z341" s="168" t="s">
        <v>1053</v>
      </c>
      <c r="AA341" s="168"/>
      <c r="AB341" s="168">
        <v>65525899</v>
      </c>
      <c r="AC341" s="168"/>
      <c r="AD341" s="168" t="s">
        <v>1058</v>
      </c>
      <c r="AE341" s="168" t="s">
        <v>1059</v>
      </c>
      <c r="AF341" s="166" t="s">
        <v>284</v>
      </c>
      <c r="AG341" s="168"/>
      <c r="AH341" s="166" t="s">
        <v>1060</v>
      </c>
      <c r="AI341" s="168">
        <v>0</v>
      </c>
      <c r="AJ341" s="168">
        <v>0</v>
      </c>
      <c r="AP341" s="206"/>
      <c r="AQ341" s="207"/>
      <c r="AR341" s="207"/>
      <c r="AS341" s="207"/>
      <c r="AT341" s="208"/>
      <c r="AU341" s="207"/>
      <c r="AV341" s="208"/>
    </row>
    <row r="342" spans="1:48" s="205" customFormat="1" ht="15">
      <c r="A342" s="145"/>
      <c r="B342" s="166">
        <v>2183</v>
      </c>
      <c r="C342" s="167">
        <v>195950</v>
      </c>
      <c r="D342" s="166" t="s">
        <v>1053</v>
      </c>
      <c r="E342" s="168" t="s">
        <v>1439</v>
      </c>
      <c r="F342" s="166"/>
      <c r="G342" s="168"/>
      <c r="H342" s="168" t="s">
        <v>1453</v>
      </c>
      <c r="I342" s="168" t="s">
        <v>1172</v>
      </c>
      <c r="J342" s="168">
        <v>2018</v>
      </c>
      <c r="K342" s="168" t="s">
        <v>1196</v>
      </c>
      <c r="L342" s="168" t="s">
        <v>1220</v>
      </c>
      <c r="M342" s="168" t="s">
        <v>1152</v>
      </c>
      <c r="N342" s="169">
        <v>43220</v>
      </c>
      <c r="O342" s="169">
        <v>43220</v>
      </c>
      <c r="P342" s="168" t="s">
        <v>1445</v>
      </c>
      <c r="Q342" s="166">
        <v>1000</v>
      </c>
      <c r="R342" s="166">
        <v>14040</v>
      </c>
      <c r="S342" s="170">
        <v>339677.75</v>
      </c>
      <c r="T342" s="166">
        <v>14046</v>
      </c>
      <c r="U342" s="170">
        <v>121717.87</v>
      </c>
      <c r="V342" s="170">
        <f t="shared" si="25"/>
        <v>217959.88</v>
      </c>
      <c r="W342" s="171">
        <v>31137.13</v>
      </c>
      <c r="X342" s="166">
        <v>51260</v>
      </c>
      <c r="Y342" s="170">
        <v>2830.65</v>
      </c>
      <c r="Z342" s="168" t="s">
        <v>1053</v>
      </c>
      <c r="AA342" s="168"/>
      <c r="AB342" s="168" t="s">
        <v>1454</v>
      </c>
      <c r="AC342" s="168">
        <v>3671</v>
      </c>
      <c r="AD342" s="168" t="s">
        <v>1058</v>
      </c>
      <c r="AE342" s="168" t="s">
        <v>1059</v>
      </c>
      <c r="AF342" s="166" t="s">
        <v>284</v>
      </c>
      <c r="AG342" s="168"/>
      <c r="AH342" s="166" t="s">
        <v>1060</v>
      </c>
      <c r="AI342" s="168">
        <v>0</v>
      </c>
      <c r="AJ342" s="168">
        <v>0</v>
      </c>
      <c r="AP342" s="206"/>
      <c r="AQ342" s="207"/>
      <c r="AR342" s="207"/>
      <c r="AS342" s="207"/>
      <c r="AT342" s="208"/>
      <c r="AU342" s="207"/>
      <c r="AV342" s="208"/>
    </row>
    <row r="343" spans="1:48" s="205" customFormat="1" ht="15">
      <c r="A343" s="145"/>
      <c r="B343" s="166">
        <v>2183</v>
      </c>
      <c r="C343" s="167">
        <v>194075</v>
      </c>
      <c r="D343" s="166">
        <v>194074</v>
      </c>
      <c r="E343" s="168" t="s">
        <v>1455</v>
      </c>
      <c r="F343" s="166"/>
      <c r="G343" s="168"/>
      <c r="H343" s="168"/>
      <c r="I343" s="168" t="s">
        <v>1172</v>
      </c>
      <c r="J343" s="168">
        <v>0</v>
      </c>
      <c r="K343" s="168"/>
      <c r="L343" s="168" t="s">
        <v>1456</v>
      </c>
      <c r="M343" s="168" t="s">
        <v>1108</v>
      </c>
      <c r="N343" s="169">
        <v>43190</v>
      </c>
      <c r="O343" s="169">
        <v>43190</v>
      </c>
      <c r="P343" s="168" t="s">
        <v>1450</v>
      </c>
      <c r="Q343" s="166">
        <v>1000</v>
      </c>
      <c r="R343" s="166">
        <v>14040</v>
      </c>
      <c r="S343" s="170">
        <v>84963.78</v>
      </c>
      <c r="T343" s="166">
        <v>14046</v>
      </c>
      <c r="U343" s="170">
        <v>31153.39</v>
      </c>
      <c r="V343" s="170">
        <f t="shared" si="25"/>
        <v>53810.39</v>
      </c>
      <c r="W343" s="171">
        <v>7788.35</v>
      </c>
      <c r="X343" s="166">
        <v>51260</v>
      </c>
      <c r="Y343" s="170">
        <v>708.03</v>
      </c>
      <c r="Z343" s="168" t="s">
        <v>1053</v>
      </c>
      <c r="AA343" s="168"/>
      <c r="AB343" s="168">
        <v>4102490</v>
      </c>
      <c r="AC343" s="168"/>
      <c r="AD343" s="168" t="s">
        <v>1058</v>
      </c>
      <c r="AE343" s="168" t="s">
        <v>1059</v>
      </c>
      <c r="AF343" s="166" t="s">
        <v>284</v>
      </c>
      <c r="AG343" s="168"/>
      <c r="AH343" s="166" t="s">
        <v>1060</v>
      </c>
      <c r="AI343" s="168">
        <v>0</v>
      </c>
      <c r="AJ343" s="168">
        <v>0</v>
      </c>
      <c r="AP343" s="206"/>
      <c r="AQ343" s="207"/>
      <c r="AR343" s="207"/>
      <c r="AS343" s="207"/>
      <c r="AT343" s="208"/>
      <c r="AU343" s="207"/>
      <c r="AV343" s="208"/>
    </row>
    <row r="344" spans="1:48" s="205" customFormat="1" ht="15">
      <c r="A344" s="145"/>
      <c r="B344" s="166">
        <v>2183</v>
      </c>
      <c r="C344" s="167">
        <v>194074</v>
      </c>
      <c r="D344" s="166" t="s">
        <v>1053</v>
      </c>
      <c r="E344" s="168" t="s">
        <v>1457</v>
      </c>
      <c r="F344" s="166"/>
      <c r="G344" s="168"/>
      <c r="H344" s="168" t="s">
        <v>1458</v>
      </c>
      <c r="I344" s="168" t="s">
        <v>1172</v>
      </c>
      <c r="J344" s="168">
        <v>2018</v>
      </c>
      <c r="K344" s="168" t="s">
        <v>1196</v>
      </c>
      <c r="L344" s="168" t="s">
        <v>1459</v>
      </c>
      <c r="M344" s="168" t="s">
        <v>1198</v>
      </c>
      <c r="N344" s="169">
        <v>43190</v>
      </c>
      <c r="O344" s="169">
        <v>43190</v>
      </c>
      <c r="P344" s="168" t="s">
        <v>1460</v>
      </c>
      <c r="Q344" s="166">
        <v>1000</v>
      </c>
      <c r="R344" s="166">
        <v>14040</v>
      </c>
      <c r="S344" s="170">
        <v>99882.2</v>
      </c>
      <c r="T344" s="166">
        <v>14046</v>
      </c>
      <c r="U344" s="170">
        <v>36623.440000000002</v>
      </c>
      <c r="V344" s="170">
        <f t="shared" si="25"/>
        <v>63258.759999999995</v>
      </c>
      <c r="W344" s="171">
        <v>9155.86</v>
      </c>
      <c r="X344" s="166">
        <v>51260</v>
      </c>
      <c r="Y344" s="170">
        <v>832.35</v>
      </c>
      <c r="Z344" s="168" t="s">
        <v>1053</v>
      </c>
      <c r="AA344" s="168"/>
      <c r="AB344" s="168" t="s">
        <v>1461</v>
      </c>
      <c r="AC344" s="168">
        <v>1083</v>
      </c>
      <c r="AD344" s="168" t="s">
        <v>1058</v>
      </c>
      <c r="AE344" s="168" t="s">
        <v>1059</v>
      </c>
      <c r="AF344" s="166" t="s">
        <v>284</v>
      </c>
      <c r="AG344" s="168"/>
      <c r="AH344" s="166" t="s">
        <v>1060</v>
      </c>
      <c r="AI344" s="168">
        <v>0</v>
      </c>
      <c r="AJ344" s="168">
        <v>0</v>
      </c>
      <c r="AP344" s="206"/>
      <c r="AQ344" s="207"/>
      <c r="AR344" s="207"/>
      <c r="AS344" s="207"/>
      <c r="AT344" s="208"/>
      <c r="AU344" s="207"/>
      <c r="AV344" s="208"/>
    </row>
    <row r="345" spans="1:48" s="205" customFormat="1" ht="15">
      <c r="A345" s="145"/>
      <c r="B345" s="166">
        <v>2183</v>
      </c>
      <c r="C345" s="167">
        <v>193628</v>
      </c>
      <c r="D345" s="166" t="s">
        <v>1053</v>
      </c>
      <c r="E345" s="168" t="s">
        <v>794</v>
      </c>
      <c r="F345" s="166">
        <v>0</v>
      </c>
      <c r="G345" s="168"/>
      <c r="H345" s="168" t="s">
        <v>1462</v>
      </c>
      <c r="I345" s="168"/>
      <c r="J345" s="168">
        <v>1999</v>
      </c>
      <c r="K345" s="168" t="s">
        <v>1463</v>
      </c>
      <c r="L345" s="168" t="s">
        <v>1309</v>
      </c>
      <c r="M345" s="168" t="s">
        <v>1464</v>
      </c>
      <c r="N345" s="169">
        <v>39755</v>
      </c>
      <c r="O345" s="169">
        <v>39755</v>
      </c>
      <c r="P345" s="168"/>
      <c r="Q345" s="166">
        <v>300</v>
      </c>
      <c r="R345" s="166">
        <v>14040</v>
      </c>
      <c r="S345" s="170">
        <v>5500</v>
      </c>
      <c r="T345" s="166">
        <v>14046</v>
      </c>
      <c r="U345" s="170">
        <v>5500</v>
      </c>
      <c r="V345" s="170">
        <f t="shared" si="25"/>
        <v>0</v>
      </c>
      <c r="W345" s="171">
        <v>0</v>
      </c>
      <c r="X345" s="166">
        <v>51260</v>
      </c>
      <c r="Y345" s="170">
        <v>0</v>
      </c>
      <c r="Z345" s="168" t="s">
        <v>1059</v>
      </c>
      <c r="AA345" s="168" t="s">
        <v>1140</v>
      </c>
      <c r="AB345" s="168"/>
      <c r="AC345" s="168">
        <v>9576</v>
      </c>
      <c r="AD345" s="168" t="s">
        <v>1058</v>
      </c>
      <c r="AE345" s="168" t="s">
        <v>1059</v>
      </c>
      <c r="AF345" s="166" t="s">
        <v>284</v>
      </c>
      <c r="AG345" s="216">
        <v>43159</v>
      </c>
      <c r="AH345" s="166" t="s">
        <v>1060</v>
      </c>
      <c r="AI345" s="168">
        <v>0</v>
      </c>
      <c r="AJ345" s="168">
        <v>5500</v>
      </c>
      <c r="AP345" s="206"/>
      <c r="AQ345" s="207"/>
      <c r="AR345" s="207"/>
      <c r="AS345" s="207"/>
      <c r="AT345" s="208"/>
      <c r="AU345" s="207"/>
      <c r="AV345" s="208"/>
    </row>
    <row r="346" spans="1:48" s="205" customFormat="1" ht="15">
      <c r="A346" s="145"/>
      <c r="B346" s="166">
        <v>2183</v>
      </c>
      <c r="C346" s="167">
        <v>191901</v>
      </c>
      <c r="D346" s="166" t="s">
        <v>1053</v>
      </c>
      <c r="E346" s="168" t="s">
        <v>646</v>
      </c>
      <c r="F346" s="166"/>
      <c r="G346" s="168"/>
      <c r="H346" s="168"/>
      <c r="I346" s="168" t="s">
        <v>1172</v>
      </c>
      <c r="J346" s="168">
        <v>0</v>
      </c>
      <c r="K346" s="168" t="s">
        <v>1261</v>
      </c>
      <c r="L346" s="168"/>
      <c r="M346" s="168"/>
      <c r="N346" s="169">
        <v>43109</v>
      </c>
      <c r="O346" s="169">
        <v>43109</v>
      </c>
      <c r="P346" s="168" t="s">
        <v>1465</v>
      </c>
      <c r="Q346" s="166">
        <v>300</v>
      </c>
      <c r="R346" s="166">
        <v>14110</v>
      </c>
      <c r="S346" s="170">
        <v>1306.96</v>
      </c>
      <c r="T346" s="166">
        <v>14116</v>
      </c>
      <c r="U346" s="170">
        <v>1306.96</v>
      </c>
      <c r="V346" s="170">
        <f t="shared" si="25"/>
        <v>0</v>
      </c>
      <c r="W346" s="171">
        <v>0</v>
      </c>
      <c r="X346" s="166">
        <v>70260</v>
      </c>
      <c r="Y346" s="170">
        <v>0</v>
      </c>
      <c r="Z346" s="168" t="s">
        <v>1053</v>
      </c>
      <c r="AA346" s="168"/>
      <c r="AB346" s="168" t="s">
        <v>1466</v>
      </c>
      <c r="AC346" s="168"/>
      <c r="AD346" s="168" t="s">
        <v>1058</v>
      </c>
      <c r="AE346" s="168" t="s">
        <v>1059</v>
      </c>
      <c r="AF346" s="166" t="s">
        <v>284</v>
      </c>
      <c r="AG346" s="168"/>
      <c r="AH346" s="166" t="s">
        <v>1060</v>
      </c>
      <c r="AI346" s="168">
        <v>0</v>
      </c>
      <c r="AJ346" s="168">
        <v>0</v>
      </c>
      <c r="AP346" s="206"/>
      <c r="AQ346" s="207"/>
      <c r="AR346" s="207"/>
      <c r="AS346" s="207"/>
      <c r="AT346" s="208"/>
      <c r="AU346" s="207"/>
      <c r="AV346" s="208"/>
    </row>
    <row r="347" spans="1:48" s="205" customFormat="1" ht="15">
      <c r="A347" s="145"/>
      <c r="B347" s="166">
        <v>2183</v>
      </c>
      <c r="C347" s="167">
        <v>191852</v>
      </c>
      <c r="D347" s="166">
        <v>191688</v>
      </c>
      <c r="E347" s="168" t="s">
        <v>1467</v>
      </c>
      <c r="F347" s="166"/>
      <c r="G347" s="168"/>
      <c r="H347" s="168"/>
      <c r="I347" s="168" t="s">
        <v>1172</v>
      </c>
      <c r="J347" s="168">
        <v>0</v>
      </c>
      <c r="K347" s="168" t="s">
        <v>1220</v>
      </c>
      <c r="L347" s="168"/>
      <c r="M347" s="168" t="s">
        <v>1303</v>
      </c>
      <c r="N347" s="169">
        <v>43101</v>
      </c>
      <c r="O347" s="169">
        <v>43101</v>
      </c>
      <c r="P347" s="168" t="s">
        <v>1468</v>
      </c>
      <c r="Q347" s="166">
        <v>1000</v>
      </c>
      <c r="R347" s="166">
        <v>14040</v>
      </c>
      <c r="S347" s="170">
        <v>1003.93</v>
      </c>
      <c r="T347" s="166">
        <v>14046</v>
      </c>
      <c r="U347" s="170">
        <v>393.19</v>
      </c>
      <c r="V347" s="170">
        <f t="shared" si="25"/>
        <v>610.74</v>
      </c>
      <c r="W347" s="171">
        <v>92.02</v>
      </c>
      <c r="X347" s="166">
        <v>51260</v>
      </c>
      <c r="Y347" s="170">
        <v>8.36</v>
      </c>
      <c r="Z347" s="168" t="s">
        <v>1053</v>
      </c>
      <c r="AA347" s="168"/>
      <c r="AB347" s="168">
        <v>2661</v>
      </c>
      <c r="AC347" s="168"/>
      <c r="AD347" s="168" t="s">
        <v>1058</v>
      </c>
      <c r="AE347" s="168" t="s">
        <v>1059</v>
      </c>
      <c r="AF347" s="166" t="s">
        <v>284</v>
      </c>
      <c r="AG347" s="168"/>
      <c r="AH347" s="166" t="s">
        <v>1060</v>
      </c>
      <c r="AI347" s="168">
        <v>0</v>
      </c>
      <c r="AJ347" s="168">
        <v>0</v>
      </c>
      <c r="AP347" s="206"/>
      <c r="AQ347" s="207"/>
      <c r="AR347" s="207"/>
      <c r="AS347" s="207"/>
      <c r="AT347" s="208"/>
      <c r="AU347" s="207"/>
      <c r="AV347" s="208"/>
    </row>
    <row r="348" spans="1:48" s="205" customFormat="1" ht="15">
      <c r="A348" s="145"/>
      <c r="B348" s="166">
        <v>2183</v>
      </c>
      <c r="C348" s="167">
        <v>191688</v>
      </c>
      <c r="D348" s="166" t="s">
        <v>1053</v>
      </c>
      <c r="E348" s="168" t="s">
        <v>1439</v>
      </c>
      <c r="F348" s="166"/>
      <c r="G348" s="168"/>
      <c r="H348" s="168" t="s">
        <v>1469</v>
      </c>
      <c r="I348" s="168"/>
      <c r="J348" s="168">
        <v>2018</v>
      </c>
      <c r="K348" s="168" t="s">
        <v>1196</v>
      </c>
      <c r="L348" s="168" t="s">
        <v>1220</v>
      </c>
      <c r="M348" s="168" t="s">
        <v>1152</v>
      </c>
      <c r="N348" s="169">
        <v>43101</v>
      </c>
      <c r="O348" s="169">
        <v>43101</v>
      </c>
      <c r="P348" s="168" t="s">
        <v>1468</v>
      </c>
      <c r="Q348" s="166">
        <v>1000</v>
      </c>
      <c r="R348" s="166">
        <v>14040</v>
      </c>
      <c r="S348" s="170">
        <v>336750.81</v>
      </c>
      <c r="T348" s="166">
        <v>14046</v>
      </c>
      <c r="U348" s="170">
        <v>131894.06</v>
      </c>
      <c r="V348" s="170">
        <f t="shared" si="25"/>
        <v>204856.75</v>
      </c>
      <c r="W348" s="171">
        <v>30868.82</v>
      </c>
      <c r="X348" s="166">
        <v>51260</v>
      </c>
      <c r="Y348" s="170">
        <v>2806.25</v>
      </c>
      <c r="Z348" s="168" t="s">
        <v>1053</v>
      </c>
      <c r="AA348" s="168"/>
      <c r="AB348" s="168" t="s">
        <v>1470</v>
      </c>
      <c r="AC348" s="168">
        <v>3670</v>
      </c>
      <c r="AD348" s="168" t="s">
        <v>1058</v>
      </c>
      <c r="AE348" s="168" t="s">
        <v>1059</v>
      </c>
      <c r="AF348" s="166" t="s">
        <v>284</v>
      </c>
      <c r="AG348" s="168"/>
      <c r="AH348" s="166" t="s">
        <v>1060</v>
      </c>
      <c r="AI348" s="168">
        <v>0</v>
      </c>
      <c r="AJ348" s="168">
        <v>0</v>
      </c>
      <c r="AP348" s="206"/>
      <c r="AQ348" s="207"/>
      <c r="AR348" s="207"/>
      <c r="AS348" s="207"/>
      <c r="AT348" s="208"/>
      <c r="AU348" s="207"/>
      <c r="AV348" s="208"/>
    </row>
    <row r="349" spans="1:48" s="205" customFormat="1" ht="15">
      <c r="A349" s="145"/>
      <c r="B349" s="166">
        <v>2183</v>
      </c>
      <c r="C349" s="167">
        <v>191687</v>
      </c>
      <c r="D349" s="166">
        <v>114271</v>
      </c>
      <c r="E349" s="168" t="s">
        <v>715</v>
      </c>
      <c r="F349" s="166"/>
      <c r="G349" s="168"/>
      <c r="H349" s="168"/>
      <c r="I349" s="168"/>
      <c r="J349" s="168">
        <v>0</v>
      </c>
      <c r="K349" s="168"/>
      <c r="L349" s="168"/>
      <c r="M349" s="168" t="s">
        <v>1108</v>
      </c>
      <c r="N349" s="169">
        <v>43101</v>
      </c>
      <c r="O349" s="169">
        <v>43101</v>
      </c>
      <c r="P349" s="168" t="s">
        <v>1471</v>
      </c>
      <c r="Q349" s="166">
        <v>300</v>
      </c>
      <c r="R349" s="166">
        <v>14040</v>
      </c>
      <c r="S349" s="170">
        <v>60725.69</v>
      </c>
      <c r="T349" s="166">
        <v>14046</v>
      </c>
      <c r="U349" s="170">
        <v>60725.69</v>
      </c>
      <c r="V349" s="170">
        <f t="shared" si="25"/>
        <v>0</v>
      </c>
      <c r="W349" s="171">
        <v>0</v>
      </c>
      <c r="X349" s="166">
        <v>51260</v>
      </c>
      <c r="Y349" s="170">
        <v>0</v>
      </c>
      <c r="Z349" s="168" t="s">
        <v>1053</v>
      </c>
      <c r="AA349" s="168"/>
      <c r="AB349" s="168">
        <v>4102464</v>
      </c>
      <c r="AC349" s="168"/>
      <c r="AD349" s="168" t="s">
        <v>1058</v>
      </c>
      <c r="AE349" s="168" t="s">
        <v>1059</v>
      </c>
      <c r="AF349" s="166" t="s">
        <v>284</v>
      </c>
      <c r="AG349" s="168"/>
      <c r="AH349" s="166" t="s">
        <v>1060</v>
      </c>
      <c r="AI349" s="168">
        <v>0</v>
      </c>
      <c r="AJ349" s="168">
        <v>0</v>
      </c>
      <c r="AP349" s="206"/>
      <c r="AQ349" s="207"/>
      <c r="AR349" s="207"/>
      <c r="AS349" s="207"/>
      <c r="AT349" s="208"/>
      <c r="AU349" s="207"/>
      <c r="AV349" s="208"/>
    </row>
    <row r="350" spans="1:48" s="205" customFormat="1" ht="15">
      <c r="A350" s="145"/>
      <c r="B350" s="166">
        <v>2183</v>
      </c>
      <c r="C350" s="167">
        <v>191686</v>
      </c>
      <c r="D350" s="166" t="s">
        <v>1053</v>
      </c>
      <c r="E350" s="168" t="s">
        <v>1472</v>
      </c>
      <c r="F350" s="166"/>
      <c r="G350" s="168"/>
      <c r="H350" s="168" t="s">
        <v>1473</v>
      </c>
      <c r="I350" s="168"/>
      <c r="J350" s="168">
        <v>2018</v>
      </c>
      <c r="K350" s="168" t="s">
        <v>1196</v>
      </c>
      <c r="L350" s="168" t="s">
        <v>1243</v>
      </c>
      <c r="M350" s="168" t="s">
        <v>1244</v>
      </c>
      <c r="N350" s="169">
        <v>43101</v>
      </c>
      <c r="O350" s="169">
        <v>43101</v>
      </c>
      <c r="P350" s="168" t="s">
        <v>1474</v>
      </c>
      <c r="Q350" s="166">
        <v>1000</v>
      </c>
      <c r="R350" s="166">
        <v>14040</v>
      </c>
      <c r="S350" s="170">
        <v>150065.09</v>
      </c>
      <c r="T350" s="166">
        <v>14046</v>
      </c>
      <c r="U350" s="170">
        <v>58775.5</v>
      </c>
      <c r="V350" s="170">
        <f t="shared" si="25"/>
        <v>91289.59</v>
      </c>
      <c r="W350" s="171">
        <v>13755.97</v>
      </c>
      <c r="X350" s="166">
        <v>51260</v>
      </c>
      <c r="Y350" s="170">
        <v>1250.54</v>
      </c>
      <c r="Z350" s="168" t="s">
        <v>1053</v>
      </c>
      <c r="AA350" s="168"/>
      <c r="AB350" s="168">
        <v>4102492</v>
      </c>
      <c r="AC350" s="168">
        <v>4522</v>
      </c>
      <c r="AD350" s="168" t="s">
        <v>1058</v>
      </c>
      <c r="AE350" s="168" t="s">
        <v>1059</v>
      </c>
      <c r="AF350" s="166" t="s">
        <v>284</v>
      </c>
      <c r="AG350" s="168"/>
      <c r="AH350" s="166" t="s">
        <v>1060</v>
      </c>
      <c r="AI350" s="168">
        <v>0</v>
      </c>
      <c r="AJ350" s="168">
        <v>0</v>
      </c>
      <c r="AP350" s="206"/>
      <c r="AQ350" s="207"/>
      <c r="AR350" s="207"/>
      <c r="AS350" s="207"/>
      <c r="AT350" s="208"/>
      <c r="AU350" s="207"/>
      <c r="AV350" s="208"/>
    </row>
    <row r="351" spans="1:48" s="205" customFormat="1" ht="15">
      <c r="A351" s="145"/>
      <c r="B351" s="166">
        <v>2183</v>
      </c>
      <c r="C351" s="167">
        <v>190751</v>
      </c>
      <c r="D351" s="166" t="s">
        <v>1053</v>
      </c>
      <c r="E351" s="168" t="s">
        <v>622</v>
      </c>
      <c r="F351" s="166">
        <v>642</v>
      </c>
      <c r="G351" s="168"/>
      <c r="H351" s="168"/>
      <c r="I351" s="168" t="s">
        <v>1172</v>
      </c>
      <c r="J351" s="168">
        <v>0</v>
      </c>
      <c r="K351" s="168" t="s">
        <v>1475</v>
      </c>
      <c r="L351" s="168"/>
      <c r="M351" s="168"/>
      <c r="N351" s="169">
        <v>43054</v>
      </c>
      <c r="O351" s="169">
        <v>43054</v>
      </c>
      <c r="P351" s="168" t="s">
        <v>1476</v>
      </c>
      <c r="Q351" s="166">
        <v>700</v>
      </c>
      <c r="R351" s="166">
        <v>14050</v>
      </c>
      <c r="S351" s="170">
        <v>32805.43</v>
      </c>
      <c r="T351" s="166">
        <v>14056</v>
      </c>
      <c r="U351" s="170">
        <v>19136.5</v>
      </c>
      <c r="V351" s="170">
        <f t="shared" si="25"/>
        <v>13668.93</v>
      </c>
      <c r="W351" s="171">
        <v>4295.95</v>
      </c>
      <c r="X351" s="166">
        <v>54260</v>
      </c>
      <c r="Y351" s="170">
        <v>390.54</v>
      </c>
      <c r="Z351" s="168" t="s">
        <v>1053</v>
      </c>
      <c r="AA351" s="168"/>
      <c r="AB351" s="168">
        <v>65504137</v>
      </c>
      <c r="AC351" s="168"/>
      <c r="AD351" s="168" t="s">
        <v>1058</v>
      </c>
      <c r="AE351" s="168" t="s">
        <v>1059</v>
      </c>
      <c r="AF351" s="166" t="s">
        <v>284</v>
      </c>
      <c r="AG351" s="168"/>
      <c r="AH351" s="166" t="s">
        <v>1060</v>
      </c>
      <c r="AI351" s="168">
        <v>0</v>
      </c>
      <c r="AJ351" s="168">
        <v>0</v>
      </c>
      <c r="AP351" s="206"/>
      <c r="AQ351" s="207"/>
      <c r="AR351" s="207"/>
      <c r="AS351" s="207"/>
      <c r="AT351" s="208"/>
      <c r="AU351" s="207"/>
      <c r="AV351" s="208"/>
    </row>
    <row r="352" spans="1:48" s="205" customFormat="1" ht="15">
      <c r="A352" s="145"/>
      <c r="B352" s="166">
        <v>2183</v>
      </c>
      <c r="C352" s="167">
        <v>190473</v>
      </c>
      <c r="D352" s="166" t="s">
        <v>1053</v>
      </c>
      <c r="E352" s="168" t="s">
        <v>718</v>
      </c>
      <c r="F352" s="166">
        <v>432</v>
      </c>
      <c r="G352" s="168"/>
      <c r="H352" s="168"/>
      <c r="I352" s="168" t="s">
        <v>1172</v>
      </c>
      <c r="J352" s="168">
        <v>0</v>
      </c>
      <c r="K352" s="168" t="s">
        <v>1475</v>
      </c>
      <c r="L352" s="168"/>
      <c r="M352" s="168"/>
      <c r="N352" s="169">
        <v>43054</v>
      </c>
      <c r="O352" s="169">
        <v>43054</v>
      </c>
      <c r="P352" s="168" t="s">
        <v>1476</v>
      </c>
      <c r="Q352" s="166">
        <v>700</v>
      </c>
      <c r="R352" s="166">
        <v>14050</v>
      </c>
      <c r="S352" s="170">
        <v>19630.52</v>
      </c>
      <c r="T352" s="166">
        <v>14056</v>
      </c>
      <c r="U352" s="170">
        <v>11451.13</v>
      </c>
      <c r="V352" s="170">
        <f t="shared" si="25"/>
        <v>8179.3900000000012</v>
      </c>
      <c r="W352" s="171">
        <v>2570.66</v>
      </c>
      <c r="X352" s="166">
        <v>54260</v>
      </c>
      <c r="Y352" s="170">
        <v>233.69</v>
      </c>
      <c r="Z352" s="168" t="s">
        <v>1053</v>
      </c>
      <c r="AA352" s="168"/>
      <c r="AB352" s="168">
        <v>65540355</v>
      </c>
      <c r="AC352" s="168"/>
      <c r="AD352" s="168" t="s">
        <v>1058</v>
      </c>
      <c r="AE352" s="168" t="s">
        <v>1059</v>
      </c>
      <c r="AF352" s="166" t="s">
        <v>284</v>
      </c>
      <c r="AG352" s="168"/>
      <c r="AH352" s="166" t="s">
        <v>1060</v>
      </c>
      <c r="AI352" s="168">
        <v>0</v>
      </c>
      <c r="AJ352" s="168">
        <v>0</v>
      </c>
      <c r="AP352" s="206"/>
      <c r="AQ352" s="207"/>
      <c r="AR352" s="207"/>
      <c r="AS352" s="207"/>
      <c r="AT352" s="208"/>
      <c r="AU352" s="207"/>
      <c r="AV352" s="208"/>
    </row>
    <row r="353" spans="1:48" s="205" customFormat="1" ht="15">
      <c r="A353" s="145"/>
      <c r="B353" s="166">
        <v>2183</v>
      </c>
      <c r="C353" s="167">
        <v>190472</v>
      </c>
      <c r="D353" s="166" t="s">
        <v>1053</v>
      </c>
      <c r="E353" s="168" t="s">
        <v>616</v>
      </c>
      <c r="F353" s="166">
        <v>312</v>
      </c>
      <c r="G353" s="168"/>
      <c r="H353" s="168"/>
      <c r="I353" s="168" t="s">
        <v>1172</v>
      </c>
      <c r="J353" s="168">
        <v>0</v>
      </c>
      <c r="K353" s="168" t="s">
        <v>1475</v>
      </c>
      <c r="L353" s="168"/>
      <c r="M353" s="168"/>
      <c r="N353" s="169">
        <v>43054</v>
      </c>
      <c r="O353" s="169">
        <v>43054</v>
      </c>
      <c r="P353" s="168" t="s">
        <v>1476</v>
      </c>
      <c r="Q353" s="166">
        <v>700</v>
      </c>
      <c r="R353" s="166">
        <v>14050</v>
      </c>
      <c r="S353" s="170">
        <v>16402.71</v>
      </c>
      <c r="T353" s="166">
        <v>14056</v>
      </c>
      <c r="U353" s="170">
        <v>9568.27</v>
      </c>
      <c r="V353" s="170">
        <f t="shared" si="25"/>
        <v>6834.4399999999987</v>
      </c>
      <c r="W353" s="171">
        <v>2147.98</v>
      </c>
      <c r="X353" s="166">
        <v>54260</v>
      </c>
      <c r="Y353" s="170">
        <v>195.27</v>
      </c>
      <c r="Z353" s="168" t="s">
        <v>1053</v>
      </c>
      <c r="AA353" s="168"/>
      <c r="AB353" s="168">
        <v>65540355</v>
      </c>
      <c r="AC353" s="168"/>
      <c r="AD353" s="168" t="s">
        <v>1058</v>
      </c>
      <c r="AE353" s="168" t="s">
        <v>1059</v>
      </c>
      <c r="AF353" s="166" t="s">
        <v>284</v>
      </c>
      <c r="AG353" s="168"/>
      <c r="AH353" s="166" t="s">
        <v>1060</v>
      </c>
      <c r="AI353" s="168">
        <v>0</v>
      </c>
      <c r="AJ353" s="168">
        <v>0</v>
      </c>
      <c r="AP353" s="206"/>
      <c r="AQ353" s="207"/>
      <c r="AR353" s="207"/>
      <c r="AS353" s="207"/>
      <c r="AT353" s="208"/>
      <c r="AU353" s="207"/>
      <c r="AV353" s="208"/>
    </row>
    <row r="354" spans="1:48" s="205" customFormat="1" ht="15">
      <c r="A354" s="145"/>
      <c r="B354" s="166">
        <v>2183</v>
      </c>
      <c r="C354" s="167">
        <v>189053</v>
      </c>
      <c r="D354" s="166" t="s">
        <v>1053</v>
      </c>
      <c r="E354" s="168" t="s">
        <v>615</v>
      </c>
      <c r="F354" s="166">
        <v>945</v>
      </c>
      <c r="G354" s="168"/>
      <c r="H354" s="168"/>
      <c r="I354" s="168" t="s">
        <v>1172</v>
      </c>
      <c r="J354" s="168">
        <v>0</v>
      </c>
      <c r="K354" s="168" t="s">
        <v>1241</v>
      </c>
      <c r="L354" s="168"/>
      <c r="M354" s="168"/>
      <c r="N354" s="169">
        <v>43054</v>
      </c>
      <c r="O354" s="169">
        <v>43054</v>
      </c>
      <c r="P354" s="168" t="s">
        <v>1476</v>
      </c>
      <c r="Q354" s="166">
        <v>700</v>
      </c>
      <c r="R354" s="166">
        <v>14050</v>
      </c>
      <c r="S354" s="170">
        <v>38070.199999999997</v>
      </c>
      <c r="T354" s="166">
        <v>14056</v>
      </c>
      <c r="U354" s="170">
        <v>22207.61</v>
      </c>
      <c r="V354" s="170">
        <f t="shared" si="25"/>
        <v>15862.589999999997</v>
      </c>
      <c r="W354" s="171">
        <v>4985.38</v>
      </c>
      <c r="X354" s="166">
        <v>54260</v>
      </c>
      <c r="Y354" s="170">
        <v>453.21</v>
      </c>
      <c r="Z354" s="168" t="s">
        <v>1053</v>
      </c>
      <c r="AA354" s="168"/>
      <c r="AB354" s="168">
        <v>65504842</v>
      </c>
      <c r="AC354" s="168"/>
      <c r="AD354" s="168" t="s">
        <v>1058</v>
      </c>
      <c r="AE354" s="168" t="s">
        <v>1059</v>
      </c>
      <c r="AF354" s="166" t="s">
        <v>284</v>
      </c>
      <c r="AG354" s="168"/>
      <c r="AH354" s="166" t="s">
        <v>1060</v>
      </c>
      <c r="AI354" s="168">
        <v>0</v>
      </c>
      <c r="AJ354" s="168">
        <v>0</v>
      </c>
      <c r="AP354" s="206"/>
      <c r="AQ354" s="207"/>
      <c r="AR354" s="207"/>
      <c r="AS354" s="207"/>
      <c r="AT354" s="208"/>
      <c r="AU354" s="207"/>
      <c r="AV354" s="208"/>
    </row>
    <row r="355" spans="1:48" s="205" customFormat="1" ht="15">
      <c r="A355" s="145"/>
      <c r="B355" s="166">
        <v>2183</v>
      </c>
      <c r="C355" s="167">
        <v>188510</v>
      </c>
      <c r="D355" s="166" t="s">
        <v>1053</v>
      </c>
      <c r="E355" s="168" t="s">
        <v>722</v>
      </c>
      <c r="F355" s="166">
        <v>30</v>
      </c>
      <c r="G355" s="168"/>
      <c r="H355" s="168"/>
      <c r="I355" s="168" t="s">
        <v>1172</v>
      </c>
      <c r="J355" s="168">
        <v>0</v>
      </c>
      <c r="K355" s="168" t="s">
        <v>1155</v>
      </c>
      <c r="L355" s="168"/>
      <c r="M355" s="168" t="s">
        <v>1136</v>
      </c>
      <c r="N355" s="169">
        <v>43039</v>
      </c>
      <c r="O355" s="169">
        <v>43039</v>
      </c>
      <c r="P355" s="168" t="s">
        <v>1477</v>
      </c>
      <c r="Q355" s="166">
        <v>1200</v>
      </c>
      <c r="R355" s="166">
        <v>14050</v>
      </c>
      <c r="S355" s="170">
        <v>16171.66</v>
      </c>
      <c r="T355" s="166">
        <v>14056</v>
      </c>
      <c r="U355" s="170">
        <v>5502.87</v>
      </c>
      <c r="V355" s="170">
        <f t="shared" si="25"/>
        <v>10668.79</v>
      </c>
      <c r="W355" s="171">
        <v>1235.3399999999999</v>
      </c>
      <c r="X355" s="166">
        <v>54260</v>
      </c>
      <c r="Y355" s="170">
        <v>112.31</v>
      </c>
      <c r="Z355" s="168" t="s">
        <v>1053</v>
      </c>
      <c r="AA355" s="168"/>
      <c r="AB355" s="168">
        <v>134932</v>
      </c>
      <c r="AC355" s="168"/>
      <c r="AD355" s="168" t="s">
        <v>1058</v>
      </c>
      <c r="AE355" s="168" t="s">
        <v>1059</v>
      </c>
      <c r="AF355" s="166" t="s">
        <v>284</v>
      </c>
      <c r="AG355" s="168"/>
      <c r="AH355" s="166" t="s">
        <v>1060</v>
      </c>
      <c r="AI355" s="168">
        <v>0</v>
      </c>
      <c r="AJ355" s="168">
        <v>0</v>
      </c>
      <c r="AP355" s="206"/>
      <c r="AQ355" s="207"/>
      <c r="AR355" s="207"/>
      <c r="AS355" s="207"/>
      <c r="AT355" s="208"/>
      <c r="AU355" s="207"/>
      <c r="AV355" s="208"/>
    </row>
    <row r="356" spans="1:48" s="205" customFormat="1" ht="15">
      <c r="A356" s="145"/>
      <c r="B356" s="166">
        <v>2183</v>
      </c>
      <c r="C356" s="167">
        <v>188327</v>
      </c>
      <c r="D356" s="166" t="s">
        <v>1053</v>
      </c>
      <c r="E356" s="168" t="s">
        <v>615</v>
      </c>
      <c r="F356" s="166">
        <v>945</v>
      </c>
      <c r="G356" s="168"/>
      <c r="H356" s="168"/>
      <c r="I356" s="168" t="s">
        <v>1172</v>
      </c>
      <c r="J356" s="168">
        <v>0</v>
      </c>
      <c r="K356" s="168" t="s">
        <v>1241</v>
      </c>
      <c r="L356" s="168"/>
      <c r="M356" s="168"/>
      <c r="N356" s="169">
        <v>43017</v>
      </c>
      <c r="O356" s="169">
        <v>43017</v>
      </c>
      <c r="P356" s="168" t="s">
        <v>1478</v>
      </c>
      <c r="Q356" s="166">
        <v>700</v>
      </c>
      <c r="R356" s="166">
        <v>14050</v>
      </c>
      <c r="S356" s="170">
        <v>38070.199999999997</v>
      </c>
      <c r="T356" s="166">
        <v>14056</v>
      </c>
      <c r="U356" s="170">
        <v>22660.83</v>
      </c>
      <c r="V356" s="170">
        <f t="shared" si="25"/>
        <v>15409.369999999995</v>
      </c>
      <c r="W356" s="171">
        <v>4985.38</v>
      </c>
      <c r="X356" s="166">
        <v>54260</v>
      </c>
      <c r="Y356" s="170">
        <v>453.21</v>
      </c>
      <c r="Z356" s="168" t="s">
        <v>1053</v>
      </c>
      <c r="AA356" s="168"/>
      <c r="AB356" s="168">
        <v>65499877</v>
      </c>
      <c r="AC356" s="168"/>
      <c r="AD356" s="168" t="s">
        <v>1058</v>
      </c>
      <c r="AE356" s="168" t="s">
        <v>1059</v>
      </c>
      <c r="AF356" s="166" t="s">
        <v>284</v>
      </c>
      <c r="AG356" s="168"/>
      <c r="AH356" s="166" t="s">
        <v>1060</v>
      </c>
      <c r="AI356" s="168">
        <v>0</v>
      </c>
      <c r="AJ356" s="168">
        <v>0</v>
      </c>
      <c r="AP356" s="206"/>
      <c r="AQ356" s="207"/>
      <c r="AR356" s="207"/>
      <c r="AS356" s="207"/>
      <c r="AT356" s="208"/>
      <c r="AU356" s="207"/>
      <c r="AV356" s="208"/>
    </row>
    <row r="357" spans="1:48" s="205" customFormat="1" ht="15">
      <c r="A357" s="145"/>
      <c r="B357" s="166">
        <v>2183</v>
      </c>
      <c r="C357" s="167">
        <v>187607</v>
      </c>
      <c r="D357" s="166" t="s">
        <v>1053</v>
      </c>
      <c r="E357" s="168" t="s">
        <v>1439</v>
      </c>
      <c r="F357" s="166"/>
      <c r="G357" s="168"/>
      <c r="H357" s="168" t="s">
        <v>1479</v>
      </c>
      <c r="I357" s="168"/>
      <c r="J357" s="168">
        <v>2018</v>
      </c>
      <c r="K357" s="168" t="s">
        <v>1196</v>
      </c>
      <c r="L357" s="168" t="s">
        <v>1220</v>
      </c>
      <c r="M357" s="168" t="s">
        <v>1152</v>
      </c>
      <c r="N357" s="169">
        <v>43039</v>
      </c>
      <c r="O357" s="169">
        <v>43039</v>
      </c>
      <c r="P357" s="168" t="s">
        <v>1480</v>
      </c>
      <c r="Q357" s="166">
        <v>1000</v>
      </c>
      <c r="R357" s="166">
        <v>14040</v>
      </c>
      <c r="S357" s="170">
        <v>336704.5</v>
      </c>
      <c r="T357" s="166">
        <v>14046</v>
      </c>
      <c r="U357" s="170">
        <v>137487.67000000001</v>
      </c>
      <c r="V357" s="170">
        <f t="shared" si="25"/>
        <v>199216.83</v>
      </c>
      <c r="W357" s="171">
        <v>30864.58</v>
      </c>
      <c r="X357" s="166">
        <v>51260</v>
      </c>
      <c r="Y357" s="170">
        <v>2805.87</v>
      </c>
      <c r="Z357" s="168" t="s">
        <v>1053</v>
      </c>
      <c r="AA357" s="168"/>
      <c r="AB357" s="168" t="s">
        <v>1481</v>
      </c>
      <c r="AC357" s="168">
        <v>3664</v>
      </c>
      <c r="AD357" s="168" t="s">
        <v>1058</v>
      </c>
      <c r="AE357" s="168" t="s">
        <v>1059</v>
      </c>
      <c r="AF357" s="166" t="s">
        <v>284</v>
      </c>
      <c r="AG357" s="168"/>
      <c r="AH357" s="166" t="s">
        <v>1060</v>
      </c>
      <c r="AI357" s="168">
        <v>0</v>
      </c>
      <c r="AJ357" s="168">
        <v>0</v>
      </c>
      <c r="AP357" s="206"/>
      <c r="AQ357" s="207"/>
      <c r="AR357" s="207"/>
      <c r="AS357" s="207"/>
      <c r="AT357" s="208"/>
      <c r="AU357" s="207"/>
      <c r="AV357" s="208"/>
    </row>
    <row r="358" spans="1:48" s="205" customFormat="1" ht="15">
      <c r="A358" s="145"/>
      <c r="B358" s="166">
        <v>2183</v>
      </c>
      <c r="C358" s="167">
        <v>187606</v>
      </c>
      <c r="D358" s="166" t="s">
        <v>1053</v>
      </c>
      <c r="E358" s="168" t="s">
        <v>1439</v>
      </c>
      <c r="F358" s="166"/>
      <c r="G358" s="168"/>
      <c r="H358" s="168" t="s">
        <v>1482</v>
      </c>
      <c r="I358" s="168"/>
      <c r="J358" s="168">
        <v>2018</v>
      </c>
      <c r="K358" s="168" t="s">
        <v>1196</v>
      </c>
      <c r="L358" s="168" t="s">
        <v>1220</v>
      </c>
      <c r="M358" s="168" t="s">
        <v>1152</v>
      </c>
      <c r="N358" s="169">
        <v>43039</v>
      </c>
      <c r="O358" s="169">
        <v>43039</v>
      </c>
      <c r="P358" s="168" t="s">
        <v>1483</v>
      </c>
      <c r="Q358" s="166">
        <v>1000</v>
      </c>
      <c r="R358" s="166">
        <v>14040</v>
      </c>
      <c r="S358" s="170">
        <v>337878.55</v>
      </c>
      <c r="T358" s="166">
        <v>14046</v>
      </c>
      <c r="U358" s="170">
        <v>137967.1</v>
      </c>
      <c r="V358" s="170">
        <f t="shared" si="25"/>
        <v>199911.44999999998</v>
      </c>
      <c r="W358" s="171">
        <v>30972.21</v>
      </c>
      <c r="X358" s="166">
        <v>51260</v>
      </c>
      <c r="Y358" s="170">
        <v>2815.66</v>
      </c>
      <c r="Z358" s="168" t="s">
        <v>1053</v>
      </c>
      <c r="AA358" s="168"/>
      <c r="AB358" s="168" t="s">
        <v>1484</v>
      </c>
      <c r="AC358" s="168">
        <v>3663</v>
      </c>
      <c r="AD358" s="168" t="s">
        <v>1058</v>
      </c>
      <c r="AE358" s="168" t="s">
        <v>1059</v>
      </c>
      <c r="AF358" s="166" t="s">
        <v>284</v>
      </c>
      <c r="AG358" s="168"/>
      <c r="AH358" s="166" t="s">
        <v>1060</v>
      </c>
      <c r="AI358" s="168">
        <v>0</v>
      </c>
      <c r="AJ358" s="168">
        <v>0</v>
      </c>
      <c r="AP358" s="206"/>
      <c r="AQ358" s="207"/>
      <c r="AR358" s="207"/>
      <c r="AS358" s="207"/>
      <c r="AT358" s="208"/>
      <c r="AU358" s="207"/>
      <c r="AV358" s="208"/>
    </row>
    <row r="359" spans="1:48" s="205" customFormat="1" ht="15">
      <c r="A359" s="145"/>
      <c r="B359" s="166">
        <v>2183</v>
      </c>
      <c r="C359" s="167">
        <v>187605</v>
      </c>
      <c r="D359" s="166" t="s">
        <v>1053</v>
      </c>
      <c r="E359" s="168" t="s">
        <v>1439</v>
      </c>
      <c r="F359" s="166"/>
      <c r="G359" s="168"/>
      <c r="H359" s="168" t="s">
        <v>1485</v>
      </c>
      <c r="I359" s="168"/>
      <c r="J359" s="168">
        <v>2018</v>
      </c>
      <c r="K359" s="168" t="s">
        <v>1196</v>
      </c>
      <c r="L359" s="168" t="s">
        <v>1220</v>
      </c>
      <c r="M359" s="168" t="s">
        <v>1152</v>
      </c>
      <c r="N359" s="169">
        <v>43039</v>
      </c>
      <c r="O359" s="169">
        <v>43039</v>
      </c>
      <c r="P359" s="168" t="s">
        <v>1486</v>
      </c>
      <c r="Q359" s="166">
        <v>1000</v>
      </c>
      <c r="R359" s="166">
        <v>14040</v>
      </c>
      <c r="S359" s="170">
        <v>337983.11</v>
      </c>
      <c r="T359" s="166">
        <v>14046</v>
      </c>
      <c r="U359" s="170">
        <v>138009.76</v>
      </c>
      <c r="V359" s="170">
        <f t="shared" si="25"/>
        <v>199973.34999999998</v>
      </c>
      <c r="W359" s="171">
        <v>30981.78</v>
      </c>
      <c r="X359" s="166">
        <v>51260</v>
      </c>
      <c r="Y359" s="170">
        <v>2816.52</v>
      </c>
      <c r="Z359" s="168" t="s">
        <v>1053</v>
      </c>
      <c r="AA359" s="168"/>
      <c r="AB359" s="168" t="s">
        <v>1487</v>
      </c>
      <c r="AC359" s="168">
        <v>3662</v>
      </c>
      <c r="AD359" s="168" t="s">
        <v>1058</v>
      </c>
      <c r="AE359" s="168" t="s">
        <v>1059</v>
      </c>
      <c r="AF359" s="166" t="s">
        <v>284</v>
      </c>
      <c r="AG359" s="168"/>
      <c r="AH359" s="166" t="s">
        <v>1060</v>
      </c>
      <c r="AI359" s="168">
        <v>0</v>
      </c>
      <c r="AJ359" s="168">
        <v>0</v>
      </c>
      <c r="AP359" s="206"/>
      <c r="AQ359" s="207"/>
      <c r="AR359" s="207"/>
      <c r="AS359" s="207"/>
      <c r="AT359" s="208"/>
      <c r="AU359" s="207"/>
      <c r="AV359" s="208"/>
    </row>
    <row r="360" spans="1:48" s="205" customFormat="1" ht="15">
      <c r="A360" s="145"/>
      <c r="B360" s="166">
        <v>2183</v>
      </c>
      <c r="C360" s="167">
        <v>187522</v>
      </c>
      <c r="D360" s="166" t="s">
        <v>1053</v>
      </c>
      <c r="E360" s="168" t="s">
        <v>720</v>
      </c>
      <c r="F360" s="166">
        <v>624</v>
      </c>
      <c r="G360" s="168"/>
      <c r="H360" s="168"/>
      <c r="I360" s="168" t="s">
        <v>1172</v>
      </c>
      <c r="J360" s="168">
        <v>0</v>
      </c>
      <c r="K360" s="168" t="s">
        <v>1241</v>
      </c>
      <c r="L360" s="168"/>
      <c r="M360" s="168"/>
      <c r="N360" s="169">
        <v>43017</v>
      </c>
      <c r="O360" s="169">
        <v>43017</v>
      </c>
      <c r="P360" s="168" t="s">
        <v>1478</v>
      </c>
      <c r="Q360" s="166">
        <v>700</v>
      </c>
      <c r="R360" s="166">
        <v>14050</v>
      </c>
      <c r="S360" s="170">
        <v>32805.43</v>
      </c>
      <c r="T360" s="166">
        <v>14056</v>
      </c>
      <c r="U360" s="170">
        <v>19527.04</v>
      </c>
      <c r="V360" s="170">
        <f t="shared" si="25"/>
        <v>13278.39</v>
      </c>
      <c r="W360" s="171">
        <v>4295.95</v>
      </c>
      <c r="X360" s="166">
        <v>54260</v>
      </c>
      <c r="Y360" s="170">
        <v>390.54</v>
      </c>
      <c r="Z360" s="168" t="s">
        <v>1053</v>
      </c>
      <c r="AA360" s="168"/>
      <c r="AB360" s="168">
        <v>65497160</v>
      </c>
      <c r="AC360" s="168"/>
      <c r="AD360" s="168" t="s">
        <v>1058</v>
      </c>
      <c r="AE360" s="168" t="s">
        <v>1059</v>
      </c>
      <c r="AF360" s="166" t="s">
        <v>284</v>
      </c>
      <c r="AG360" s="168"/>
      <c r="AH360" s="166" t="s">
        <v>1060</v>
      </c>
      <c r="AI360" s="168">
        <v>0</v>
      </c>
      <c r="AJ360" s="168">
        <v>0</v>
      </c>
      <c r="AP360" s="206"/>
      <c r="AQ360" s="207"/>
      <c r="AR360" s="207"/>
      <c r="AS360" s="207"/>
      <c r="AT360" s="208"/>
      <c r="AU360" s="207"/>
      <c r="AV360" s="208"/>
    </row>
    <row r="361" spans="1:48" s="205" customFormat="1" ht="15">
      <c r="A361" s="145"/>
      <c r="B361" s="166">
        <v>2183</v>
      </c>
      <c r="C361" s="167">
        <v>187521</v>
      </c>
      <c r="D361" s="166" t="s">
        <v>1053</v>
      </c>
      <c r="E361" s="168" t="s">
        <v>720</v>
      </c>
      <c r="F361" s="166">
        <v>624</v>
      </c>
      <c r="G361" s="168"/>
      <c r="H361" s="168"/>
      <c r="I361" s="168" t="s">
        <v>1172</v>
      </c>
      <c r="J361" s="168">
        <v>0</v>
      </c>
      <c r="K361" s="168" t="s">
        <v>1241</v>
      </c>
      <c r="L361" s="168"/>
      <c r="M361" s="168"/>
      <c r="N361" s="169">
        <v>43017</v>
      </c>
      <c r="O361" s="169">
        <v>43017</v>
      </c>
      <c r="P361" s="168" t="s">
        <v>1478</v>
      </c>
      <c r="Q361" s="166">
        <v>700</v>
      </c>
      <c r="R361" s="166">
        <v>14050</v>
      </c>
      <c r="S361" s="170">
        <v>32805.43</v>
      </c>
      <c r="T361" s="166">
        <v>14056</v>
      </c>
      <c r="U361" s="170">
        <v>19527.04</v>
      </c>
      <c r="V361" s="170">
        <f t="shared" si="25"/>
        <v>13278.39</v>
      </c>
      <c r="W361" s="171">
        <v>4295.95</v>
      </c>
      <c r="X361" s="166">
        <v>54260</v>
      </c>
      <c r="Y361" s="170">
        <v>390.54</v>
      </c>
      <c r="Z361" s="168" t="s">
        <v>1053</v>
      </c>
      <c r="AA361" s="168"/>
      <c r="AB361" s="168">
        <v>65497087</v>
      </c>
      <c r="AC361" s="168"/>
      <c r="AD361" s="168" t="s">
        <v>1058</v>
      </c>
      <c r="AE361" s="168" t="s">
        <v>1059</v>
      </c>
      <c r="AF361" s="166" t="s">
        <v>284</v>
      </c>
      <c r="AG361" s="168"/>
      <c r="AH361" s="166" t="s">
        <v>1060</v>
      </c>
      <c r="AI361" s="168">
        <v>0</v>
      </c>
      <c r="AJ361" s="168">
        <v>0</v>
      </c>
      <c r="AP361" s="206"/>
      <c r="AQ361" s="207"/>
      <c r="AR361" s="207"/>
      <c r="AS361" s="207"/>
      <c r="AT361" s="208"/>
      <c r="AU361" s="207"/>
      <c r="AV361" s="208"/>
    </row>
    <row r="362" spans="1:48" s="205" customFormat="1" ht="15">
      <c r="A362" s="145"/>
      <c r="B362" s="166">
        <v>2183</v>
      </c>
      <c r="C362" s="167">
        <v>187206</v>
      </c>
      <c r="D362" s="166" t="s">
        <v>1053</v>
      </c>
      <c r="E362" s="168" t="s">
        <v>721</v>
      </c>
      <c r="F362" s="166">
        <v>3</v>
      </c>
      <c r="G362" s="168"/>
      <c r="H362" s="168"/>
      <c r="I362" s="168" t="s">
        <v>1172</v>
      </c>
      <c r="J362" s="168">
        <v>0</v>
      </c>
      <c r="K362" s="168" t="s">
        <v>1155</v>
      </c>
      <c r="L362" s="168"/>
      <c r="M362" s="168" t="s">
        <v>1145</v>
      </c>
      <c r="N362" s="169">
        <v>42993</v>
      </c>
      <c r="O362" s="169">
        <v>42993</v>
      </c>
      <c r="P362" s="168" t="s">
        <v>1488</v>
      </c>
      <c r="Q362" s="166">
        <v>1200</v>
      </c>
      <c r="R362" s="166">
        <v>14050</v>
      </c>
      <c r="S362" s="170">
        <v>18525</v>
      </c>
      <c r="T362" s="166">
        <v>14056</v>
      </c>
      <c r="U362" s="170">
        <v>6560.93</v>
      </c>
      <c r="V362" s="170">
        <f t="shared" si="25"/>
        <v>11964.07</v>
      </c>
      <c r="W362" s="171">
        <v>1415.1</v>
      </c>
      <c r="X362" s="166">
        <v>54260</v>
      </c>
      <c r="Y362" s="170">
        <v>128.63999999999999</v>
      </c>
      <c r="Z362" s="168" t="s">
        <v>1053</v>
      </c>
      <c r="AA362" s="168"/>
      <c r="AB362" s="168">
        <v>133338</v>
      </c>
      <c r="AC362" s="168"/>
      <c r="AD362" s="168" t="s">
        <v>1058</v>
      </c>
      <c r="AE362" s="168" t="s">
        <v>1059</v>
      </c>
      <c r="AF362" s="166" t="s">
        <v>284</v>
      </c>
      <c r="AG362" s="168"/>
      <c r="AH362" s="166" t="s">
        <v>1060</v>
      </c>
      <c r="AI362" s="168">
        <v>0</v>
      </c>
      <c r="AJ362" s="168">
        <v>0</v>
      </c>
      <c r="AP362" s="206"/>
      <c r="AQ362" s="207"/>
      <c r="AR362" s="207"/>
      <c r="AS362" s="207"/>
      <c r="AT362" s="208"/>
      <c r="AU362" s="207"/>
      <c r="AV362" s="208"/>
    </row>
    <row r="363" spans="1:48" s="205" customFormat="1" ht="15">
      <c r="A363" s="145"/>
      <c r="B363" s="166">
        <v>2183</v>
      </c>
      <c r="C363" s="167">
        <v>186461</v>
      </c>
      <c r="D363" s="166" t="s">
        <v>1053</v>
      </c>
      <c r="E363" s="168" t="s">
        <v>1489</v>
      </c>
      <c r="F363" s="166">
        <v>3</v>
      </c>
      <c r="G363" s="168"/>
      <c r="H363" s="168"/>
      <c r="I363" s="168" t="s">
        <v>1172</v>
      </c>
      <c r="J363" s="168">
        <v>0</v>
      </c>
      <c r="K363" s="168" t="s">
        <v>1155</v>
      </c>
      <c r="L363" s="168"/>
      <c r="M363" s="168" t="s">
        <v>1145</v>
      </c>
      <c r="N363" s="169">
        <v>42993</v>
      </c>
      <c r="O363" s="169">
        <v>42993</v>
      </c>
      <c r="P363" s="168" t="s">
        <v>1488</v>
      </c>
      <c r="Q363" s="166">
        <v>1200</v>
      </c>
      <c r="R363" s="166">
        <v>14050</v>
      </c>
      <c r="S363" s="170">
        <v>18525</v>
      </c>
      <c r="T363" s="166">
        <v>14056</v>
      </c>
      <c r="U363" s="170">
        <v>6560.93</v>
      </c>
      <c r="V363" s="170">
        <f t="shared" si="25"/>
        <v>11964.07</v>
      </c>
      <c r="W363" s="171">
        <v>1415.1</v>
      </c>
      <c r="X363" s="166">
        <v>54260</v>
      </c>
      <c r="Y363" s="170">
        <v>128.63999999999999</v>
      </c>
      <c r="Z363" s="168" t="s">
        <v>1053</v>
      </c>
      <c r="AA363" s="168"/>
      <c r="AB363" s="168">
        <v>133339</v>
      </c>
      <c r="AC363" s="168"/>
      <c r="AD363" s="168" t="s">
        <v>1058</v>
      </c>
      <c r="AE363" s="168" t="s">
        <v>1059</v>
      </c>
      <c r="AF363" s="166" t="s">
        <v>284</v>
      </c>
      <c r="AG363" s="168"/>
      <c r="AH363" s="166" t="s">
        <v>1060</v>
      </c>
      <c r="AI363" s="168">
        <v>0</v>
      </c>
      <c r="AJ363" s="168">
        <v>0</v>
      </c>
      <c r="AP363" s="206"/>
      <c r="AQ363" s="207"/>
      <c r="AR363" s="207"/>
      <c r="AS363" s="207"/>
      <c r="AT363" s="208"/>
      <c r="AU363" s="207"/>
      <c r="AV363" s="208"/>
    </row>
    <row r="364" spans="1:48" s="205" customFormat="1" ht="15">
      <c r="A364" s="145"/>
      <c r="B364" s="166">
        <v>2183</v>
      </c>
      <c r="C364" s="167">
        <v>186158</v>
      </c>
      <c r="D364" s="166">
        <v>61097</v>
      </c>
      <c r="E364" s="168" t="s">
        <v>631</v>
      </c>
      <c r="F364" s="166"/>
      <c r="G364" s="168"/>
      <c r="H364" s="168"/>
      <c r="I364" s="168"/>
      <c r="J364" s="168">
        <v>0</v>
      </c>
      <c r="K364" s="168"/>
      <c r="L364" s="168"/>
      <c r="M364" s="168" t="s">
        <v>1108</v>
      </c>
      <c r="N364" s="169">
        <v>43008</v>
      </c>
      <c r="O364" s="169">
        <v>43008</v>
      </c>
      <c r="P364" s="168" t="s">
        <v>1490</v>
      </c>
      <c r="Q364" s="166">
        <v>300</v>
      </c>
      <c r="R364" s="166">
        <v>14040</v>
      </c>
      <c r="S364" s="170">
        <v>59424.88</v>
      </c>
      <c r="T364" s="166">
        <v>14046</v>
      </c>
      <c r="U364" s="170">
        <v>59424.88</v>
      </c>
      <c r="V364" s="170">
        <f t="shared" si="25"/>
        <v>0</v>
      </c>
      <c r="W364" s="171">
        <v>0</v>
      </c>
      <c r="X364" s="166">
        <v>51260</v>
      </c>
      <c r="Y364" s="170">
        <v>0</v>
      </c>
      <c r="Z364" s="168" t="s">
        <v>1053</v>
      </c>
      <c r="AA364" s="168"/>
      <c r="AB364" s="168">
        <v>4102463</v>
      </c>
      <c r="AC364" s="168"/>
      <c r="AD364" s="168" t="s">
        <v>1058</v>
      </c>
      <c r="AE364" s="168" t="s">
        <v>1059</v>
      </c>
      <c r="AF364" s="166" t="s">
        <v>284</v>
      </c>
      <c r="AG364" s="168"/>
      <c r="AH364" s="166" t="s">
        <v>1060</v>
      </c>
      <c r="AI364" s="168">
        <v>0</v>
      </c>
      <c r="AJ364" s="168">
        <v>0</v>
      </c>
      <c r="AP364" s="206"/>
      <c r="AQ364" s="207"/>
      <c r="AR364" s="207"/>
      <c r="AS364" s="207"/>
      <c r="AT364" s="208"/>
      <c r="AU364" s="207"/>
      <c r="AV364" s="208"/>
    </row>
    <row r="365" spans="1:48" s="205" customFormat="1" ht="15">
      <c r="A365" s="145"/>
      <c r="B365" s="166">
        <v>2183</v>
      </c>
      <c r="C365" s="167">
        <v>186157</v>
      </c>
      <c r="D365" s="166">
        <v>61096</v>
      </c>
      <c r="E365" s="168" t="s">
        <v>631</v>
      </c>
      <c r="F365" s="166"/>
      <c r="G365" s="168"/>
      <c r="H365" s="168"/>
      <c r="I365" s="168"/>
      <c r="J365" s="168">
        <v>0</v>
      </c>
      <c r="K365" s="168"/>
      <c r="L365" s="168"/>
      <c r="M365" s="168" t="s">
        <v>1108</v>
      </c>
      <c r="N365" s="169">
        <v>43008</v>
      </c>
      <c r="O365" s="169">
        <v>43008</v>
      </c>
      <c r="P365" s="168" t="s">
        <v>1491</v>
      </c>
      <c r="Q365" s="166">
        <v>300</v>
      </c>
      <c r="R365" s="166">
        <v>14040</v>
      </c>
      <c r="S365" s="170">
        <v>59424.88</v>
      </c>
      <c r="T365" s="166">
        <v>14046</v>
      </c>
      <c r="U365" s="170">
        <v>59424.88</v>
      </c>
      <c r="V365" s="170">
        <f t="shared" si="25"/>
        <v>0</v>
      </c>
      <c r="W365" s="171">
        <v>0</v>
      </c>
      <c r="X365" s="166">
        <v>51260</v>
      </c>
      <c r="Y365" s="170">
        <v>0</v>
      </c>
      <c r="Z365" s="168" t="s">
        <v>1053</v>
      </c>
      <c r="AA365" s="168"/>
      <c r="AB365" s="168" t="s">
        <v>1492</v>
      </c>
      <c r="AC365" s="168"/>
      <c r="AD365" s="168" t="s">
        <v>1058</v>
      </c>
      <c r="AE365" s="168" t="s">
        <v>1059</v>
      </c>
      <c r="AF365" s="166" t="s">
        <v>284</v>
      </c>
      <c r="AG365" s="168"/>
      <c r="AH365" s="166" t="s">
        <v>1060</v>
      </c>
      <c r="AI365" s="168">
        <v>0</v>
      </c>
      <c r="AJ365" s="168">
        <v>0</v>
      </c>
      <c r="AP365" s="206"/>
      <c r="AQ365" s="207"/>
      <c r="AR365" s="207"/>
      <c r="AS365" s="207"/>
      <c r="AT365" s="208"/>
      <c r="AU365" s="207"/>
      <c r="AV365" s="208"/>
    </row>
    <row r="366" spans="1:48" s="205" customFormat="1" ht="15">
      <c r="A366" s="145"/>
      <c r="B366" s="166">
        <v>2183</v>
      </c>
      <c r="C366" s="167">
        <v>185550</v>
      </c>
      <c r="D366" s="166" t="s">
        <v>1053</v>
      </c>
      <c r="E366" s="168" t="s">
        <v>632</v>
      </c>
      <c r="F366" s="166"/>
      <c r="G366" s="168"/>
      <c r="H366" s="168"/>
      <c r="I366" s="168"/>
      <c r="J366" s="168">
        <v>0</v>
      </c>
      <c r="K366" s="168"/>
      <c r="L366" s="168"/>
      <c r="M366" s="168"/>
      <c r="N366" s="169">
        <v>42948</v>
      </c>
      <c r="O366" s="169">
        <v>42948</v>
      </c>
      <c r="P366" s="168" t="s">
        <v>1493</v>
      </c>
      <c r="Q366" s="166">
        <v>100</v>
      </c>
      <c r="R366" s="166">
        <v>14110</v>
      </c>
      <c r="S366" s="170">
        <v>1244.8</v>
      </c>
      <c r="T366" s="166">
        <v>14116</v>
      </c>
      <c r="U366" s="170">
        <v>1244.8</v>
      </c>
      <c r="V366" s="170">
        <f t="shared" si="25"/>
        <v>0</v>
      </c>
      <c r="W366" s="171">
        <v>0</v>
      </c>
      <c r="X366" s="166">
        <v>70260</v>
      </c>
      <c r="Y366" s="170">
        <v>0</v>
      </c>
      <c r="Z366" s="168" t="s">
        <v>1053</v>
      </c>
      <c r="AA366" s="168"/>
      <c r="AB366" s="168" t="s">
        <v>1494</v>
      </c>
      <c r="AC366" s="168"/>
      <c r="AD366" s="168" t="s">
        <v>1058</v>
      </c>
      <c r="AE366" s="168" t="s">
        <v>1059</v>
      </c>
      <c r="AF366" s="166" t="s">
        <v>284</v>
      </c>
      <c r="AG366" s="168"/>
      <c r="AH366" s="166" t="s">
        <v>1060</v>
      </c>
      <c r="AI366" s="168">
        <v>0</v>
      </c>
      <c r="AJ366" s="168">
        <v>0</v>
      </c>
      <c r="AP366" s="206"/>
      <c r="AQ366" s="207"/>
      <c r="AR366" s="207"/>
      <c r="AS366" s="207"/>
      <c r="AT366" s="208"/>
      <c r="AU366" s="207"/>
      <c r="AV366" s="208"/>
    </row>
    <row r="367" spans="1:48" s="205" customFormat="1" ht="15">
      <c r="A367" s="145"/>
      <c r="B367" s="166">
        <v>2183</v>
      </c>
      <c r="C367" s="167">
        <v>184512</v>
      </c>
      <c r="D367" s="166" t="s">
        <v>1053</v>
      </c>
      <c r="E367" s="168" t="s">
        <v>611</v>
      </c>
      <c r="F367" s="166">
        <v>15</v>
      </c>
      <c r="G367" s="168"/>
      <c r="H367" s="168"/>
      <c r="I367" s="168"/>
      <c r="J367" s="168">
        <v>0</v>
      </c>
      <c r="K367" s="168" t="s">
        <v>1495</v>
      </c>
      <c r="L367" s="168"/>
      <c r="M367" s="168" t="s">
        <v>1207</v>
      </c>
      <c r="N367" s="169">
        <v>42933</v>
      </c>
      <c r="O367" s="169">
        <v>42933</v>
      </c>
      <c r="P367" s="168" t="s">
        <v>1496</v>
      </c>
      <c r="Q367" s="166">
        <v>1200</v>
      </c>
      <c r="R367" s="166">
        <v>14050</v>
      </c>
      <c r="S367" s="170">
        <v>12459.15</v>
      </c>
      <c r="T367" s="166">
        <v>14056</v>
      </c>
      <c r="U367" s="170">
        <v>4499.13</v>
      </c>
      <c r="V367" s="170">
        <f t="shared" si="25"/>
        <v>7960.0199999999995</v>
      </c>
      <c r="W367" s="171">
        <v>951.74</v>
      </c>
      <c r="X367" s="166">
        <v>54260</v>
      </c>
      <c r="Y367" s="170">
        <v>86.52</v>
      </c>
      <c r="Z367" s="168" t="s">
        <v>1053</v>
      </c>
      <c r="AA367" s="168"/>
      <c r="AB367" s="168" t="s">
        <v>1497</v>
      </c>
      <c r="AC367" s="168"/>
      <c r="AD367" s="168" t="s">
        <v>1058</v>
      </c>
      <c r="AE367" s="168" t="s">
        <v>1059</v>
      </c>
      <c r="AF367" s="166" t="s">
        <v>284</v>
      </c>
      <c r="AG367" s="168"/>
      <c r="AH367" s="166" t="s">
        <v>1060</v>
      </c>
      <c r="AI367" s="168">
        <v>0</v>
      </c>
      <c r="AJ367" s="168">
        <v>0</v>
      </c>
      <c r="AP367" s="206"/>
      <c r="AQ367" s="207"/>
      <c r="AR367" s="207"/>
      <c r="AS367" s="207"/>
      <c r="AT367" s="208"/>
      <c r="AU367" s="207"/>
      <c r="AV367" s="208"/>
    </row>
    <row r="368" spans="1:48" s="205" customFormat="1" ht="15">
      <c r="A368" s="145"/>
      <c r="B368" s="166">
        <v>2183</v>
      </c>
      <c r="C368" s="167">
        <v>184511</v>
      </c>
      <c r="D368" s="166" t="s">
        <v>1053</v>
      </c>
      <c r="E368" s="168" t="s">
        <v>612</v>
      </c>
      <c r="F368" s="166">
        <v>20</v>
      </c>
      <c r="G368" s="168"/>
      <c r="H368" s="168"/>
      <c r="I368" s="168"/>
      <c r="J368" s="168">
        <v>0</v>
      </c>
      <c r="K368" s="168" t="s">
        <v>1495</v>
      </c>
      <c r="L368" s="168"/>
      <c r="M368" s="168" t="s">
        <v>1139</v>
      </c>
      <c r="N368" s="169">
        <v>42933</v>
      </c>
      <c r="O368" s="169">
        <v>42933</v>
      </c>
      <c r="P368" s="168" t="s">
        <v>1496</v>
      </c>
      <c r="Q368" s="166">
        <v>1200</v>
      </c>
      <c r="R368" s="166">
        <v>14050</v>
      </c>
      <c r="S368" s="170">
        <v>13410.54</v>
      </c>
      <c r="T368" s="166">
        <v>14056</v>
      </c>
      <c r="U368" s="170">
        <v>4842.71</v>
      </c>
      <c r="V368" s="170">
        <f t="shared" si="25"/>
        <v>8567.8300000000017</v>
      </c>
      <c r="W368" s="171">
        <v>1024.42</v>
      </c>
      <c r="X368" s="166">
        <v>54260</v>
      </c>
      <c r="Y368" s="170">
        <v>93.13</v>
      </c>
      <c r="Z368" s="168" t="s">
        <v>1053</v>
      </c>
      <c r="AA368" s="168"/>
      <c r="AB368" s="168" t="s">
        <v>1497</v>
      </c>
      <c r="AC368" s="168"/>
      <c r="AD368" s="168" t="s">
        <v>1058</v>
      </c>
      <c r="AE368" s="168" t="s">
        <v>1059</v>
      </c>
      <c r="AF368" s="166" t="s">
        <v>284</v>
      </c>
      <c r="AG368" s="168"/>
      <c r="AH368" s="166" t="s">
        <v>1060</v>
      </c>
      <c r="AI368" s="168">
        <v>0</v>
      </c>
      <c r="AJ368" s="168">
        <v>0</v>
      </c>
      <c r="AP368" s="206"/>
      <c r="AQ368" s="207"/>
      <c r="AR368" s="207"/>
      <c r="AS368" s="207"/>
      <c r="AT368" s="208"/>
      <c r="AU368" s="207"/>
      <c r="AV368" s="208"/>
    </row>
    <row r="369" spans="1:48" s="205" customFormat="1" ht="15">
      <c r="A369" s="145"/>
      <c r="B369" s="166">
        <v>2183</v>
      </c>
      <c r="C369" s="167">
        <v>184510</v>
      </c>
      <c r="D369" s="166" t="s">
        <v>1053</v>
      </c>
      <c r="E369" s="168" t="s">
        <v>613</v>
      </c>
      <c r="F369" s="166">
        <v>20</v>
      </c>
      <c r="G369" s="168"/>
      <c r="H369" s="168"/>
      <c r="I369" s="168"/>
      <c r="J369" s="168">
        <v>0</v>
      </c>
      <c r="K369" s="168" t="s">
        <v>1495</v>
      </c>
      <c r="L369" s="168"/>
      <c r="M369" s="168" t="s">
        <v>1129</v>
      </c>
      <c r="N369" s="169">
        <v>42933</v>
      </c>
      <c r="O369" s="169">
        <v>42933</v>
      </c>
      <c r="P369" s="168" t="s">
        <v>1496</v>
      </c>
      <c r="Q369" s="166">
        <v>1200</v>
      </c>
      <c r="R369" s="166">
        <v>14050</v>
      </c>
      <c r="S369" s="170">
        <v>10208.879999999999</v>
      </c>
      <c r="T369" s="166">
        <v>14056</v>
      </c>
      <c r="U369" s="170">
        <v>3686.55</v>
      </c>
      <c r="V369" s="170">
        <f t="shared" si="25"/>
        <v>6522.329999999999</v>
      </c>
      <c r="W369" s="171">
        <v>779.85</v>
      </c>
      <c r="X369" s="166">
        <v>54260</v>
      </c>
      <c r="Y369" s="170">
        <v>70.900000000000006</v>
      </c>
      <c r="Z369" s="168" t="s">
        <v>1053</v>
      </c>
      <c r="AA369" s="168"/>
      <c r="AB369" s="168" t="s">
        <v>1497</v>
      </c>
      <c r="AC369" s="168"/>
      <c r="AD369" s="168" t="s">
        <v>1058</v>
      </c>
      <c r="AE369" s="168" t="s">
        <v>1059</v>
      </c>
      <c r="AF369" s="166" t="s">
        <v>284</v>
      </c>
      <c r="AG369" s="168"/>
      <c r="AH369" s="166" t="s">
        <v>1060</v>
      </c>
      <c r="AI369" s="168">
        <v>0</v>
      </c>
      <c r="AJ369" s="168">
        <v>0</v>
      </c>
      <c r="AP369" s="206"/>
      <c r="AQ369" s="207"/>
      <c r="AR369" s="207"/>
      <c r="AS369" s="207"/>
      <c r="AT369" s="208"/>
      <c r="AU369" s="207"/>
      <c r="AV369" s="208"/>
    </row>
    <row r="370" spans="1:48" s="205" customFormat="1" ht="15">
      <c r="A370" s="145"/>
      <c r="B370" s="166">
        <v>2183</v>
      </c>
      <c r="C370" s="167">
        <v>184509</v>
      </c>
      <c r="D370" s="166" t="s">
        <v>1053</v>
      </c>
      <c r="E370" s="168" t="s">
        <v>1489</v>
      </c>
      <c r="F370" s="166">
        <v>9</v>
      </c>
      <c r="G370" s="168"/>
      <c r="H370" s="168"/>
      <c r="I370" s="168"/>
      <c r="J370" s="168">
        <v>0</v>
      </c>
      <c r="K370" s="168" t="s">
        <v>1155</v>
      </c>
      <c r="L370" s="168"/>
      <c r="M370" s="168" t="s">
        <v>1145</v>
      </c>
      <c r="N370" s="169">
        <v>42941</v>
      </c>
      <c r="O370" s="169">
        <v>42941</v>
      </c>
      <c r="P370" s="168" t="s">
        <v>1488</v>
      </c>
      <c r="Q370" s="166">
        <v>1200</v>
      </c>
      <c r="R370" s="166">
        <v>14050</v>
      </c>
      <c r="S370" s="170">
        <v>55575</v>
      </c>
      <c r="T370" s="166">
        <v>14056</v>
      </c>
      <c r="U370" s="170">
        <v>20068.75</v>
      </c>
      <c r="V370" s="170">
        <f t="shared" si="25"/>
        <v>35506.25</v>
      </c>
      <c r="W370" s="171">
        <v>4245.3100000000004</v>
      </c>
      <c r="X370" s="166">
        <v>54260</v>
      </c>
      <c r="Y370" s="170">
        <v>385.93</v>
      </c>
      <c r="Z370" s="168" t="s">
        <v>1053</v>
      </c>
      <c r="AA370" s="168"/>
      <c r="AB370" s="168">
        <v>1483190000</v>
      </c>
      <c r="AC370" s="168"/>
      <c r="AD370" s="168" t="s">
        <v>1058</v>
      </c>
      <c r="AE370" s="168" t="s">
        <v>1059</v>
      </c>
      <c r="AF370" s="166" t="s">
        <v>284</v>
      </c>
      <c r="AG370" s="168"/>
      <c r="AH370" s="166" t="s">
        <v>1060</v>
      </c>
      <c r="AI370" s="168">
        <v>0</v>
      </c>
      <c r="AJ370" s="168">
        <v>0</v>
      </c>
      <c r="AP370" s="206"/>
      <c r="AQ370" s="207"/>
      <c r="AR370" s="207"/>
      <c r="AS370" s="207"/>
      <c r="AT370" s="208"/>
      <c r="AU370" s="207"/>
      <c r="AV370" s="208"/>
    </row>
    <row r="371" spans="1:48" s="205" customFormat="1" ht="15">
      <c r="A371" s="145"/>
      <c r="B371" s="166">
        <v>2183</v>
      </c>
      <c r="C371" s="167">
        <v>183938</v>
      </c>
      <c r="D371" s="166" t="s">
        <v>1053</v>
      </c>
      <c r="E371" s="168" t="s">
        <v>614</v>
      </c>
      <c r="F371" s="166">
        <v>624</v>
      </c>
      <c r="G371" s="168"/>
      <c r="H371" s="168"/>
      <c r="I371" s="168"/>
      <c r="J371" s="168">
        <v>0</v>
      </c>
      <c r="K371" s="168" t="s">
        <v>1241</v>
      </c>
      <c r="L371" s="168"/>
      <c r="M371" s="168"/>
      <c r="N371" s="169">
        <v>42888</v>
      </c>
      <c r="O371" s="169">
        <v>42888</v>
      </c>
      <c r="P371" s="168" t="s">
        <v>1498</v>
      </c>
      <c r="Q371" s="166">
        <v>700</v>
      </c>
      <c r="R371" s="166">
        <v>14050</v>
      </c>
      <c r="S371" s="170">
        <v>32107.98</v>
      </c>
      <c r="T371" s="166">
        <v>14056</v>
      </c>
      <c r="U371" s="170">
        <v>20640.87</v>
      </c>
      <c r="V371" s="170">
        <f t="shared" si="25"/>
        <v>11467.11</v>
      </c>
      <c r="W371" s="171">
        <v>4204.62</v>
      </c>
      <c r="X371" s="166">
        <v>54260</v>
      </c>
      <c r="Y371" s="170">
        <v>382.24</v>
      </c>
      <c r="Z371" s="168" t="s">
        <v>1053</v>
      </c>
      <c r="AA371" s="168"/>
      <c r="AB371" s="168">
        <v>65474291</v>
      </c>
      <c r="AC371" s="168"/>
      <c r="AD371" s="168" t="s">
        <v>1058</v>
      </c>
      <c r="AE371" s="168" t="s">
        <v>1059</v>
      </c>
      <c r="AF371" s="166" t="s">
        <v>284</v>
      </c>
      <c r="AG371" s="168"/>
      <c r="AH371" s="166" t="s">
        <v>1060</v>
      </c>
      <c r="AI371" s="168">
        <v>0</v>
      </c>
      <c r="AJ371" s="168">
        <v>0</v>
      </c>
      <c r="AP371" s="206"/>
      <c r="AQ371" s="207"/>
      <c r="AR371" s="207"/>
      <c r="AS371" s="207"/>
      <c r="AT371" s="208"/>
      <c r="AU371" s="207"/>
      <c r="AV371" s="208"/>
    </row>
    <row r="372" spans="1:48" s="205" customFormat="1" ht="15">
      <c r="A372" s="145"/>
      <c r="B372" s="166">
        <v>2183</v>
      </c>
      <c r="C372" s="167">
        <v>183937</v>
      </c>
      <c r="D372" s="166" t="s">
        <v>1053</v>
      </c>
      <c r="E372" s="168" t="s">
        <v>615</v>
      </c>
      <c r="F372" s="166">
        <v>945</v>
      </c>
      <c r="G372" s="168"/>
      <c r="H372" s="168"/>
      <c r="I372" s="168"/>
      <c r="J372" s="168">
        <v>0</v>
      </c>
      <c r="K372" s="168" t="s">
        <v>1241</v>
      </c>
      <c r="L372" s="168"/>
      <c r="M372" s="168"/>
      <c r="N372" s="169">
        <v>42888</v>
      </c>
      <c r="O372" s="169">
        <v>42888</v>
      </c>
      <c r="P372" s="168" t="s">
        <v>1498</v>
      </c>
      <c r="Q372" s="166">
        <v>700</v>
      </c>
      <c r="R372" s="166">
        <v>14050</v>
      </c>
      <c r="S372" s="170">
        <v>38071.93</v>
      </c>
      <c r="T372" s="166">
        <v>14056</v>
      </c>
      <c r="U372" s="170">
        <v>24474.82</v>
      </c>
      <c r="V372" s="170">
        <f t="shared" si="25"/>
        <v>13597.11</v>
      </c>
      <c r="W372" s="171">
        <v>4985.6099999999997</v>
      </c>
      <c r="X372" s="166">
        <v>54260</v>
      </c>
      <c r="Y372" s="170">
        <v>453.23</v>
      </c>
      <c r="Z372" s="168" t="s">
        <v>1053</v>
      </c>
      <c r="AA372" s="168"/>
      <c r="AB372" s="168">
        <v>65473968</v>
      </c>
      <c r="AC372" s="168"/>
      <c r="AD372" s="168" t="s">
        <v>1058</v>
      </c>
      <c r="AE372" s="168" t="s">
        <v>1059</v>
      </c>
      <c r="AF372" s="166" t="s">
        <v>284</v>
      </c>
      <c r="AG372" s="168"/>
      <c r="AH372" s="166" t="s">
        <v>1060</v>
      </c>
      <c r="AI372" s="168">
        <v>0</v>
      </c>
      <c r="AJ372" s="168">
        <v>0</v>
      </c>
      <c r="AP372" s="206"/>
      <c r="AQ372" s="207"/>
      <c r="AR372" s="207"/>
      <c r="AS372" s="207"/>
      <c r="AT372" s="208"/>
      <c r="AU372" s="207"/>
      <c r="AV372" s="208"/>
    </row>
    <row r="373" spans="1:48" s="205" customFormat="1" ht="15">
      <c r="A373" s="145"/>
      <c r="B373" s="166">
        <v>2183</v>
      </c>
      <c r="C373" s="167">
        <v>183936</v>
      </c>
      <c r="D373" s="166" t="s">
        <v>1053</v>
      </c>
      <c r="E373" s="168" t="s">
        <v>616</v>
      </c>
      <c r="F373" s="166">
        <v>624</v>
      </c>
      <c r="G373" s="168"/>
      <c r="H373" s="168"/>
      <c r="I373" s="168"/>
      <c r="J373" s="168">
        <v>0</v>
      </c>
      <c r="K373" s="168" t="s">
        <v>1241</v>
      </c>
      <c r="L373" s="168"/>
      <c r="M373" s="168"/>
      <c r="N373" s="169">
        <v>42888</v>
      </c>
      <c r="O373" s="169">
        <v>42888</v>
      </c>
      <c r="P373" s="168" t="s">
        <v>1498</v>
      </c>
      <c r="Q373" s="166">
        <v>700</v>
      </c>
      <c r="R373" s="166">
        <v>14050</v>
      </c>
      <c r="S373" s="170">
        <v>32107.98</v>
      </c>
      <c r="T373" s="166">
        <v>14056</v>
      </c>
      <c r="U373" s="170">
        <v>20640.87</v>
      </c>
      <c r="V373" s="170">
        <f t="shared" si="25"/>
        <v>11467.11</v>
      </c>
      <c r="W373" s="171">
        <v>4204.62</v>
      </c>
      <c r="X373" s="166">
        <v>54260</v>
      </c>
      <c r="Y373" s="170">
        <v>382.24</v>
      </c>
      <c r="Z373" s="168" t="s">
        <v>1053</v>
      </c>
      <c r="AA373" s="168"/>
      <c r="AB373" s="168">
        <v>65473848</v>
      </c>
      <c r="AC373" s="168"/>
      <c r="AD373" s="168" t="s">
        <v>1058</v>
      </c>
      <c r="AE373" s="168" t="s">
        <v>1059</v>
      </c>
      <c r="AF373" s="166" t="s">
        <v>284</v>
      </c>
      <c r="AG373" s="168"/>
      <c r="AH373" s="166" t="s">
        <v>1060</v>
      </c>
      <c r="AI373" s="168">
        <v>0</v>
      </c>
      <c r="AJ373" s="168">
        <v>0</v>
      </c>
      <c r="AP373" s="206"/>
      <c r="AQ373" s="207"/>
      <c r="AR373" s="207"/>
      <c r="AS373" s="207"/>
      <c r="AT373" s="208"/>
      <c r="AU373" s="207"/>
      <c r="AV373" s="208"/>
    </row>
    <row r="374" spans="1:48" s="205" customFormat="1" ht="15">
      <c r="A374" s="145"/>
      <c r="B374" s="166">
        <v>2183</v>
      </c>
      <c r="C374" s="167">
        <v>182636</v>
      </c>
      <c r="D374" s="166" t="s">
        <v>1053</v>
      </c>
      <c r="E374" s="168" t="s">
        <v>1499</v>
      </c>
      <c r="F374" s="166">
        <v>3</v>
      </c>
      <c r="G374" s="168"/>
      <c r="H374" s="168"/>
      <c r="I374" s="168"/>
      <c r="J374" s="168">
        <v>0</v>
      </c>
      <c r="K374" s="168" t="s">
        <v>1155</v>
      </c>
      <c r="L374" s="168"/>
      <c r="M374" s="168" t="s">
        <v>1353</v>
      </c>
      <c r="N374" s="169">
        <v>42886</v>
      </c>
      <c r="O374" s="169">
        <v>42886</v>
      </c>
      <c r="P374" s="168" t="s">
        <v>1500</v>
      </c>
      <c r="Q374" s="166">
        <v>1200</v>
      </c>
      <c r="R374" s="166">
        <v>14050</v>
      </c>
      <c r="S374" s="170">
        <v>21435</v>
      </c>
      <c r="T374" s="166">
        <v>14056</v>
      </c>
      <c r="U374" s="170">
        <v>8038.13</v>
      </c>
      <c r="V374" s="170">
        <f t="shared" si="25"/>
        <v>13396.869999999999</v>
      </c>
      <c r="W374" s="171">
        <v>1637.4</v>
      </c>
      <c r="X374" s="166">
        <v>54260</v>
      </c>
      <c r="Y374" s="170">
        <v>148.86000000000001</v>
      </c>
      <c r="Z374" s="168" t="s">
        <v>1053</v>
      </c>
      <c r="AA374" s="168"/>
      <c r="AB374" s="168">
        <v>130078</v>
      </c>
      <c r="AC374" s="168"/>
      <c r="AD374" s="168" t="s">
        <v>1058</v>
      </c>
      <c r="AE374" s="168" t="s">
        <v>1059</v>
      </c>
      <c r="AF374" s="166" t="s">
        <v>284</v>
      </c>
      <c r="AG374" s="168"/>
      <c r="AH374" s="166" t="s">
        <v>1060</v>
      </c>
      <c r="AI374" s="168">
        <v>0</v>
      </c>
      <c r="AJ374" s="168">
        <v>0</v>
      </c>
      <c r="AP374" s="206"/>
      <c r="AQ374" s="207"/>
      <c r="AR374" s="207"/>
      <c r="AS374" s="207"/>
      <c r="AT374" s="208"/>
      <c r="AU374" s="207"/>
      <c r="AV374" s="208"/>
    </row>
    <row r="375" spans="1:48" s="205" customFormat="1" ht="15">
      <c r="A375" s="145"/>
      <c r="B375" s="166">
        <v>2183</v>
      </c>
      <c r="C375" s="167">
        <v>182635</v>
      </c>
      <c r="D375" s="166" t="s">
        <v>1053</v>
      </c>
      <c r="E375" s="168" t="s">
        <v>618</v>
      </c>
      <c r="F375" s="166">
        <v>624</v>
      </c>
      <c r="G375" s="168"/>
      <c r="H375" s="168"/>
      <c r="I375" s="168"/>
      <c r="J375" s="168">
        <v>0</v>
      </c>
      <c r="K375" s="168" t="s">
        <v>1241</v>
      </c>
      <c r="L375" s="168"/>
      <c r="M375" s="168"/>
      <c r="N375" s="169">
        <v>42888</v>
      </c>
      <c r="O375" s="169">
        <v>42888</v>
      </c>
      <c r="P375" s="168" t="s">
        <v>1498</v>
      </c>
      <c r="Q375" s="166">
        <v>700</v>
      </c>
      <c r="R375" s="166">
        <v>14050</v>
      </c>
      <c r="S375" s="170">
        <v>32816.83</v>
      </c>
      <c r="T375" s="166">
        <v>14056</v>
      </c>
      <c r="U375" s="170">
        <v>21096.54</v>
      </c>
      <c r="V375" s="170">
        <f t="shared" si="25"/>
        <v>11720.29</v>
      </c>
      <c r="W375" s="171">
        <v>4297.4399999999996</v>
      </c>
      <c r="X375" s="166">
        <v>54260</v>
      </c>
      <c r="Y375" s="170">
        <v>390.67</v>
      </c>
      <c r="Z375" s="168" t="s">
        <v>1053</v>
      </c>
      <c r="AA375" s="168"/>
      <c r="AB375" s="168">
        <v>65470288</v>
      </c>
      <c r="AC375" s="168"/>
      <c r="AD375" s="168" t="s">
        <v>1058</v>
      </c>
      <c r="AE375" s="168" t="s">
        <v>1059</v>
      </c>
      <c r="AF375" s="166" t="s">
        <v>284</v>
      </c>
      <c r="AG375" s="168"/>
      <c r="AH375" s="166" t="s">
        <v>1060</v>
      </c>
      <c r="AI375" s="168">
        <v>0</v>
      </c>
      <c r="AJ375" s="168">
        <v>0</v>
      </c>
      <c r="AP375" s="206"/>
      <c r="AQ375" s="207"/>
      <c r="AR375" s="207"/>
      <c r="AS375" s="207"/>
      <c r="AT375" s="208"/>
      <c r="AU375" s="207"/>
      <c r="AV375" s="208"/>
    </row>
    <row r="376" spans="1:48" s="205" customFormat="1" ht="15">
      <c r="A376" s="145"/>
      <c r="B376" s="166">
        <v>2183</v>
      </c>
      <c r="C376" s="167">
        <v>182634</v>
      </c>
      <c r="D376" s="166" t="s">
        <v>1053</v>
      </c>
      <c r="E376" s="168" t="s">
        <v>619</v>
      </c>
      <c r="F376" s="166">
        <v>864</v>
      </c>
      <c r="G376" s="168"/>
      <c r="H376" s="168"/>
      <c r="I376" s="168"/>
      <c r="J376" s="168">
        <v>0</v>
      </c>
      <c r="K376" s="168" t="s">
        <v>1241</v>
      </c>
      <c r="L376" s="168"/>
      <c r="M376" s="168"/>
      <c r="N376" s="169">
        <v>42878</v>
      </c>
      <c r="O376" s="169">
        <v>42878</v>
      </c>
      <c r="P376" s="168" t="s">
        <v>1498</v>
      </c>
      <c r="Q376" s="166">
        <v>700</v>
      </c>
      <c r="R376" s="166">
        <v>14050</v>
      </c>
      <c r="S376" s="170">
        <v>38790.980000000003</v>
      </c>
      <c r="T376" s="166">
        <v>14056</v>
      </c>
      <c r="U376" s="170">
        <v>24937.06</v>
      </c>
      <c r="V376" s="170">
        <f t="shared" si="25"/>
        <v>13853.920000000002</v>
      </c>
      <c r="W376" s="171">
        <v>5079.7700000000004</v>
      </c>
      <c r="X376" s="166">
        <v>54260</v>
      </c>
      <c r="Y376" s="170">
        <v>461.79</v>
      </c>
      <c r="Z376" s="168" t="s">
        <v>1053</v>
      </c>
      <c r="AA376" s="168"/>
      <c r="AB376" s="168">
        <v>65467426</v>
      </c>
      <c r="AC376" s="168"/>
      <c r="AD376" s="168" t="s">
        <v>1058</v>
      </c>
      <c r="AE376" s="168" t="s">
        <v>1059</v>
      </c>
      <c r="AF376" s="166" t="s">
        <v>284</v>
      </c>
      <c r="AG376" s="168"/>
      <c r="AH376" s="166" t="s">
        <v>1060</v>
      </c>
      <c r="AI376" s="168">
        <v>0</v>
      </c>
      <c r="AJ376" s="168">
        <v>0</v>
      </c>
      <c r="AP376" s="206"/>
      <c r="AQ376" s="207"/>
      <c r="AR376" s="207"/>
      <c r="AS376" s="207"/>
      <c r="AT376" s="208"/>
      <c r="AU376" s="207"/>
      <c r="AV376" s="208"/>
    </row>
    <row r="377" spans="1:48" s="205" customFormat="1" ht="15">
      <c r="A377" s="145"/>
      <c r="B377" s="166">
        <v>2183</v>
      </c>
      <c r="C377" s="167">
        <v>182597</v>
      </c>
      <c r="D377" s="166" t="s">
        <v>1053</v>
      </c>
      <c r="E377" s="168" t="s">
        <v>1499</v>
      </c>
      <c r="F377" s="166">
        <v>4</v>
      </c>
      <c r="G377" s="168"/>
      <c r="H377" s="168"/>
      <c r="I377" s="168"/>
      <c r="J377" s="168">
        <v>0</v>
      </c>
      <c r="K377" s="168" t="s">
        <v>1155</v>
      </c>
      <c r="L377" s="168"/>
      <c r="M377" s="168" t="s">
        <v>1353</v>
      </c>
      <c r="N377" s="169">
        <v>42886</v>
      </c>
      <c r="O377" s="169">
        <v>42886</v>
      </c>
      <c r="P377" s="168" t="s">
        <v>1500</v>
      </c>
      <c r="Q377" s="166">
        <v>1200</v>
      </c>
      <c r="R377" s="166">
        <v>14050</v>
      </c>
      <c r="S377" s="170">
        <v>28580</v>
      </c>
      <c r="T377" s="166">
        <v>14056</v>
      </c>
      <c r="U377" s="170">
        <v>10717.52</v>
      </c>
      <c r="V377" s="170">
        <f t="shared" si="25"/>
        <v>17862.48</v>
      </c>
      <c r="W377" s="171">
        <v>2183.1999999999998</v>
      </c>
      <c r="X377" s="166">
        <v>54260</v>
      </c>
      <c r="Y377" s="170">
        <v>198.47</v>
      </c>
      <c r="Z377" s="168" t="s">
        <v>1053</v>
      </c>
      <c r="AA377" s="168"/>
      <c r="AB377" s="168">
        <v>130079</v>
      </c>
      <c r="AC377" s="168"/>
      <c r="AD377" s="168" t="s">
        <v>1058</v>
      </c>
      <c r="AE377" s="168" t="s">
        <v>1059</v>
      </c>
      <c r="AF377" s="166" t="s">
        <v>284</v>
      </c>
      <c r="AG377" s="168"/>
      <c r="AH377" s="166" t="s">
        <v>1060</v>
      </c>
      <c r="AI377" s="168">
        <v>0</v>
      </c>
      <c r="AJ377" s="168">
        <v>0</v>
      </c>
      <c r="AP377" s="206"/>
      <c r="AQ377" s="207"/>
      <c r="AR377" s="207"/>
      <c r="AS377" s="207"/>
      <c r="AT377" s="208"/>
      <c r="AU377" s="207"/>
      <c r="AV377" s="208"/>
    </row>
    <row r="378" spans="1:48" s="205" customFormat="1" ht="15">
      <c r="A378" s="145"/>
      <c r="B378" s="166">
        <v>2183</v>
      </c>
      <c r="C378" s="167">
        <v>182548</v>
      </c>
      <c r="D378" s="166" t="s">
        <v>1053</v>
      </c>
      <c r="E378" s="168" t="s">
        <v>1499</v>
      </c>
      <c r="F378" s="166">
        <v>3</v>
      </c>
      <c r="G378" s="168"/>
      <c r="H378" s="168"/>
      <c r="I378" s="168"/>
      <c r="J378" s="168">
        <v>0</v>
      </c>
      <c r="K378" s="168" t="s">
        <v>1155</v>
      </c>
      <c r="L378" s="168"/>
      <c r="M378" s="168" t="s">
        <v>1353</v>
      </c>
      <c r="N378" s="169">
        <v>42886</v>
      </c>
      <c r="O378" s="169">
        <v>42886</v>
      </c>
      <c r="P378" s="168" t="s">
        <v>1500</v>
      </c>
      <c r="Q378" s="166">
        <v>1200</v>
      </c>
      <c r="R378" s="166">
        <v>14050</v>
      </c>
      <c r="S378" s="170">
        <v>21435</v>
      </c>
      <c r="T378" s="166">
        <v>14056</v>
      </c>
      <c r="U378" s="170">
        <v>8038.13</v>
      </c>
      <c r="V378" s="170">
        <f t="shared" si="25"/>
        <v>13396.869999999999</v>
      </c>
      <c r="W378" s="171">
        <v>1637.4</v>
      </c>
      <c r="X378" s="166">
        <v>54260</v>
      </c>
      <c r="Y378" s="170">
        <v>148.86000000000001</v>
      </c>
      <c r="Z378" s="168" t="s">
        <v>1053</v>
      </c>
      <c r="AA378" s="168"/>
      <c r="AB378" s="168">
        <v>130065</v>
      </c>
      <c r="AC378" s="168"/>
      <c r="AD378" s="168" t="s">
        <v>1058</v>
      </c>
      <c r="AE378" s="168" t="s">
        <v>1059</v>
      </c>
      <c r="AF378" s="166" t="s">
        <v>284</v>
      </c>
      <c r="AG378" s="168"/>
      <c r="AH378" s="166" t="s">
        <v>1060</v>
      </c>
      <c r="AI378" s="168">
        <v>0</v>
      </c>
      <c r="AJ378" s="168">
        <v>0</v>
      </c>
      <c r="AP378" s="206"/>
      <c r="AQ378" s="207"/>
      <c r="AR378" s="207"/>
      <c r="AS378" s="207"/>
      <c r="AT378" s="208"/>
      <c r="AU378" s="207"/>
      <c r="AV378" s="208"/>
    </row>
    <row r="379" spans="1:48" s="205" customFormat="1" ht="15">
      <c r="A379" s="145"/>
      <c r="B379" s="166">
        <v>2183</v>
      </c>
      <c r="C379" s="167">
        <v>181061</v>
      </c>
      <c r="D379" s="166" t="s">
        <v>1053</v>
      </c>
      <c r="E379" s="168" t="s">
        <v>620</v>
      </c>
      <c r="F379" s="166">
        <v>864</v>
      </c>
      <c r="G379" s="168"/>
      <c r="H379" s="168"/>
      <c r="I379" s="168"/>
      <c r="J379" s="168">
        <v>0</v>
      </c>
      <c r="K379" s="168" t="s">
        <v>1241</v>
      </c>
      <c r="L379" s="168"/>
      <c r="M379" s="168"/>
      <c r="N379" s="169">
        <v>42846</v>
      </c>
      <c r="O379" s="169">
        <v>42846</v>
      </c>
      <c r="P379" s="168" t="s">
        <v>1498</v>
      </c>
      <c r="Q379" s="166">
        <v>700</v>
      </c>
      <c r="R379" s="166">
        <v>14050</v>
      </c>
      <c r="S379" s="170">
        <v>38790.9</v>
      </c>
      <c r="T379" s="166">
        <v>14056</v>
      </c>
      <c r="U379" s="170">
        <v>25398.81</v>
      </c>
      <c r="V379" s="170">
        <f t="shared" si="25"/>
        <v>13392.09</v>
      </c>
      <c r="W379" s="171">
        <v>5079.76</v>
      </c>
      <c r="X379" s="166">
        <v>54260</v>
      </c>
      <c r="Y379" s="170">
        <v>461.79</v>
      </c>
      <c r="Z379" s="168" t="s">
        <v>1053</v>
      </c>
      <c r="AA379" s="168"/>
      <c r="AB379" s="168">
        <v>65458794</v>
      </c>
      <c r="AC379" s="168"/>
      <c r="AD379" s="168" t="s">
        <v>1058</v>
      </c>
      <c r="AE379" s="168" t="s">
        <v>1059</v>
      </c>
      <c r="AF379" s="166" t="s">
        <v>284</v>
      </c>
      <c r="AG379" s="168"/>
      <c r="AH379" s="166" t="s">
        <v>1060</v>
      </c>
      <c r="AI379" s="168">
        <v>0</v>
      </c>
      <c r="AJ379" s="168">
        <v>0</v>
      </c>
      <c r="AP379" s="206"/>
      <c r="AQ379" s="207"/>
      <c r="AR379" s="207"/>
      <c r="AS379" s="207"/>
      <c r="AT379" s="208"/>
      <c r="AU379" s="207"/>
      <c r="AV379" s="208"/>
    </row>
    <row r="380" spans="1:48" s="205" customFormat="1" ht="15">
      <c r="A380" s="145"/>
      <c r="B380" s="166">
        <v>2183</v>
      </c>
      <c r="C380" s="167">
        <v>179026</v>
      </c>
      <c r="D380" s="166" t="s">
        <v>1053</v>
      </c>
      <c r="E380" s="168" t="s">
        <v>621</v>
      </c>
      <c r="F380" s="166">
        <v>945</v>
      </c>
      <c r="G380" s="168"/>
      <c r="H380" s="168"/>
      <c r="I380" s="168"/>
      <c r="J380" s="168">
        <v>0</v>
      </c>
      <c r="K380" s="168" t="s">
        <v>1241</v>
      </c>
      <c r="L380" s="168"/>
      <c r="M380" s="168"/>
      <c r="N380" s="169">
        <v>42811</v>
      </c>
      <c r="O380" s="169">
        <v>42811</v>
      </c>
      <c r="P380" s="168" t="s">
        <v>1501</v>
      </c>
      <c r="Q380" s="166">
        <v>700</v>
      </c>
      <c r="R380" s="166">
        <v>14050</v>
      </c>
      <c r="S380" s="170">
        <v>37282.6</v>
      </c>
      <c r="T380" s="166">
        <v>14056</v>
      </c>
      <c r="U380" s="170">
        <v>24855.09</v>
      </c>
      <c r="V380" s="170">
        <f t="shared" si="25"/>
        <v>12427.509999999998</v>
      </c>
      <c r="W380" s="171">
        <v>4882.25</v>
      </c>
      <c r="X380" s="166">
        <v>54260</v>
      </c>
      <c r="Y380" s="170">
        <v>443.84</v>
      </c>
      <c r="Z380" s="168" t="s">
        <v>1053</v>
      </c>
      <c r="AA380" s="168"/>
      <c r="AB380" s="168">
        <v>65450829</v>
      </c>
      <c r="AC380" s="168"/>
      <c r="AD380" s="168" t="s">
        <v>1058</v>
      </c>
      <c r="AE380" s="168" t="s">
        <v>1059</v>
      </c>
      <c r="AF380" s="166" t="s">
        <v>284</v>
      </c>
      <c r="AG380" s="168"/>
      <c r="AH380" s="166" t="s">
        <v>1060</v>
      </c>
      <c r="AI380" s="168">
        <v>0</v>
      </c>
      <c r="AJ380" s="168">
        <v>0</v>
      </c>
      <c r="AP380" s="206"/>
      <c r="AQ380" s="207"/>
      <c r="AR380" s="207"/>
      <c r="AS380" s="207"/>
      <c r="AT380" s="208"/>
      <c r="AU380" s="207"/>
      <c r="AV380" s="208"/>
    </row>
    <row r="381" spans="1:48" s="205" customFormat="1" ht="15">
      <c r="A381" s="145"/>
      <c r="B381" s="166">
        <v>2183</v>
      </c>
      <c r="C381" s="167">
        <v>178891</v>
      </c>
      <c r="D381" s="166" t="s">
        <v>1053</v>
      </c>
      <c r="E381" s="168" t="s">
        <v>614</v>
      </c>
      <c r="F381" s="166">
        <v>624</v>
      </c>
      <c r="G381" s="168"/>
      <c r="H381" s="168"/>
      <c r="I381" s="168"/>
      <c r="J381" s="168">
        <v>0</v>
      </c>
      <c r="K381" s="168" t="s">
        <v>1241</v>
      </c>
      <c r="L381" s="168"/>
      <c r="M381" s="168"/>
      <c r="N381" s="169">
        <v>42811</v>
      </c>
      <c r="O381" s="169">
        <v>42811</v>
      </c>
      <c r="P381" s="168" t="s">
        <v>1501</v>
      </c>
      <c r="Q381" s="166">
        <v>700</v>
      </c>
      <c r="R381" s="166">
        <v>14050</v>
      </c>
      <c r="S381" s="170">
        <v>31795.97</v>
      </c>
      <c r="T381" s="166">
        <v>14056</v>
      </c>
      <c r="U381" s="170">
        <v>21197.31</v>
      </c>
      <c r="V381" s="170">
        <f t="shared" si="25"/>
        <v>10598.66</v>
      </c>
      <c r="W381" s="171">
        <v>4163.76</v>
      </c>
      <c r="X381" s="166">
        <v>54260</v>
      </c>
      <c r="Y381" s="170">
        <v>378.53</v>
      </c>
      <c r="Z381" s="168" t="s">
        <v>1053</v>
      </c>
      <c r="AA381" s="168"/>
      <c r="AB381" s="168">
        <v>65450660</v>
      </c>
      <c r="AC381" s="168"/>
      <c r="AD381" s="168" t="s">
        <v>1058</v>
      </c>
      <c r="AE381" s="168" t="s">
        <v>1059</v>
      </c>
      <c r="AF381" s="166" t="s">
        <v>284</v>
      </c>
      <c r="AG381" s="168"/>
      <c r="AH381" s="166" t="s">
        <v>1060</v>
      </c>
      <c r="AI381" s="168">
        <v>0</v>
      </c>
      <c r="AJ381" s="168">
        <v>0</v>
      </c>
      <c r="AP381" s="206"/>
      <c r="AQ381" s="207"/>
      <c r="AR381" s="207"/>
      <c r="AS381" s="207"/>
      <c r="AT381" s="208"/>
      <c r="AU381" s="207"/>
      <c r="AV381" s="208"/>
    </row>
    <row r="382" spans="1:48" s="205" customFormat="1" ht="15">
      <c r="A382" s="145"/>
      <c r="B382" s="166">
        <v>2183</v>
      </c>
      <c r="C382" s="167">
        <v>178890</v>
      </c>
      <c r="D382" s="166" t="s">
        <v>1053</v>
      </c>
      <c r="E382" s="168" t="s">
        <v>614</v>
      </c>
      <c r="F382" s="166">
        <v>624</v>
      </c>
      <c r="G382" s="168"/>
      <c r="H382" s="168"/>
      <c r="I382" s="168"/>
      <c r="J382" s="168">
        <v>0</v>
      </c>
      <c r="K382" s="168" t="s">
        <v>1241</v>
      </c>
      <c r="L382" s="168"/>
      <c r="M382" s="168"/>
      <c r="N382" s="169">
        <v>42811</v>
      </c>
      <c r="O382" s="169">
        <v>42811</v>
      </c>
      <c r="P382" s="168" t="s">
        <v>1501</v>
      </c>
      <c r="Q382" s="166">
        <v>700</v>
      </c>
      <c r="R382" s="166">
        <v>14050</v>
      </c>
      <c r="S382" s="170">
        <v>31795.97</v>
      </c>
      <c r="T382" s="166">
        <v>14056</v>
      </c>
      <c r="U382" s="170">
        <v>21197.31</v>
      </c>
      <c r="V382" s="170">
        <f t="shared" si="25"/>
        <v>10598.66</v>
      </c>
      <c r="W382" s="171">
        <v>4163.76</v>
      </c>
      <c r="X382" s="166">
        <v>54260</v>
      </c>
      <c r="Y382" s="170">
        <v>378.53</v>
      </c>
      <c r="Z382" s="168" t="s">
        <v>1053</v>
      </c>
      <c r="AA382" s="168"/>
      <c r="AB382" s="168">
        <v>65450014</v>
      </c>
      <c r="AC382" s="168"/>
      <c r="AD382" s="168" t="s">
        <v>1058</v>
      </c>
      <c r="AE382" s="168" t="s">
        <v>1059</v>
      </c>
      <c r="AF382" s="166" t="s">
        <v>284</v>
      </c>
      <c r="AG382" s="168"/>
      <c r="AH382" s="166" t="s">
        <v>1060</v>
      </c>
      <c r="AI382" s="168">
        <v>0</v>
      </c>
      <c r="AJ382" s="168">
        <v>0</v>
      </c>
      <c r="AP382" s="206"/>
      <c r="AQ382" s="207"/>
      <c r="AR382" s="207"/>
      <c r="AS382" s="207"/>
      <c r="AT382" s="208"/>
      <c r="AU382" s="207"/>
      <c r="AV382" s="208"/>
    </row>
    <row r="383" spans="1:48" s="205" customFormat="1" ht="15">
      <c r="A383" s="145"/>
      <c r="B383" s="166">
        <v>2183</v>
      </c>
      <c r="C383" s="167">
        <v>178889</v>
      </c>
      <c r="D383" s="166" t="s">
        <v>1053</v>
      </c>
      <c r="E383" s="168" t="s">
        <v>622</v>
      </c>
      <c r="F383" s="166">
        <v>624</v>
      </c>
      <c r="G383" s="168"/>
      <c r="H383" s="168"/>
      <c r="I383" s="168"/>
      <c r="J383" s="168">
        <v>0</v>
      </c>
      <c r="K383" s="168" t="s">
        <v>1241</v>
      </c>
      <c r="L383" s="168"/>
      <c r="M383" s="168"/>
      <c r="N383" s="169">
        <v>42811</v>
      </c>
      <c r="O383" s="169">
        <v>42811</v>
      </c>
      <c r="P383" s="168" t="s">
        <v>1501</v>
      </c>
      <c r="Q383" s="166">
        <v>700</v>
      </c>
      <c r="R383" s="166">
        <v>14050</v>
      </c>
      <c r="S383" s="170">
        <v>31795.97</v>
      </c>
      <c r="T383" s="166">
        <v>14056</v>
      </c>
      <c r="U383" s="170">
        <v>21197.31</v>
      </c>
      <c r="V383" s="170">
        <f t="shared" si="25"/>
        <v>10598.66</v>
      </c>
      <c r="W383" s="171">
        <v>4163.76</v>
      </c>
      <c r="X383" s="166">
        <v>54260</v>
      </c>
      <c r="Y383" s="170">
        <v>378.53</v>
      </c>
      <c r="Z383" s="168" t="s">
        <v>1053</v>
      </c>
      <c r="AA383" s="168"/>
      <c r="AB383" s="168">
        <v>65450110</v>
      </c>
      <c r="AC383" s="168"/>
      <c r="AD383" s="168" t="s">
        <v>1058</v>
      </c>
      <c r="AE383" s="168" t="s">
        <v>1059</v>
      </c>
      <c r="AF383" s="166" t="s">
        <v>284</v>
      </c>
      <c r="AG383" s="168"/>
      <c r="AH383" s="166" t="s">
        <v>1060</v>
      </c>
      <c r="AI383" s="168">
        <v>0</v>
      </c>
      <c r="AJ383" s="168">
        <v>0</v>
      </c>
      <c r="AP383" s="206"/>
      <c r="AQ383" s="207"/>
      <c r="AR383" s="207"/>
      <c r="AS383" s="207"/>
      <c r="AT383" s="208"/>
      <c r="AU383" s="207"/>
      <c r="AV383" s="208"/>
    </row>
    <row r="384" spans="1:48" s="205" customFormat="1" ht="15">
      <c r="A384" s="145"/>
      <c r="B384" s="166">
        <v>2183</v>
      </c>
      <c r="C384" s="167">
        <v>177573</v>
      </c>
      <c r="D384" s="166" t="s">
        <v>1053</v>
      </c>
      <c r="E384" s="168" t="s">
        <v>1502</v>
      </c>
      <c r="F384" s="166">
        <v>3</v>
      </c>
      <c r="G384" s="168"/>
      <c r="H384" s="168"/>
      <c r="I384" s="168"/>
      <c r="J384" s="168">
        <v>0</v>
      </c>
      <c r="K384" s="168" t="s">
        <v>1503</v>
      </c>
      <c r="L384" s="168"/>
      <c r="M384" s="168" t="s">
        <v>1207</v>
      </c>
      <c r="N384" s="169">
        <v>42738</v>
      </c>
      <c r="O384" s="169">
        <v>42738</v>
      </c>
      <c r="P384" s="168" t="s">
        <v>1504</v>
      </c>
      <c r="Q384" s="166">
        <v>1200</v>
      </c>
      <c r="R384" s="166">
        <v>14050</v>
      </c>
      <c r="S384" s="170">
        <v>2429.44</v>
      </c>
      <c r="T384" s="166">
        <v>14056</v>
      </c>
      <c r="U384" s="170">
        <v>995.28</v>
      </c>
      <c r="V384" s="170">
        <f t="shared" si="25"/>
        <v>1434.16</v>
      </c>
      <c r="W384" s="171">
        <v>185.56</v>
      </c>
      <c r="X384" s="166">
        <v>54260</v>
      </c>
      <c r="Y384" s="170">
        <v>16.87</v>
      </c>
      <c r="Z384" s="168" t="s">
        <v>1053</v>
      </c>
      <c r="AA384" s="168"/>
      <c r="AB384" s="168" t="s">
        <v>1505</v>
      </c>
      <c r="AC384" s="168"/>
      <c r="AD384" s="168" t="s">
        <v>1058</v>
      </c>
      <c r="AE384" s="168" t="s">
        <v>1059</v>
      </c>
      <c r="AF384" s="166" t="s">
        <v>284</v>
      </c>
      <c r="AG384" s="168"/>
      <c r="AH384" s="166" t="s">
        <v>1060</v>
      </c>
      <c r="AI384" s="168">
        <v>0</v>
      </c>
      <c r="AJ384" s="168">
        <v>0</v>
      </c>
      <c r="AP384" s="206"/>
      <c r="AQ384" s="207"/>
      <c r="AR384" s="207"/>
      <c r="AS384" s="207"/>
      <c r="AT384" s="208"/>
      <c r="AU384" s="207"/>
      <c r="AV384" s="208"/>
    </row>
    <row r="385" spans="1:48" s="205" customFormat="1" ht="15">
      <c r="A385" s="145"/>
      <c r="B385" s="166">
        <v>2183</v>
      </c>
      <c r="C385" s="167">
        <v>177572</v>
      </c>
      <c r="D385" s="166" t="s">
        <v>1053</v>
      </c>
      <c r="E385" s="168" t="s">
        <v>1506</v>
      </c>
      <c r="F385" s="166">
        <v>6</v>
      </c>
      <c r="G385" s="168"/>
      <c r="H385" s="168"/>
      <c r="I385" s="168"/>
      <c r="J385" s="168">
        <v>0</v>
      </c>
      <c r="K385" s="168" t="s">
        <v>1503</v>
      </c>
      <c r="L385" s="168"/>
      <c r="M385" s="168" t="s">
        <v>1133</v>
      </c>
      <c r="N385" s="169">
        <v>42738</v>
      </c>
      <c r="O385" s="169">
        <v>42738</v>
      </c>
      <c r="P385" s="168" t="s">
        <v>1504</v>
      </c>
      <c r="Q385" s="166">
        <v>1200</v>
      </c>
      <c r="R385" s="166">
        <v>14050</v>
      </c>
      <c r="S385" s="170">
        <v>3169.69</v>
      </c>
      <c r="T385" s="166">
        <v>14056</v>
      </c>
      <c r="U385" s="170">
        <v>1298.69</v>
      </c>
      <c r="V385" s="170">
        <f t="shared" si="25"/>
        <v>1871</v>
      </c>
      <c r="W385" s="171">
        <v>242.13</v>
      </c>
      <c r="X385" s="166">
        <v>54260</v>
      </c>
      <c r="Y385" s="170">
        <v>22.01</v>
      </c>
      <c r="Z385" s="168" t="s">
        <v>1053</v>
      </c>
      <c r="AA385" s="168"/>
      <c r="AB385" s="168" t="s">
        <v>1505</v>
      </c>
      <c r="AC385" s="168"/>
      <c r="AD385" s="168" t="s">
        <v>1058</v>
      </c>
      <c r="AE385" s="168" t="s">
        <v>1059</v>
      </c>
      <c r="AF385" s="166" t="s">
        <v>284</v>
      </c>
      <c r="AG385" s="168"/>
      <c r="AH385" s="166" t="s">
        <v>1060</v>
      </c>
      <c r="AI385" s="168">
        <v>0</v>
      </c>
      <c r="AJ385" s="168">
        <v>0</v>
      </c>
      <c r="AP385" s="206"/>
      <c r="AQ385" s="207"/>
      <c r="AR385" s="207"/>
      <c r="AS385" s="207"/>
      <c r="AT385" s="208"/>
      <c r="AU385" s="207"/>
      <c r="AV385" s="208"/>
    </row>
    <row r="386" spans="1:48" s="205" customFormat="1" ht="15">
      <c r="A386" s="145"/>
      <c r="B386" s="166">
        <v>2183</v>
      </c>
      <c r="C386" s="167">
        <v>177571</v>
      </c>
      <c r="D386" s="166" t="s">
        <v>1053</v>
      </c>
      <c r="E386" s="168" t="s">
        <v>1507</v>
      </c>
      <c r="F386" s="166">
        <v>8</v>
      </c>
      <c r="G386" s="168"/>
      <c r="H386" s="168"/>
      <c r="I386" s="168"/>
      <c r="J386" s="168">
        <v>0</v>
      </c>
      <c r="K386" s="168" t="s">
        <v>1503</v>
      </c>
      <c r="L386" s="168"/>
      <c r="M386" s="168" t="s">
        <v>1129</v>
      </c>
      <c r="N386" s="169">
        <v>42738</v>
      </c>
      <c r="O386" s="169">
        <v>42738</v>
      </c>
      <c r="P386" s="168" t="s">
        <v>1504</v>
      </c>
      <c r="Q386" s="166">
        <v>1200</v>
      </c>
      <c r="R386" s="166">
        <v>14050</v>
      </c>
      <c r="S386" s="170">
        <v>3921.9</v>
      </c>
      <c r="T386" s="166">
        <v>14056</v>
      </c>
      <c r="U386" s="170">
        <v>1606.91</v>
      </c>
      <c r="V386" s="170">
        <f t="shared" si="25"/>
        <v>2314.9899999999998</v>
      </c>
      <c r="W386" s="171">
        <v>299.58999999999997</v>
      </c>
      <c r="X386" s="166">
        <v>54260</v>
      </c>
      <c r="Y386" s="170">
        <v>27.23</v>
      </c>
      <c r="Z386" s="168" t="s">
        <v>1053</v>
      </c>
      <c r="AA386" s="168"/>
      <c r="AB386" s="168" t="s">
        <v>1505</v>
      </c>
      <c r="AC386" s="168"/>
      <c r="AD386" s="168" t="s">
        <v>1058</v>
      </c>
      <c r="AE386" s="168" t="s">
        <v>1059</v>
      </c>
      <c r="AF386" s="166" t="s">
        <v>284</v>
      </c>
      <c r="AG386" s="168"/>
      <c r="AH386" s="166" t="s">
        <v>1060</v>
      </c>
      <c r="AI386" s="168">
        <v>0</v>
      </c>
      <c r="AJ386" s="168">
        <v>0</v>
      </c>
      <c r="AP386" s="206"/>
      <c r="AQ386" s="207"/>
      <c r="AR386" s="207"/>
      <c r="AS386" s="207"/>
      <c r="AT386" s="208"/>
      <c r="AU386" s="207"/>
      <c r="AV386" s="208"/>
    </row>
    <row r="387" spans="1:48" s="205" customFormat="1" ht="15">
      <c r="A387" s="145"/>
      <c r="B387" s="166">
        <v>2183</v>
      </c>
      <c r="C387" s="167">
        <v>176637</v>
      </c>
      <c r="D387" s="166" t="s">
        <v>1053</v>
      </c>
      <c r="E387" s="168" t="s">
        <v>1508</v>
      </c>
      <c r="F387" s="166">
        <v>875</v>
      </c>
      <c r="G387" s="168"/>
      <c r="H387" s="168"/>
      <c r="I387" s="168"/>
      <c r="J387" s="168">
        <v>0</v>
      </c>
      <c r="K387" s="168" t="s">
        <v>1068</v>
      </c>
      <c r="L387" s="168"/>
      <c r="M387" s="168"/>
      <c r="N387" s="169">
        <v>42744</v>
      </c>
      <c r="O387" s="169">
        <v>42744</v>
      </c>
      <c r="P387" s="168" t="s">
        <v>1509</v>
      </c>
      <c r="Q387" s="166">
        <v>700</v>
      </c>
      <c r="R387" s="166">
        <v>14050</v>
      </c>
      <c r="S387" s="170">
        <v>30080.55</v>
      </c>
      <c r="T387" s="166">
        <v>14056</v>
      </c>
      <c r="U387" s="170">
        <v>21128</v>
      </c>
      <c r="V387" s="170">
        <f t="shared" si="25"/>
        <v>8952.5499999999993</v>
      </c>
      <c r="W387" s="171">
        <v>3939.12</v>
      </c>
      <c r="X387" s="166">
        <v>54260</v>
      </c>
      <c r="Y387" s="170">
        <v>358.1</v>
      </c>
      <c r="Z387" s="168" t="s">
        <v>1053</v>
      </c>
      <c r="AA387" s="168"/>
      <c r="AB387" s="168" t="s">
        <v>1510</v>
      </c>
      <c r="AC387" s="168"/>
      <c r="AD387" s="168" t="s">
        <v>1058</v>
      </c>
      <c r="AE387" s="168" t="s">
        <v>1059</v>
      </c>
      <c r="AF387" s="166" t="s">
        <v>284</v>
      </c>
      <c r="AG387" s="168"/>
      <c r="AH387" s="166" t="s">
        <v>1060</v>
      </c>
      <c r="AI387" s="168">
        <v>0</v>
      </c>
      <c r="AJ387" s="168">
        <v>0</v>
      </c>
      <c r="AP387" s="206"/>
      <c r="AQ387" s="207"/>
      <c r="AR387" s="207"/>
      <c r="AS387" s="207"/>
      <c r="AT387" s="208"/>
      <c r="AU387" s="207"/>
      <c r="AV387" s="208"/>
    </row>
    <row r="388" spans="1:48" s="205" customFormat="1" ht="15">
      <c r="A388" s="145"/>
      <c r="B388" s="166">
        <v>2183</v>
      </c>
      <c r="C388" s="167">
        <v>172715</v>
      </c>
      <c r="D388" s="166" t="s">
        <v>1053</v>
      </c>
      <c r="E388" s="168" t="s">
        <v>625</v>
      </c>
      <c r="F388" s="166">
        <v>7</v>
      </c>
      <c r="G388" s="168"/>
      <c r="H388" s="168"/>
      <c r="I388" s="168"/>
      <c r="J388" s="168">
        <v>0</v>
      </c>
      <c r="K388" s="168" t="s">
        <v>1503</v>
      </c>
      <c r="L388" s="168"/>
      <c r="M388" s="168" t="s">
        <v>1207</v>
      </c>
      <c r="N388" s="169">
        <v>42752</v>
      </c>
      <c r="O388" s="169">
        <v>42752</v>
      </c>
      <c r="P388" s="168" t="s">
        <v>1511</v>
      </c>
      <c r="Q388" s="166">
        <v>1200</v>
      </c>
      <c r="R388" s="166">
        <v>14050</v>
      </c>
      <c r="S388" s="170">
        <v>5668.7</v>
      </c>
      <c r="T388" s="166">
        <v>14056</v>
      </c>
      <c r="U388" s="170">
        <v>2283.2199999999998</v>
      </c>
      <c r="V388" s="170">
        <f t="shared" si="25"/>
        <v>3385.48</v>
      </c>
      <c r="W388" s="171">
        <v>433.02</v>
      </c>
      <c r="X388" s="166">
        <v>54260</v>
      </c>
      <c r="Y388" s="170">
        <v>39.36</v>
      </c>
      <c r="Z388" s="168" t="s">
        <v>1053</v>
      </c>
      <c r="AA388" s="168"/>
      <c r="AB388" s="168" t="s">
        <v>1512</v>
      </c>
      <c r="AC388" s="168"/>
      <c r="AD388" s="168" t="s">
        <v>1058</v>
      </c>
      <c r="AE388" s="168" t="s">
        <v>1059</v>
      </c>
      <c r="AF388" s="166" t="s">
        <v>284</v>
      </c>
      <c r="AG388" s="168"/>
      <c r="AH388" s="166" t="s">
        <v>1060</v>
      </c>
      <c r="AI388" s="168">
        <v>0</v>
      </c>
      <c r="AJ388" s="168">
        <v>0</v>
      </c>
      <c r="AP388" s="206"/>
      <c r="AQ388" s="207"/>
      <c r="AR388" s="207"/>
      <c r="AS388" s="207"/>
      <c r="AT388" s="208"/>
      <c r="AU388" s="207"/>
      <c r="AV388" s="208"/>
    </row>
    <row r="389" spans="1:48" s="205" customFormat="1" ht="15">
      <c r="A389" s="145"/>
      <c r="B389" s="166">
        <v>2183</v>
      </c>
      <c r="C389" s="167">
        <v>172714</v>
      </c>
      <c r="D389" s="166" t="s">
        <v>1053</v>
      </c>
      <c r="E389" s="168" t="s">
        <v>626</v>
      </c>
      <c r="F389" s="166">
        <v>14</v>
      </c>
      <c r="G389" s="168"/>
      <c r="H389" s="168"/>
      <c r="I389" s="168"/>
      <c r="J389" s="168">
        <v>0</v>
      </c>
      <c r="K389" s="168" t="s">
        <v>1503</v>
      </c>
      <c r="L389" s="168"/>
      <c r="M389" s="168" t="s">
        <v>1133</v>
      </c>
      <c r="N389" s="169">
        <v>42752</v>
      </c>
      <c r="O389" s="169">
        <v>42752</v>
      </c>
      <c r="P389" s="168" t="s">
        <v>1511</v>
      </c>
      <c r="Q389" s="166">
        <v>1200</v>
      </c>
      <c r="R389" s="166">
        <v>14050</v>
      </c>
      <c r="S389" s="170">
        <v>7395.94</v>
      </c>
      <c r="T389" s="166">
        <v>14056</v>
      </c>
      <c r="U389" s="170">
        <v>2978.93</v>
      </c>
      <c r="V389" s="170">
        <f t="shared" si="25"/>
        <v>4417.01</v>
      </c>
      <c r="W389" s="171">
        <v>564.97</v>
      </c>
      <c r="X389" s="166">
        <v>54260</v>
      </c>
      <c r="Y389" s="170">
        <v>51.36</v>
      </c>
      <c r="Z389" s="168" t="s">
        <v>1053</v>
      </c>
      <c r="AA389" s="168"/>
      <c r="AB389" s="168" t="s">
        <v>1512</v>
      </c>
      <c r="AC389" s="168"/>
      <c r="AD389" s="168" t="s">
        <v>1058</v>
      </c>
      <c r="AE389" s="168" t="s">
        <v>1059</v>
      </c>
      <c r="AF389" s="166" t="s">
        <v>284</v>
      </c>
      <c r="AG389" s="168"/>
      <c r="AH389" s="166" t="s">
        <v>1060</v>
      </c>
      <c r="AI389" s="168">
        <v>0</v>
      </c>
      <c r="AJ389" s="168">
        <v>0</v>
      </c>
      <c r="AP389" s="206"/>
      <c r="AQ389" s="207"/>
      <c r="AR389" s="207"/>
      <c r="AS389" s="207"/>
      <c r="AT389" s="208"/>
      <c r="AU389" s="207"/>
      <c r="AV389" s="208"/>
    </row>
    <row r="390" spans="1:48" s="205" customFormat="1" ht="15">
      <c r="A390" s="145"/>
      <c r="B390" s="166">
        <v>2183</v>
      </c>
      <c r="C390" s="167">
        <v>172713</v>
      </c>
      <c r="D390" s="166" t="s">
        <v>1053</v>
      </c>
      <c r="E390" s="168" t="s">
        <v>627</v>
      </c>
      <c r="F390" s="166">
        <v>12</v>
      </c>
      <c r="G390" s="168"/>
      <c r="H390" s="168"/>
      <c r="I390" s="168"/>
      <c r="J390" s="168">
        <v>0</v>
      </c>
      <c r="K390" s="168" t="s">
        <v>1503</v>
      </c>
      <c r="L390" s="168"/>
      <c r="M390" s="168" t="s">
        <v>1129</v>
      </c>
      <c r="N390" s="169">
        <v>42752</v>
      </c>
      <c r="O390" s="169">
        <v>42752</v>
      </c>
      <c r="P390" s="168" t="s">
        <v>1511</v>
      </c>
      <c r="Q390" s="166">
        <v>1200</v>
      </c>
      <c r="R390" s="166">
        <v>14050</v>
      </c>
      <c r="S390" s="170">
        <v>5882.84</v>
      </c>
      <c r="T390" s="166">
        <v>14056</v>
      </c>
      <c r="U390" s="170">
        <v>2369.44</v>
      </c>
      <c r="V390" s="170">
        <f t="shared" si="25"/>
        <v>3513.4</v>
      </c>
      <c r="W390" s="171">
        <v>449.38</v>
      </c>
      <c r="X390" s="166">
        <v>54260</v>
      </c>
      <c r="Y390" s="170">
        <v>40.85</v>
      </c>
      <c r="Z390" s="168" t="s">
        <v>1053</v>
      </c>
      <c r="AA390" s="168"/>
      <c r="AB390" s="168" t="s">
        <v>1512</v>
      </c>
      <c r="AC390" s="168"/>
      <c r="AD390" s="168" t="s">
        <v>1058</v>
      </c>
      <c r="AE390" s="168" t="s">
        <v>1059</v>
      </c>
      <c r="AF390" s="166" t="s">
        <v>284</v>
      </c>
      <c r="AG390" s="168"/>
      <c r="AH390" s="166" t="s">
        <v>1060</v>
      </c>
      <c r="AI390" s="168">
        <v>0</v>
      </c>
      <c r="AJ390" s="168">
        <v>0</v>
      </c>
      <c r="AP390" s="206"/>
      <c r="AQ390" s="207"/>
      <c r="AR390" s="207"/>
      <c r="AS390" s="207"/>
      <c r="AT390" s="208"/>
      <c r="AU390" s="207"/>
      <c r="AV390" s="208"/>
    </row>
    <row r="391" spans="1:48" s="205" customFormat="1" ht="15">
      <c r="A391" s="145"/>
      <c r="B391" s="166">
        <v>2183</v>
      </c>
      <c r="C391" s="167">
        <v>172712</v>
      </c>
      <c r="D391" s="166" t="s">
        <v>1053</v>
      </c>
      <c r="E391" s="168" t="s">
        <v>1513</v>
      </c>
      <c r="F391" s="166">
        <v>4</v>
      </c>
      <c r="G391" s="168"/>
      <c r="H391" s="168"/>
      <c r="I391" s="168"/>
      <c r="J391" s="168">
        <v>0</v>
      </c>
      <c r="K391" s="168" t="s">
        <v>1132</v>
      </c>
      <c r="L391" s="168"/>
      <c r="M391" s="168" t="s">
        <v>1145</v>
      </c>
      <c r="N391" s="169">
        <v>42752</v>
      </c>
      <c r="O391" s="169">
        <v>42752</v>
      </c>
      <c r="P391" s="168" t="s">
        <v>1514</v>
      </c>
      <c r="Q391" s="166">
        <v>1111</v>
      </c>
      <c r="R391" s="166">
        <v>14050</v>
      </c>
      <c r="S391" s="170">
        <v>23940</v>
      </c>
      <c r="T391" s="166">
        <v>14056</v>
      </c>
      <c r="U391" s="170">
        <v>9709.93</v>
      </c>
      <c r="V391" s="170">
        <f t="shared" si="25"/>
        <v>14230.07</v>
      </c>
      <c r="W391" s="171">
        <v>1841.54</v>
      </c>
      <c r="X391" s="166">
        <v>54260</v>
      </c>
      <c r="Y391" s="170">
        <v>167.41</v>
      </c>
      <c r="Z391" s="168" t="s">
        <v>1053</v>
      </c>
      <c r="AA391" s="168"/>
      <c r="AB391" s="168">
        <v>125228</v>
      </c>
      <c r="AC391" s="168"/>
      <c r="AD391" s="168" t="s">
        <v>1058</v>
      </c>
      <c r="AE391" s="168" t="s">
        <v>1059</v>
      </c>
      <c r="AF391" s="166" t="s">
        <v>284</v>
      </c>
      <c r="AG391" s="168"/>
      <c r="AH391" s="166" t="s">
        <v>1060</v>
      </c>
      <c r="AI391" s="168">
        <v>0</v>
      </c>
      <c r="AJ391" s="168">
        <v>0</v>
      </c>
      <c r="AP391" s="206"/>
      <c r="AQ391" s="207"/>
      <c r="AR391" s="207"/>
      <c r="AS391" s="207"/>
      <c r="AT391" s="208"/>
      <c r="AU391" s="207"/>
      <c r="AV391" s="208"/>
    </row>
    <row r="392" spans="1:48" s="205" customFormat="1" ht="15">
      <c r="A392" s="145"/>
      <c r="B392" s="166">
        <v>2183</v>
      </c>
      <c r="C392" s="167">
        <v>171241</v>
      </c>
      <c r="D392" s="166" t="s">
        <v>1053</v>
      </c>
      <c r="E392" s="168" t="s">
        <v>602</v>
      </c>
      <c r="F392" s="166"/>
      <c r="G392" s="168"/>
      <c r="H392" s="168" t="s">
        <v>1515</v>
      </c>
      <c r="I392" s="168"/>
      <c r="J392" s="168">
        <v>2017</v>
      </c>
      <c r="K392" s="168" t="s">
        <v>1196</v>
      </c>
      <c r="L392" s="168" t="s">
        <v>1220</v>
      </c>
      <c r="M392" s="168" t="s">
        <v>1286</v>
      </c>
      <c r="N392" s="169">
        <v>42704</v>
      </c>
      <c r="O392" s="169">
        <v>42704</v>
      </c>
      <c r="P392" s="168" t="s">
        <v>1516</v>
      </c>
      <c r="Q392" s="166">
        <v>1000</v>
      </c>
      <c r="R392" s="166">
        <v>14040</v>
      </c>
      <c r="S392" s="170">
        <v>318387.46000000002</v>
      </c>
      <c r="T392" s="166">
        <v>14046</v>
      </c>
      <c r="U392" s="170">
        <v>159193.75</v>
      </c>
      <c r="V392" s="170">
        <f t="shared" si="25"/>
        <v>159193.71000000002</v>
      </c>
      <c r="W392" s="171">
        <v>29185.52</v>
      </c>
      <c r="X392" s="166">
        <v>51260</v>
      </c>
      <c r="Y392" s="170">
        <v>2653.23</v>
      </c>
      <c r="Z392" s="168" t="s">
        <v>1053</v>
      </c>
      <c r="AA392" s="168"/>
      <c r="AB392" s="168" t="s">
        <v>1517</v>
      </c>
      <c r="AC392" s="168">
        <v>2046</v>
      </c>
      <c r="AD392" s="168" t="s">
        <v>1058</v>
      </c>
      <c r="AE392" s="168" t="s">
        <v>1059</v>
      </c>
      <c r="AF392" s="166" t="s">
        <v>284</v>
      </c>
      <c r="AG392" s="168"/>
      <c r="AH392" s="166" t="s">
        <v>1060</v>
      </c>
      <c r="AI392" s="168">
        <v>0</v>
      </c>
      <c r="AJ392" s="168">
        <v>0</v>
      </c>
      <c r="AP392" s="206"/>
      <c r="AQ392" s="207"/>
      <c r="AR392" s="207"/>
      <c r="AS392" s="207"/>
      <c r="AT392" s="208"/>
      <c r="AU392" s="207"/>
      <c r="AV392" s="208"/>
    </row>
    <row r="393" spans="1:48" s="205" customFormat="1" ht="15">
      <c r="A393" s="145"/>
      <c r="B393" s="166">
        <v>2183</v>
      </c>
      <c r="C393" s="167">
        <v>170977</v>
      </c>
      <c r="D393" s="166" t="s">
        <v>1053</v>
      </c>
      <c r="E393" s="168" t="s">
        <v>622</v>
      </c>
      <c r="F393" s="166">
        <v>624</v>
      </c>
      <c r="G393" s="168"/>
      <c r="H393" s="168"/>
      <c r="I393" s="168"/>
      <c r="J393" s="168">
        <v>0</v>
      </c>
      <c r="K393" s="168" t="s">
        <v>1518</v>
      </c>
      <c r="L393" s="168"/>
      <c r="M393" s="168"/>
      <c r="N393" s="169">
        <v>42720</v>
      </c>
      <c r="O393" s="169">
        <v>42720</v>
      </c>
      <c r="P393" s="168" t="s">
        <v>1519</v>
      </c>
      <c r="Q393" s="166">
        <v>700</v>
      </c>
      <c r="R393" s="166">
        <v>14050</v>
      </c>
      <c r="S393" s="170">
        <v>31926.69</v>
      </c>
      <c r="T393" s="166">
        <v>14056</v>
      </c>
      <c r="U393" s="170">
        <v>22424.720000000001</v>
      </c>
      <c r="V393" s="170">
        <f t="shared" si="25"/>
        <v>9501.9699999999975</v>
      </c>
      <c r="W393" s="171">
        <v>4180.88</v>
      </c>
      <c r="X393" s="166">
        <v>54260</v>
      </c>
      <c r="Y393" s="170">
        <v>380.08</v>
      </c>
      <c r="Z393" s="168" t="s">
        <v>1053</v>
      </c>
      <c r="AA393" s="168"/>
      <c r="AB393" s="168">
        <v>65440829</v>
      </c>
      <c r="AC393" s="168"/>
      <c r="AD393" s="168" t="s">
        <v>1058</v>
      </c>
      <c r="AE393" s="168" t="s">
        <v>1059</v>
      </c>
      <c r="AF393" s="166" t="s">
        <v>284</v>
      </c>
      <c r="AG393" s="168"/>
      <c r="AH393" s="166" t="s">
        <v>1060</v>
      </c>
      <c r="AI393" s="168">
        <v>0</v>
      </c>
      <c r="AJ393" s="168">
        <v>0</v>
      </c>
      <c r="AP393" s="206"/>
      <c r="AQ393" s="207"/>
      <c r="AR393" s="207"/>
      <c r="AS393" s="207"/>
      <c r="AT393" s="208"/>
      <c r="AU393" s="207"/>
      <c r="AV393" s="208"/>
    </row>
    <row r="394" spans="1:48" s="205" customFormat="1" ht="15">
      <c r="A394" s="145"/>
      <c r="B394" s="166">
        <v>2183</v>
      </c>
      <c r="C394" s="167">
        <v>170669</v>
      </c>
      <c r="D394" s="166" t="s">
        <v>1053</v>
      </c>
      <c r="E394" s="168" t="s">
        <v>1520</v>
      </c>
      <c r="F394" s="166">
        <v>864</v>
      </c>
      <c r="G394" s="168"/>
      <c r="H394" s="168"/>
      <c r="I394" s="168"/>
      <c r="J394" s="168">
        <v>0</v>
      </c>
      <c r="K394" s="168" t="s">
        <v>1241</v>
      </c>
      <c r="L394" s="168"/>
      <c r="M394" s="168"/>
      <c r="N394" s="169">
        <v>42700</v>
      </c>
      <c r="O394" s="169">
        <v>42700</v>
      </c>
      <c r="P394" s="168" t="s">
        <v>1519</v>
      </c>
      <c r="Q394" s="166">
        <v>700</v>
      </c>
      <c r="R394" s="166">
        <v>14050</v>
      </c>
      <c r="S394" s="170">
        <v>37809.53</v>
      </c>
      <c r="T394" s="166">
        <v>14056</v>
      </c>
      <c r="U394" s="170">
        <v>27006.799999999999</v>
      </c>
      <c r="V394" s="170">
        <f t="shared" si="25"/>
        <v>10802.73</v>
      </c>
      <c r="W394" s="171">
        <v>4951.25</v>
      </c>
      <c r="X394" s="166">
        <v>54260</v>
      </c>
      <c r="Y394" s="170">
        <v>450.12</v>
      </c>
      <c r="Z394" s="168" t="s">
        <v>1053</v>
      </c>
      <c r="AA394" s="168"/>
      <c r="AB394" s="168">
        <v>65437910</v>
      </c>
      <c r="AC394" s="168"/>
      <c r="AD394" s="168" t="s">
        <v>1058</v>
      </c>
      <c r="AE394" s="168" t="s">
        <v>1059</v>
      </c>
      <c r="AF394" s="166" t="s">
        <v>284</v>
      </c>
      <c r="AG394" s="168"/>
      <c r="AH394" s="166" t="s">
        <v>1060</v>
      </c>
      <c r="AI394" s="168">
        <v>0</v>
      </c>
      <c r="AJ394" s="168">
        <v>0</v>
      </c>
      <c r="AP394" s="206"/>
      <c r="AQ394" s="207"/>
      <c r="AR394" s="207"/>
      <c r="AS394" s="207"/>
      <c r="AT394" s="208"/>
      <c r="AU394" s="207"/>
      <c r="AV394" s="208"/>
    </row>
    <row r="395" spans="1:48" s="205" customFormat="1" ht="15">
      <c r="A395" s="145"/>
      <c r="B395" s="166">
        <v>2183</v>
      </c>
      <c r="C395" s="167">
        <v>170668</v>
      </c>
      <c r="D395" s="166" t="s">
        <v>1053</v>
      </c>
      <c r="E395" s="168" t="s">
        <v>1521</v>
      </c>
      <c r="F395" s="166">
        <v>950</v>
      </c>
      <c r="G395" s="168"/>
      <c r="H395" s="168"/>
      <c r="I395" s="168"/>
      <c r="J395" s="168">
        <v>0</v>
      </c>
      <c r="K395" s="168" t="s">
        <v>1241</v>
      </c>
      <c r="L395" s="168"/>
      <c r="M395" s="168"/>
      <c r="N395" s="169">
        <v>42700</v>
      </c>
      <c r="O395" s="169">
        <v>42700</v>
      </c>
      <c r="P395" s="168" t="s">
        <v>1519</v>
      </c>
      <c r="Q395" s="166">
        <v>700</v>
      </c>
      <c r="R395" s="166">
        <v>14050</v>
      </c>
      <c r="S395" s="170">
        <v>37597.57</v>
      </c>
      <c r="T395" s="166">
        <v>14056</v>
      </c>
      <c r="U395" s="170">
        <v>26855.4</v>
      </c>
      <c r="V395" s="170">
        <f t="shared" si="25"/>
        <v>10742.169999999998</v>
      </c>
      <c r="W395" s="171">
        <v>4923.49</v>
      </c>
      <c r="X395" s="166">
        <v>54260</v>
      </c>
      <c r="Y395" s="170">
        <v>447.59</v>
      </c>
      <c r="Z395" s="168" t="s">
        <v>1053</v>
      </c>
      <c r="AA395" s="168"/>
      <c r="AB395" s="168">
        <v>65438556</v>
      </c>
      <c r="AC395" s="168"/>
      <c r="AD395" s="168" t="s">
        <v>1058</v>
      </c>
      <c r="AE395" s="168" t="s">
        <v>1059</v>
      </c>
      <c r="AF395" s="166" t="s">
        <v>284</v>
      </c>
      <c r="AG395" s="168"/>
      <c r="AH395" s="166" t="s">
        <v>1060</v>
      </c>
      <c r="AI395" s="168">
        <v>0</v>
      </c>
      <c r="AJ395" s="168">
        <v>0</v>
      </c>
      <c r="AP395" s="206"/>
      <c r="AQ395" s="207"/>
      <c r="AR395" s="207"/>
      <c r="AS395" s="207"/>
      <c r="AT395" s="208"/>
      <c r="AU395" s="207"/>
      <c r="AV395" s="208"/>
    </row>
    <row r="396" spans="1:48" s="205" customFormat="1" ht="15">
      <c r="A396" s="145"/>
      <c r="B396" s="166">
        <v>2183</v>
      </c>
      <c r="C396" s="167">
        <v>170263</v>
      </c>
      <c r="D396" s="166">
        <v>169999</v>
      </c>
      <c r="E396" s="168" t="s">
        <v>1522</v>
      </c>
      <c r="F396" s="166"/>
      <c r="G396" s="168"/>
      <c r="H396" s="168"/>
      <c r="I396" s="168"/>
      <c r="J396" s="168">
        <v>0</v>
      </c>
      <c r="K396" s="168" t="s">
        <v>1222</v>
      </c>
      <c r="L396" s="168"/>
      <c r="M396" s="168" t="s">
        <v>1303</v>
      </c>
      <c r="N396" s="169">
        <v>42695</v>
      </c>
      <c r="O396" s="169">
        <v>42695</v>
      </c>
      <c r="P396" s="168" t="s">
        <v>1523</v>
      </c>
      <c r="Q396" s="166">
        <v>1000</v>
      </c>
      <c r="R396" s="166">
        <v>14040</v>
      </c>
      <c r="S396" s="170">
        <v>152.33000000000001</v>
      </c>
      <c r="T396" s="166">
        <v>14046</v>
      </c>
      <c r="U396" s="170">
        <v>76.150000000000006</v>
      </c>
      <c r="V396" s="170">
        <f t="shared" si="25"/>
        <v>76.180000000000007</v>
      </c>
      <c r="W396" s="171">
        <v>13.96</v>
      </c>
      <c r="X396" s="166">
        <v>51260</v>
      </c>
      <c r="Y396" s="170">
        <v>1.27</v>
      </c>
      <c r="Z396" s="168" t="s">
        <v>1053</v>
      </c>
      <c r="AA396" s="168"/>
      <c r="AB396" s="168">
        <v>62201127</v>
      </c>
      <c r="AC396" s="168"/>
      <c r="AD396" s="168" t="s">
        <v>1058</v>
      </c>
      <c r="AE396" s="168" t="s">
        <v>1059</v>
      </c>
      <c r="AF396" s="166" t="s">
        <v>284</v>
      </c>
      <c r="AG396" s="168"/>
      <c r="AH396" s="166" t="s">
        <v>1060</v>
      </c>
      <c r="AI396" s="168">
        <v>0</v>
      </c>
      <c r="AJ396" s="168">
        <v>0</v>
      </c>
      <c r="AP396" s="206"/>
      <c r="AQ396" s="207"/>
      <c r="AR396" s="207"/>
      <c r="AS396" s="207"/>
      <c r="AT396" s="208"/>
      <c r="AU396" s="207"/>
      <c r="AV396" s="208"/>
    </row>
    <row r="397" spans="1:48" s="205" customFormat="1" ht="15">
      <c r="A397" s="145"/>
      <c r="B397" s="166">
        <v>2183</v>
      </c>
      <c r="C397" s="167">
        <v>170262</v>
      </c>
      <c r="D397" s="166">
        <v>170001</v>
      </c>
      <c r="E397" s="168" t="s">
        <v>1524</v>
      </c>
      <c r="F397" s="166"/>
      <c r="G397" s="168"/>
      <c r="H397" s="168"/>
      <c r="I397" s="168"/>
      <c r="J397" s="168">
        <v>0</v>
      </c>
      <c r="K397" s="168" t="s">
        <v>1222</v>
      </c>
      <c r="L397" s="168"/>
      <c r="M397" s="168" t="s">
        <v>1303</v>
      </c>
      <c r="N397" s="169">
        <v>42678</v>
      </c>
      <c r="O397" s="169">
        <v>42678</v>
      </c>
      <c r="P397" s="168" t="s">
        <v>1525</v>
      </c>
      <c r="Q397" s="166">
        <v>1000</v>
      </c>
      <c r="R397" s="166">
        <v>14040</v>
      </c>
      <c r="S397" s="170">
        <v>152.33000000000001</v>
      </c>
      <c r="T397" s="166">
        <v>14046</v>
      </c>
      <c r="U397" s="170">
        <v>77.42</v>
      </c>
      <c r="V397" s="170">
        <f t="shared" si="25"/>
        <v>74.910000000000011</v>
      </c>
      <c r="W397" s="171">
        <v>13.96</v>
      </c>
      <c r="X397" s="166">
        <v>51260</v>
      </c>
      <c r="Y397" s="170">
        <v>1.27</v>
      </c>
      <c r="Z397" s="168" t="s">
        <v>1053</v>
      </c>
      <c r="AA397" s="168"/>
      <c r="AB397" s="168">
        <v>62201683</v>
      </c>
      <c r="AC397" s="168"/>
      <c r="AD397" s="168" t="s">
        <v>1058</v>
      </c>
      <c r="AE397" s="168" t="s">
        <v>1059</v>
      </c>
      <c r="AF397" s="166" t="s">
        <v>284</v>
      </c>
      <c r="AG397" s="168"/>
      <c r="AH397" s="166" t="s">
        <v>1060</v>
      </c>
      <c r="AI397" s="168">
        <v>0</v>
      </c>
      <c r="AJ397" s="168">
        <v>0</v>
      </c>
      <c r="AP397" s="206"/>
      <c r="AQ397" s="207"/>
      <c r="AR397" s="207"/>
      <c r="AS397" s="207"/>
      <c r="AT397" s="208"/>
      <c r="AU397" s="207"/>
      <c r="AV397" s="208"/>
    </row>
    <row r="398" spans="1:48" s="205" customFormat="1" ht="15">
      <c r="A398" s="145"/>
      <c r="B398" s="166">
        <v>2183</v>
      </c>
      <c r="C398" s="167">
        <v>170171</v>
      </c>
      <c r="D398" s="166" t="s">
        <v>1053</v>
      </c>
      <c r="E398" s="168" t="s">
        <v>605</v>
      </c>
      <c r="F398" s="166"/>
      <c r="G398" s="168"/>
      <c r="H398" s="168"/>
      <c r="I398" s="168"/>
      <c r="J398" s="168">
        <v>0</v>
      </c>
      <c r="K398" s="168" t="s">
        <v>1526</v>
      </c>
      <c r="L398" s="168"/>
      <c r="M398" s="168"/>
      <c r="N398" s="169">
        <v>42682</v>
      </c>
      <c r="O398" s="169">
        <v>42682</v>
      </c>
      <c r="P398" s="168" t="s">
        <v>1527</v>
      </c>
      <c r="Q398" s="166">
        <v>500</v>
      </c>
      <c r="R398" s="166">
        <v>14070</v>
      </c>
      <c r="S398" s="170">
        <v>44611.57</v>
      </c>
      <c r="T398" s="166">
        <v>14076</v>
      </c>
      <c r="U398" s="170">
        <v>44611.57</v>
      </c>
      <c r="V398" s="170">
        <f t="shared" ref="V398:V461" si="26">S398-U398</f>
        <v>0</v>
      </c>
      <c r="W398" s="171">
        <v>7435.28</v>
      </c>
      <c r="X398" s="166">
        <v>51260</v>
      </c>
      <c r="Y398" s="170">
        <v>0</v>
      </c>
      <c r="Z398" s="168" t="s">
        <v>1053</v>
      </c>
      <c r="AA398" s="168"/>
      <c r="AB398" s="168">
        <v>837984</v>
      </c>
      <c r="AC398" s="168"/>
      <c r="AD398" s="168" t="s">
        <v>1058</v>
      </c>
      <c r="AE398" s="168" t="s">
        <v>1059</v>
      </c>
      <c r="AF398" s="166" t="s">
        <v>284</v>
      </c>
      <c r="AG398" s="168"/>
      <c r="AH398" s="166" t="s">
        <v>1060</v>
      </c>
      <c r="AI398" s="168">
        <v>0</v>
      </c>
      <c r="AJ398" s="168">
        <v>0</v>
      </c>
      <c r="AP398" s="206"/>
      <c r="AQ398" s="207"/>
      <c r="AR398" s="207"/>
      <c r="AS398" s="207"/>
      <c r="AT398" s="208"/>
      <c r="AU398" s="207"/>
      <c r="AV398" s="208"/>
    </row>
    <row r="399" spans="1:48" s="205" customFormat="1" ht="15">
      <c r="A399" s="145"/>
      <c r="B399" s="166">
        <v>2183</v>
      </c>
      <c r="C399" s="167">
        <v>170001</v>
      </c>
      <c r="D399" s="166" t="s">
        <v>1053</v>
      </c>
      <c r="E399" s="168" t="s">
        <v>598</v>
      </c>
      <c r="F399" s="166"/>
      <c r="G399" s="168"/>
      <c r="H399" s="168" t="s">
        <v>1528</v>
      </c>
      <c r="I399" s="168"/>
      <c r="J399" s="168">
        <v>2017</v>
      </c>
      <c r="K399" s="168" t="s">
        <v>1196</v>
      </c>
      <c r="L399" s="168" t="s">
        <v>1211</v>
      </c>
      <c r="M399" s="168" t="s">
        <v>1212</v>
      </c>
      <c r="N399" s="169">
        <v>42678</v>
      </c>
      <c r="O399" s="169">
        <v>42678</v>
      </c>
      <c r="P399" s="168" t="s">
        <v>1525</v>
      </c>
      <c r="Q399" s="166">
        <v>1000</v>
      </c>
      <c r="R399" s="166">
        <v>14040</v>
      </c>
      <c r="S399" s="170">
        <v>230356.84</v>
      </c>
      <c r="T399" s="166">
        <v>14046</v>
      </c>
      <c r="U399" s="170">
        <v>117098.04</v>
      </c>
      <c r="V399" s="170">
        <f t="shared" si="26"/>
        <v>113258.8</v>
      </c>
      <c r="W399" s="171">
        <v>21116.04</v>
      </c>
      <c r="X399" s="166">
        <v>51260</v>
      </c>
      <c r="Y399" s="170">
        <v>1919.64</v>
      </c>
      <c r="Z399" s="168" t="s">
        <v>1053</v>
      </c>
      <c r="AA399" s="168"/>
      <c r="AB399" s="168" t="s">
        <v>1529</v>
      </c>
      <c r="AC399" s="168">
        <v>5049</v>
      </c>
      <c r="AD399" s="168" t="s">
        <v>1058</v>
      </c>
      <c r="AE399" s="168" t="s">
        <v>1059</v>
      </c>
      <c r="AF399" s="166" t="s">
        <v>284</v>
      </c>
      <c r="AG399" s="168"/>
      <c r="AH399" s="166" t="s">
        <v>1060</v>
      </c>
      <c r="AI399" s="168">
        <v>0</v>
      </c>
      <c r="AJ399" s="168">
        <v>0</v>
      </c>
      <c r="AP399" s="206"/>
      <c r="AQ399" s="207"/>
      <c r="AR399" s="207"/>
      <c r="AS399" s="207"/>
      <c r="AT399" s="208"/>
      <c r="AU399" s="207"/>
      <c r="AV399" s="208"/>
    </row>
    <row r="400" spans="1:48" s="205" customFormat="1" ht="15">
      <c r="A400" s="145"/>
      <c r="B400" s="166">
        <v>2183</v>
      </c>
      <c r="C400" s="167">
        <v>170000</v>
      </c>
      <c r="D400" s="166" t="s">
        <v>1053</v>
      </c>
      <c r="E400" s="168" t="s">
        <v>598</v>
      </c>
      <c r="F400" s="166"/>
      <c r="G400" s="168"/>
      <c r="H400" s="168" t="s">
        <v>1530</v>
      </c>
      <c r="I400" s="168"/>
      <c r="J400" s="168">
        <v>2017</v>
      </c>
      <c r="K400" s="168" t="s">
        <v>1196</v>
      </c>
      <c r="L400" s="168" t="s">
        <v>1211</v>
      </c>
      <c r="M400" s="168" t="s">
        <v>1212</v>
      </c>
      <c r="N400" s="169">
        <v>42695</v>
      </c>
      <c r="O400" s="169">
        <v>42695</v>
      </c>
      <c r="P400" s="168" t="s">
        <v>1531</v>
      </c>
      <c r="Q400" s="166">
        <v>1000</v>
      </c>
      <c r="R400" s="166">
        <v>14040</v>
      </c>
      <c r="S400" s="170">
        <v>230356.84</v>
      </c>
      <c r="T400" s="166">
        <v>14046</v>
      </c>
      <c r="U400" s="170">
        <v>115178.4</v>
      </c>
      <c r="V400" s="170">
        <f t="shared" si="26"/>
        <v>115178.44</v>
      </c>
      <c r="W400" s="171">
        <v>21116.04</v>
      </c>
      <c r="X400" s="166">
        <v>51260</v>
      </c>
      <c r="Y400" s="170">
        <v>1919.64</v>
      </c>
      <c r="Z400" s="168" t="s">
        <v>1053</v>
      </c>
      <c r="AA400" s="168"/>
      <c r="AB400" s="168" t="s">
        <v>1532</v>
      </c>
      <c r="AC400" s="168">
        <v>5048</v>
      </c>
      <c r="AD400" s="168" t="s">
        <v>1058</v>
      </c>
      <c r="AE400" s="168" t="s">
        <v>1059</v>
      </c>
      <c r="AF400" s="166" t="s">
        <v>284</v>
      </c>
      <c r="AG400" s="168"/>
      <c r="AH400" s="166" t="s">
        <v>1060</v>
      </c>
      <c r="AI400" s="168">
        <v>0</v>
      </c>
      <c r="AJ400" s="168">
        <v>0</v>
      </c>
      <c r="AP400" s="206"/>
      <c r="AQ400" s="207"/>
      <c r="AR400" s="207"/>
      <c r="AS400" s="207"/>
      <c r="AT400" s="208"/>
      <c r="AU400" s="207"/>
      <c r="AV400" s="208"/>
    </row>
    <row r="401" spans="1:48" s="205" customFormat="1" ht="15">
      <c r="A401" s="145"/>
      <c r="B401" s="166">
        <v>2183</v>
      </c>
      <c r="C401" s="167">
        <v>169999</v>
      </c>
      <c r="D401" s="166" t="s">
        <v>1053</v>
      </c>
      <c r="E401" s="168" t="s">
        <v>598</v>
      </c>
      <c r="F401" s="166"/>
      <c r="G401" s="168"/>
      <c r="H401" s="168" t="s">
        <v>1533</v>
      </c>
      <c r="I401" s="168"/>
      <c r="J401" s="168">
        <v>2017</v>
      </c>
      <c r="K401" s="168" t="s">
        <v>1196</v>
      </c>
      <c r="L401" s="168" t="s">
        <v>1211</v>
      </c>
      <c r="M401" s="168" t="s">
        <v>1212</v>
      </c>
      <c r="N401" s="169">
        <v>42695</v>
      </c>
      <c r="O401" s="169">
        <v>42695</v>
      </c>
      <c r="P401" s="168" t="s">
        <v>1523</v>
      </c>
      <c r="Q401" s="166">
        <v>1000</v>
      </c>
      <c r="R401" s="166">
        <v>14040</v>
      </c>
      <c r="S401" s="170">
        <v>230356.84</v>
      </c>
      <c r="T401" s="166">
        <v>14046</v>
      </c>
      <c r="U401" s="170">
        <v>115178.4</v>
      </c>
      <c r="V401" s="170">
        <f t="shared" si="26"/>
        <v>115178.44</v>
      </c>
      <c r="W401" s="171">
        <v>21116.04</v>
      </c>
      <c r="X401" s="166">
        <v>51260</v>
      </c>
      <c r="Y401" s="170">
        <v>1919.64</v>
      </c>
      <c r="Z401" s="168" t="s">
        <v>1053</v>
      </c>
      <c r="AA401" s="168"/>
      <c r="AB401" s="168" t="s">
        <v>1534</v>
      </c>
      <c r="AC401" s="168">
        <v>5047</v>
      </c>
      <c r="AD401" s="168" t="s">
        <v>1058</v>
      </c>
      <c r="AE401" s="168" t="s">
        <v>1059</v>
      </c>
      <c r="AF401" s="166" t="s">
        <v>284</v>
      </c>
      <c r="AG401" s="168"/>
      <c r="AH401" s="166" t="s">
        <v>1060</v>
      </c>
      <c r="AI401" s="168">
        <v>0</v>
      </c>
      <c r="AJ401" s="168">
        <v>0</v>
      </c>
      <c r="AP401" s="206"/>
      <c r="AQ401" s="207"/>
      <c r="AR401" s="207"/>
      <c r="AS401" s="207"/>
      <c r="AT401" s="208"/>
      <c r="AU401" s="207"/>
      <c r="AV401" s="208"/>
    </row>
    <row r="402" spans="1:48" s="205" customFormat="1" ht="15">
      <c r="A402" s="145"/>
      <c r="B402" s="166">
        <v>2183</v>
      </c>
      <c r="C402" s="167">
        <v>169402</v>
      </c>
      <c r="D402" s="166" t="s">
        <v>1053</v>
      </c>
      <c r="E402" s="168" t="s">
        <v>1535</v>
      </c>
      <c r="F402" s="166"/>
      <c r="G402" s="168"/>
      <c r="H402" s="168"/>
      <c r="I402" s="168"/>
      <c r="J402" s="168">
        <v>0</v>
      </c>
      <c r="K402" s="168" t="s">
        <v>1536</v>
      </c>
      <c r="L402" s="168"/>
      <c r="M402" s="168"/>
      <c r="N402" s="169">
        <v>42606</v>
      </c>
      <c r="O402" s="169">
        <v>42606</v>
      </c>
      <c r="P402" s="168" t="s">
        <v>1537</v>
      </c>
      <c r="Q402" s="166">
        <v>1000</v>
      </c>
      <c r="R402" s="166">
        <v>14080</v>
      </c>
      <c r="S402" s="170">
        <v>27577.19</v>
      </c>
      <c r="T402" s="166">
        <v>14086</v>
      </c>
      <c r="U402" s="170">
        <v>14478.03</v>
      </c>
      <c r="V402" s="170">
        <f t="shared" si="26"/>
        <v>13099.159999999998</v>
      </c>
      <c r="W402" s="171">
        <v>2527.91</v>
      </c>
      <c r="X402" s="166">
        <v>57260</v>
      </c>
      <c r="Y402" s="170">
        <v>229.81</v>
      </c>
      <c r="Z402" s="168" t="s">
        <v>1053</v>
      </c>
      <c r="AA402" s="168"/>
      <c r="AB402" s="168" t="s">
        <v>1538</v>
      </c>
      <c r="AC402" s="168"/>
      <c r="AD402" s="168" t="s">
        <v>1058</v>
      </c>
      <c r="AE402" s="168" t="s">
        <v>1059</v>
      </c>
      <c r="AF402" s="166" t="s">
        <v>284</v>
      </c>
      <c r="AG402" s="168"/>
      <c r="AH402" s="166" t="s">
        <v>1060</v>
      </c>
      <c r="AI402" s="168">
        <v>0</v>
      </c>
      <c r="AJ402" s="168">
        <v>0</v>
      </c>
      <c r="AP402" s="206"/>
      <c r="AQ402" s="207"/>
      <c r="AR402" s="207"/>
      <c r="AS402" s="207"/>
      <c r="AT402" s="208"/>
      <c r="AU402" s="207"/>
      <c r="AV402" s="208"/>
    </row>
    <row r="403" spans="1:48" s="205" customFormat="1" ht="15">
      <c r="A403" s="145"/>
      <c r="B403" s="166">
        <v>2183</v>
      </c>
      <c r="C403" s="167">
        <v>169241</v>
      </c>
      <c r="D403" s="166">
        <v>167233</v>
      </c>
      <c r="E403" s="168" t="s">
        <v>1539</v>
      </c>
      <c r="F403" s="166"/>
      <c r="G403" s="168"/>
      <c r="H403" s="168"/>
      <c r="I403" s="168"/>
      <c r="J403" s="168">
        <v>0</v>
      </c>
      <c r="K403" s="168" t="s">
        <v>1253</v>
      </c>
      <c r="L403" s="168"/>
      <c r="M403" s="168" t="s">
        <v>1303</v>
      </c>
      <c r="N403" s="169">
        <v>42632</v>
      </c>
      <c r="O403" s="169">
        <v>42632</v>
      </c>
      <c r="P403" s="168" t="s">
        <v>1540</v>
      </c>
      <c r="Q403" s="166">
        <v>400</v>
      </c>
      <c r="R403" s="166">
        <v>14040</v>
      </c>
      <c r="S403" s="170">
        <v>2673.24</v>
      </c>
      <c r="T403" s="166">
        <v>14046</v>
      </c>
      <c r="U403" s="170">
        <v>2673.24</v>
      </c>
      <c r="V403" s="170">
        <f t="shared" si="26"/>
        <v>0</v>
      </c>
      <c r="W403" s="171">
        <v>0</v>
      </c>
      <c r="X403" s="166">
        <v>51260</v>
      </c>
      <c r="Y403" s="170">
        <v>0</v>
      </c>
      <c r="Z403" s="168" t="s">
        <v>1053</v>
      </c>
      <c r="AA403" s="168"/>
      <c r="AB403" s="168" t="s">
        <v>1397</v>
      </c>
      <c r="AC403" s="168"/>
      <c r="AD403" s="168" t="s">
        <v>1058</v>
      </c>
      <c r="AE403" s="168" t="s">
        <v>1059</v>
      </c>
      <c r="AF403" s="166" t="s">
        <v>284</v>
      </c>
      <c r="AG403" s="168"/>
      <c r="AH403" s="166" t="s">
        <v>1060</v>
      </c>
      <c r="AI403" s="168">
        <v>0</v>
      </c>
      <c r="AJ403" s="168">
        <v>0</v>
      </c>
      <c r="AP403" s="206"/>
      <c r="AQ403" s="207"/>
      <c r="AR403" s="207"/>
      <c r="AS403" s="207"/>
      <c r="AT403" s="208"/>
      <c r="AU403" s="207"/>
      <c r="AV403" s="208"/>
    </row>
    <row r="404" spans="1:48" s="205" customFormat="1" ht="15">
      <c r="A404" s="145"/>
      <c r="B404" s="166">
        <v>2183</v>
      </c>
      <c r="C404" s="167">
        <v>169041</v>
      </c>
      <c r="D404" s="166" t="s">
        <v>1053</v>
      </c>
      <c r="E404" s="168" t="s">
        <v>1541</v>
      </c>
      <c r="F404" s="166"/>
      <c r="G404" s="168"/>
      <c r="H404" s="168" t="s">
        <v>1542</v>
      </c>
      <c r="I404" s="168"/>
      <c r="J404" s="168">
        <v>2017</v>
      </c>
      <c r="K404" s="168" t="s">
        <v>1196</v>
      </c>
      <c r="L404" s="168" t="s">
        <v>1231</v>
      </c>
      <c r="M404" s="168" t="s">
        <v>1232</v>
      </c>
      <c r="N404" s="169">
        <v>42646</v>
      </c>
      <c r="O404" s="169">
        <v>42646</v>
      </c>
      <c r="P404" s="168" t="s">
        <v>1543</v>
      </c>
      <c r="Q404" s="166">
        <v>1000</v>
      </c>
      <c r="R404" s="166">
        <v>14040</v>
      </c>
      <c r="S404" s="170">
        <v>231607.35</v>
      </c>
      <c r="T404" s="166">
        <v>14046</v>
      </c>
      <c r="U404" s="170">
        <v>119663.82</v>
      </c>
      <c r="V404" s="170">
        <f t="shared" si="26"/>
        <v>111943.53</v>
      </c>
      <c r="W404" s="171">
        <v>21230.68</v>
      </c>
      <c r="X404" s="166">
        <v>51260</v>
      </c>
      <c r="Y404" s="170">
        <v>1930.06</v>
      </c>
      <c r="Z404" s="168" t="s">
        <v>1053</v>
      </c>
      <c r="AA404" s="168"/>
      <c r="AB404" s="168" t="s">
        <v>1544</v>
      </c>
      <c r="AC404" s="168">
        <v>4076</v>
      </c>
      <c r="AD404" s="168" t="s">
        <v>1058</v>
      </c>
      <c r="AE404" s="168" t="s">
        <v>1059</v>
      </c>
      <c r="AF404" s="166" t="s">
        <v>284</v>
      </c>
      <c r="AG404" s="168"/>
      <c r="AH404" s="166" t="s">
        <v>1060</v>
      </c>
      <c r="AI404" s="168">
        <v>0</v>
      </c>
      <c r="AJ404" s="168">
        <v>0</v>
      </c>
      <c r="AP404" s="206"/>
      <c r="AQ404" s="207"/>
      <c r="AR404" s="207"/>
      <c r="AS404" s="207"/>
      <c r="AT404" s="208"/>
      <c r="AU404" s="207"/>
      <c r="AV404" s="208"/>
    </row>
    <row r="405" spans="1:48" s="205" customFormat="1" ht="15">
      <c r="A405" s="145"/>
      <c r="B405" s="166">
        <v>2183</v>
      </c>
      <c r="C405" s="167">
        <v>168615</v>
      </c>
      <c r="D405" s="166" t="s">
        <v>1053</v>
      </c>
      <c r="E405" s="168" t="s">
        <v>1545</v>
      </c>
      <c r="F405" s="166">
        <v>6</v>
      </c>
      <c r="G405" s="168"/>
      <c r="H405" s="168"/>
      <c r="I405" s="168"/>
      <c r="J405" s="168">
        <v>0</v>
      </c>
      <c r="K405" s="168"/>
      <c r="L405" s="168"/>
      <c r="M405" s="168"/>
      <c r="N405" s="169">
        <v>40544</v>
      </c>
      <c r="O405" s="169">
        <v>40544</v>
      </c>
      <c r="P405" s="168"/>
      <c r="Q405" s="166">
        <v>300</v>
      </c>
      <c r="R405" s="166">
        <v>14050</v>
      </c>
      <c r="S405" s="170">
        <v>0.01</v>
      </c>
      <c r="T405" s="166">
        <v>14056</v>
      </c>
      <c r="U405" s="170">
        <v>0.01</v>
      </c>
      <c r="V405" s="170">
        <f t="shared" si="26"/>
        <v>0</v>
      </c>
      <c r="W405" s="171">
        <v>0</v>
      </c>
      <c r="X405" s="166">
        <v>54260</v>
      </c>
      <c r="Y405" s="170">
        <v>0</v>
      </c>
      <c r="Z405" s="168" t="s">
        <v>1053</v>
      </c>
      <c r="AA405" s="168"/>
      <c r="AB405" s="168"/>
      <c r="AC405" s="168"/>
      <c r="AD405" s="168" t="s">
        <v>1058</v>
      </c>
      <c r="AE405" s="168" t="s">
        <v>1059</v>
      </c>
      <c r="AF405" s="166" t="s">
        <v>284</v>
      </c>
      <c r="AG405" s="168"/>
      <c r="AH405" s="166" t="s">
        <v>1060</v>
      </c>
      <c r="AI405" s="168">
        <v>0</v>
      </c>
      <c r="AJ405" s="168">
        <v>0</v>
      </c>
      <c r="AP405" s="206"/>
      <c r="AQ405" s="207"/>
      <c r="AR405" s="207"/>
      <c r="AS405" s="207"/>
      <c r="AT405" s="208"/>
      <c r="AU405" s="207"/>
      <c r="AV405" s="208"/>
    </row>
    <row r="406" spans="1:48" s="205" customFormat="1" ht="15">
      <c r="A406" s="145"/>
      <c r="B406" s="166">
        <v>2183</v>
      </c>
      <c r="C406" s="167">
        <v>167286</v>
      </c>
      <c r="D406" s="166" t="s">
        <v>1053</v>
      </c>
      <c r="E406" s="168" t="s">
        <v>1546</v>
      </c>
      <c r="F406" s="166">
        <v>40</v>
      </c>
      <c r="G406" s="168"/>
      <c r="H406" s="168"/>
      <c r="I406" s="168"/>
      <c r="J406" s="168">
        <v>0</v>
      </c>
      <c r="K406" s="168" t="s">
        <v>1155</v>
      </c>
      <c r="L406" s="168"/>
      <c r="M406" s="168" t="s">
        <v>1136</v>
      </c>
      <c r="N406" s="169">
        <v>42613</v>
      </c>
      <c r="O406" s="169">
        <v>42613</v>
      </c>
      <c r="P406" s="168" t="s">
        <v>1547</v>
      </c>
      <c r="Q406" s="166">
        <v>1200</v>
      </c>
      <c r="R406" s="166">
        <v>14050</v>
      </c>
      <c r="S406" s="170">
        <v>23044.400000000001</v>
      </c>
      <c r="T406" s="166">
        <v>14056</v>
      </c>
      <c r="U406" s="170">
        <v>10081.94</v>
      </c>
      <c r="V406" s="170">
        <f t="shared" si="26"/>
        <v>12962.460000000001</v>
      </c>
      <c r="W406" s="171">
        <v>1760.34</v>
      </c>
      <c r="X406" s="166">
        <v>54260</v>
      </c>
      <c r="Y406" s="170">
        <v>160.03</v>
      </c>
      <c r="Z406" s="168" t="s">
        <v>1053</v>
      </c>
      <c r="AA406" s="168"/>
      <c r="AB406" s="168">
        <v>123147</v>
      </c>
      <c r="AC406" s="168"/>
      <c r="AD406" s="168" t="s">
        <v>1058</v>
      </c>
      <c r="AE406" s="168" t="s">
        <v>1059</v>
      </c>
      <c r="AF406" s="166" t="s">
        <v>284</v>
      </c>
      <c r="AG406" s="168"/>
      <c r="AH406" s="166" t="s">
        <v>1060</v>
      </c>
      <c r="AI406" s="168">
        <v>0</v>
      </c>
      <c r="AJ406" s="168">
        <v>0</v>
      </c>
      <c r="AP406" s="206"/>
      <c r="AQ406" s="207"/>
      <c r="AR406" s="207"/>
      <c r="AS406" s="207"/>
      <c r="AT406" s="208"/>
      <c r="AU406" s="207"/>
      <c r="AV406" s="208"/>
    </row>
    <row r="407" spans="1:48" s="205" customFormat="1" ht="15">
      <c r="A407" s="145"/>
      <c r="B407" s="166">
        <v>2183</v>
      </c>
      <c r="C407" s="167">
        <v>167233</v>
      </c>
      <c r="D407" s="166" t="s">
        <v>1053</v>
      </c>
      <c r="E407" s="168" t="s">
        <v>1548</v>
      </c>
      <c r="F407" s="166"/>
      <c r="G407" s="168"/>
      <c r="H407" s="168" t="s">
        <v>1549</v>
      </c>
      <c r="I407" s="168"/>
      <c r="J407" s="168">
        <v>2016</v>
      </c>
      <c r="K407" s="168" t="s">
        <v>1253</v>
      </c>
      <c r="L407" s="168" t="s">
        <v>1253</v>
      </c>
      <c r="M407" s="168" t="s">
        <v>1254</v>
      </c>
      <c r="N407" s="169">
        <v>42632</v>
      </c>
      <c r="O407" s="169">
        <v>42632</v>
      </c>
      <c r="P407" s="168" t="s">
        <v>1540</v>
      </c>
      <c r="Q407" s="166">
        <v>400</v>
      </c>
      <c r="R407" s="166">
        <v>14040</v>
      </c>
      <c r="S407" s="170">
        <v>29202.25</v>
      </c>
      <c r="T407" s="166">
        <v>14046</v>
      </c>
      <c r="U407" s="170">
        <v>29202.25</v>
      </c>
      <c r="V407" s="170">
        <f t="shared" si="26"/>
        <v>0</v>
      </c>
      <c r="W407" s="171">
        <v>0</v>
      </c>
      <c r="X407" s="166">
        <v>51260</v>
      </c>
      <c r="Y407" s="170">
        <v>0</v>
      </c>
      <c r="Z407" s="168" t="s">
        <v>1053</v>
      </c>
      <c r="AA407" s="168"/>
      <c r="AB407" s="168">
        <v>362553</v>
      </c>
      <c r="AC407" s="168">
        <v>6056</v>
      </c>
      <c r="AD407" s="168" t="s">
        <v>1058</v>
      </c>
      <c r="AE407" s="168" t="s">
        <v>1059</v>
      </c>
      <c r="AF407" s="166" t="s">
        <v>284</v>
      </c>
      <c r="AG407" s="168"/>
      <c r="AH407" s="166" t="s">
        <v>1060</v>
      </c>
      <c r="AI407" s="168">
        <v>0</v>
      </c>
      <c r="AJ407" s="168">
        <v>0</v>
      </c>
      <c r="AP407" s="206"/>
      <c r="AQ407" s="207"/>
      <c r="AR407" s="207"/>
      <c r="AS407" s="207"/>
      <c r="AT407" s="208"/>
      <c r="AU407" s="207"/>
      <c r="AV407" s="208"/>
    </row>
    <row r="408" spans="1:48" s="205" customFormat="1" ht="15">
      <c r="A408" s="145"/>
      <c r="B408" s="166">
        <v>2183</v>
      </c>
      <c r="C408" s="167">
        <v>166033</v>
      </c>
      <c r="D408" s="166" t="s">
        <v>1053</v>
      </c>
      <c r="E408" s="168" t="s">
        <v>1520</v>
      </c>
      <c r="F408" s="166">
        <v>864</v>
      </c>
      <c r="G408" s="168"/>
      <c r="H408" s="168"/>
      <c r="I408" s="168"/>
      <c r="J408" s="168">
        <v>0</v>
      </c>
      <c r="K408" s="168" t="s">
        <v>1518</v>
      </c>
      <c r="L408" s="168"/>
      <c r="M408" s="168"/>
      <c r="N408" s="169">
        <v>42571</v>
      </c>
      <c r="O408" s="169">
        <v>42571</v>
      </c>
      <c r="P408" s="168" t="s">
        <v>1550</v>
      </c>
      <c r="Q408" s="166">
        <v>700</v>
      </c>
      <c r="R408" s="166">
        <v>14050</v>
      </c>
      <c r="S408" s="170">
        <v>36851.300000000003</v>
      </c>
      <c r="T408" s="166">
        <v>14056</v>
      </c>
      <c r="U408" s="170">
        <v>28077.17</v>
      </c>
      <c r="V408" s="170">
        <f t="shared" si="26"/>
        <v>8774.1300000000047</v>
      </c>
      <c r="W408" s="171">
        <v>4825.76</v>
      </c>
      <c r="X408" s="166">
        <v>54260</v>
      </c>
      <c r="Y408" s="170">
        <v>438.7</v>
      </c>
      <c r="Z408" s="168" t="s">
        <v>1053</v>
      </c>
      <c r="AA408" s="168"/>
      <c r="AB408" s="168">
        <v>65423893</v>
      </c>
      <c r="AC408" s="168"/>
      <c r="AD408" s="168" t="s">
        <v>1058</v>
      </c>
      <c r="AE408" s="168" t="s">
        <v>1059</v>
      </c>
      <c r="AF408" s="166" t="s">
        <v>284</v>
      </c>
      <c r="AG408" s="168"/>
      <c r="AH408" s="166" t="s">
        <v>1060</v>
      </c>
      <c r="AI408" s="168">
        <v>0</v>
      </c>
      <c r="AJ408" s="168">
        <v>0</v>
      </c>
      <c r="AP408" s="206"/>
      <c r="AQ408" s="207"/>
      <c r="AR408" s="207"/>
      <c r="AS408" s="207"/>
      <c r="AT408" s="208"/>
      <c r="AU408" s="207"/>
      <c r="AV408" s="208"/>
    </row>
    <row r="409" spans="1:48" s="205" customFormat="1" ht="15">
      <c r="A409" s="145"/>
      <c r="B409" s="166">
        <v>2183</v>
      </c>
      <c r="C409" s="167">
        <v>165694</v>
      </c>
      <c r="D409" s="166" t="s">
        <v>1053</v>
      </c>
      <c r="E409" s="168" t="s">
        <v>1551</v>
      </c>
      <c r="F409" s="166">
        <v>3</v>
      </c>
      <c r="G409" s="168"/>
      <c r="H409" s="168"/>
      <c r="I409" s="168"/>
      <c r="J409" s="168">
        <v>0</v>
      </c>
      <c r="K409" s="168" t="s">
        <v>1155</v>
      </c>
      <c r="L409" s="168"/>
      <c r="M409" s="168" t="s">
        <v>1353</v>
      </c>
      <c r="N409" s="169">
        <v>42582</v>
      </c>
      <c r="O409" s="169">
        <v>42582</v>
      </c>
      <c r="P409" s="168" t="s">
        <v>1547</v>
      </c>
      <c r="Q409" s="166">
        <v>1200</v>
      </c>
      <c r="R409" s="166">
        <v>14050</v>
      </c>
      <c r="S409" s="170">
        <v>19635</v>
      </c>
      <c r="T409" s="166">
        <v>14056</v>
      </c>
      <c r="U409" s="170">
        <v>8726.67</v>
      </c>
      <c r="V409" s="170">
        <f t="shared" si="26"/>
        <v>10908.33</v>
      </c>
      <c r="W409" s="171">
        <v>1499.9</v>
      </c>
      <c r="X409" s="166">
        <v>54260</v>
      </c>
      <c r="Y409" s="170">
        <v>136.36000000000001</v>
      </c>
      <c r="Z409" s="168" t="s">
        <v>1053</v>
      </c>
      <c r="AA409" s="168"/>
      <c r="AB409" s="168">
        <v>121891</v>
      </c>
      <c r="AC409" s="168"/>
      <c r="AD409" s="168" t="s">
        <v>1058</v>
      </c>
      <c r="AE409" s="168" t="s">
        <v>1059</v>
      </c>
      <c r="AF409" s="166" t="s">
        <v>284</v>
      </c>
      <c r="AG409" s="168"/>
      <c r="AH409" s="166" t="s">
        <v>1060</v>
      </c>
      <c r="AI409" s="168">
        <v>0</v>
      </c>
      <c r="AJ409" s="168">
        <v>0</v>
      </c>
      <c r="AP409" s="206"/>
      <c r="AQ409" s="207"/>
      <c r="AR409" s="207"/>
      <c r="AS409" s="207"/>
      <c r="AT409" s="208"/>
      <c r="AU409" s="207"/>
      <c r="AV409" s="208"/>
    </row>
    <row r="410" spans="1:48" s="205" customFormat="1" ht="15">
      <c r="A410" s="145"/>
      <c r="B410" s="166">
        <v>2183</v>
      </c>
      <c r="C410" s="167">
        <v>165693</v>
      </c>
      <c r="D410" s="166" t="s">
        <v>1053</v>
      </c>
      <c r="E410" s="168" t="s">
        <v>1552</v>
      </c>
      <c r="F410" s="166">
        <v>950</v>
      </c>
      <c r="G410" s="168"/>
      <c r="H410" s="168"/>
      <c r="I410" s="168"/>
      <c r="J410" s="168">
        <v>0</v>
      </c>
      <c r="K410" s="168" t="s">
        <v>1518</v>
      </c>
      <c r="L410" s="168"/>
      <c r="M410" s="168"/>
      <c r="N410" s="169">
        <v>42571</v>
      </c>
      <c r="O410" s="169">
        <v>42571</v>
      </c>
      <c r="P410" s="168" t="s">
        <v>1550</v>
      </c>
      <c r="Q410" s="166">
        <v>700</v>
      </c>
      <c r="R410" s="166">
        <v>14050</v>
      </c>
      <c r="S410" s="170">
        <v>33156.589999999997</v>
      </c>
      <c r="T410" s="166">
        <v>14056</v>
      </c>
      <c r="U410" s="170">
        <v>25262.19</v>
      </c>
      <c r="V410" s="170">
        <f t="shared" si="26"/>
        <v>7894.3999999999978</v>
      </c>
      <c r="W410" s="171">
        <v>4341.9399999999996</v>
      </c>
      <c r="X410" s="166">
        <v>54260</v>
      </c>
      <c r="Y410" s="170">
        <v>394.72</v>
      </c>
      <c r="Z410" s="168" t="s">
        <v>1053</v>
      </c>
      <c r="AA410" s="168"/>
      <c r="AB410" s="168">
        <v>65423105</v>
      </c>
      <c r="AC410" s="168"/>
      <c r="AD410" s="168" t="s">
        <v>1058</v>
      </c>
      <c r="AE410" s="168" t="s">
        <v>1059</v>
      </c>
      <c r="AF410" s="166" t="s">
        <v>284</v>
      </c>
      <c r="AG410" s="168"/>
      <c r="AH410" s="166" t="s">
        <v>1060</v>
      </c>
      <c r="AI410" s="168">
        <v>0</v>
      </c>
      <c r="AJ410" s="168">
        <v>0</v>
      </c>
      <c r="AP410" s="206"/>
      <c r="AQ410" s="207"/>
      <c r="AR410" s="207"/>
      <c r="AS410" s="207"/>
      <c r="AT410" s="208"/>
      <c r="AU410" s="207"/>
      <c r="AV410" s="208"/>
    </row>
    <row r="411" spans="1:48" s="205" customFormat="1" ht="15">
      <c r="A411" s="145"/>
      <c r="B411" s="166">
        <v>2183</v>
      </c>
      <c r="C411" s="167">
        <v>165692</v>
      </c>
      <c r="D411" s="166" t="s">
        <v>1053</v>
      </c>
      <c r="E411" s="168" t="s">
        <v>1553</v>
      </c>
      <c r="F411" s="166">
        <v>624</v>
      </c>
      <c r="G411" s="168"/>
      <c r="H411" s="168"/>
      <c r="I411" s="168"/>
      <c r="J411" s="168">
        <v>0</v>
      </c>
      <c r="K411" s="168" t="s">
        <v>1518</v>
      </c>
      <c r="L411" s="168"/>
      <c r="M411" s="168"/>
      <c r="N411" s="169">
        <v>42549</v>
      </c>
      <c r="O411" s="169">
        <v>42549</v>
      </c>
      <c r="P411" s="168" t="s">
        <v>1550</v>
      </c>
      <c r="Q411" s="166">
        <v>700</v>
      </c>
      <c r="R411" s="166">
        <v>14050</v>
      </c>
      <c r="S411" s="170">
        <v>30864.1</v>
      </c>
      <c r="T411" s="166">
        <v>14056</v>
      </c>
      <c r="U411" s="170">
        <v>23882.95</v>
      </c>
      <c r="V411" s="170">
        <f t="shared" si="26"/>
        <v>6981.1499999999978</v>
      </c>
      <c r="W411" s="171">
        <v>4041.73</v>
      </c>
      <c r="X411" s="166">
        <v>54260</v>
      </c>
      <c r="Y411" s="170">
        <v>367.43</v>
      </c>
      <c r="Z411" s="168" t="s">
        <v>1053</v>
      </c>
      <c r="AA411" s="168"/>
      <c r="AB411" s="168">
        <v>65420173</v>
      </c>
      <c r="AC411" s="168"/>
      <c r="AD411" s="168" t="s">
        <v>1058</v>
      </c>
      <c r="AE411" s="168" t="s">
        <v>1059</v>
      </c>
      <c r="AF411" s="166" t="s">
        <v>284</v>
      </c>
      <c r="AG411" s="168"/>
      <c r="AH411" s="166" t="s">
        <v>1060</v>
      </c>
      <c r="AI411" s="168">
        <v>0</v>
      </c>
      <c r="AJ411" s="168">
        <v>0</v>
      </c>
      <c r="AP411" s="206"/>
      <c r="AQ411" s="207"/>
      <c r="AR411" s="207"/>
      <c r="AS411" s="207"/>
      <c r="AT411" s="208"/>
      <c r="AU411" s="207"/>
      <c r="AV411" s="208"/>
    </row>
    <row r="412" spans="1:48" s="205" customFormat="1" ht="15">
      <c r="A412" s="145"/>
      <c r="B412" s="166">
        <v>2183</v>
      </c>
      <c r="C412" s="167">
        <v>165691</v>
      </c>
      <c r="D412" s="166" t="s">
        <v>1053</v>
      </c>
      <c r="E412" s="168" t="s">
        <v>1554</v>
      </c>
      <c r="F412" s="166">
        <v>624</v>
      </c>
      <c r="G412" s="168"/>
      <c r="H412" s="168"/>
      <c r="I412" s="168"/>
      <c r="J412" s="168">
        <v>0</v>
      </c>
      <c r="K412" s="168" t="s">
        <v>1518</v>
      </c>
      <c r="L412" s="168"/>
      <c r="M412" s="168"/>
      <c r="N412" s="169">
        <v>42549</v>
      </c>
      <c r="O412" s="169">
        <v>42549</v>
      </c>
      <c r="P412" s="168" t="s">
        <v>1550</v>
      </c>
      <c r="Q412" s="166">
        <v>700</v>
      </c>
      <c r="R412" s="166">
        <v>14050</v>
      </c>
      <c r="S412" s="170">
        <v>30864.1</v>
      </c>
      <c r="T412" s="166">
        <v>14056</v>
      </c>
      <c r="U412" s="170">
        <v>23882.95</v>
      </c>
      <c r="V412" s="170">
        <f t="shared" si="26"/>
        <v>6981.1499999999978</v>
      </c>
      <c r="W412" s="171">
        <v>4041.73</v>
      </c>
      <c r="X412" s="166">
        <v>54260</v>
      </c>
      <c r="Y412" s="170">
        <v>367.43</v>
      </c>
      <c r="Z412" s="168" t="s">
        <v>1053</v>
      </c>
      <c r="AA412" s="168"/>
      <c r="AB412" s="168">
        <v>65414524</v>
      </c>
      <c r="AC412" s="168"/>
      <c r="AD412" s="168" t="s">
        <v>1058</v>
      </c>
      <c r="AE412" s="168" t="s">
        <v>1059</v>
      </c>
      <c r="AF412" s="166" t="s">
        <v>284</v>
      </c>
      <c r="AG412" s="168"/>
      <c r="AH412" s="166" t="s">
        <v>1060</v>
      </c>
      <c r="AI412" s="168">
        <v>0</v>
      </c>
      <c r="AJ412" s="168">
        <v>0</v>
      </c>
      <c r="AP412" s="206"/>
      <c r="AQ412" s="207"/>
      <c r="AR412" s="207"/>
      <c r="AS412" s="207"/>
      <c r="AT412" s="208"/>
      <c r="AU412" s="207"/>
      <c r="AV412" s="208"/>
    </row>
    <row r="413" spans="1:48" s="205" customFormat="1" ht="15">
      <c r="A413" s="145"/>
      <c r="B413" s="166">
        <v>2183</v>
      </c>
      <c r="C413" s="167">
        <v>139930</v>
      </c>
      <c r="D413" s="166">
        <v>132279</v>
      </c>
      <c r="E413" s="168" t="s">
        <v>1555</v>
      </c>
      <c r="F413" s="166"/>
      <c r="G413" s="168"/>
      <c r="H413" s="168"/>
      <c r="I413" s="168"/>
      <c r="J413" s="168">
        <v>0</v>
      </c>
      <c r="K413" s="168" t="s">
        <v>1556</v>
      </c>
      <c r="L413" s="168"/>
      <c r="M413" s="168"/>
      <c r="N413" s="169">
        <v>42490</v>
      </c>
      <c r="O413" s="169">
        <v>42490</v>
      </c>
      <c r="P413" s="168" t="s">
        <v>1557</v>
      </c>
      <c r="Q413" s="166">
        <v>100</v>
      </c>
      <c r="R413" s="166">
        <v>14110</v>
      </c>
      <c r="S413" s="170">
        <v>675</v>
      </c>
      <c r="T413" s="166">
        <v>14116</v>
      </c>
      <c r="U413" s="170">
        <v>675</v>
      </c>
      <c r="V413" s="170">
        <f t="shared" si="26"/>
        <v>0</v>
      </c>
      <c r="W413" s="171">
        <v>0</v>
      </c>
      <c r="X413" s="166">
        <v>70260</v>
      </c>
      <c r="Y413" s="170">
        <v>0</v>
      </c>
      <c r="Z413" s="168" t="s">
        <v>1053</v>
      </c>
      <c r="AA413" s="168"/>
      <c r="AB413" s="168">
        <v>123</v>
      </c>
      <c r="AC413" s="168"/>
      <c r="AD413" s="168" t="s">
        <v>1058</v>
      </c>
      <c r="AE413" s="168" t="s">
        <v>1059</v>
      </c>
      <c r="AF413" s="166" t="s">
        <v>284</v>
      </c>
      <c r="AG413" s="168"/>
      <c r="AH413" s="166" t="s">
        <v>1060</v>
      </c>
      <c r="AI413" s="168">
        <v>0</v>
      </c>
      <c r="AJ413" s="168">
        <v>0</v>
      </c>
      <c r="AP413" s="206"/>
      <c r="AQ413" s="207"/>
      <c r="AR413" s="207"/>
      <c r="AS413" s="207"/>
      <c r="AT413" s="208"/>
      <c r="AU413" s="207"/>
      <c r="AV413" s="208"/>
    </row>
    <row r="414" spans="1:48" s="205" customFormat="1" ht="15">
      <c r="A414" s="145"/>
      <c r="B414" s="166">
        <v>2183</v>
      </c>
      <c r="C414" s="167">
        <v>139785</v>
      </c>
      <c r="D414" s="166">
        <v>132279</v>
      </c>
      <c r="E414" s="168" t="s">
        <v>1558</v>
      </c>
      <c r="F414" s="166"/>
      <c r="G414" s="168"/>
      <c r="H414" s="168"/>
      <c r="I414" s="168"/>
      <c r="J414" s="168">
        <v>0</v>
      </c>
      <c r="K414" s="168" t="s">
        <v>1559</v>
      </c>
      <c r="L414" s="168"/>
      <c r="M414" s="168"/>
      <c r="N414" s="169">
        <v>42490</v>
      </c>
      <c r="O414" s="169">
        <v>42490</v>
      </c>
      <c r="P414" s="168" t="s">
        <v>1557</v>
      </c>
      <c r="Q414" s="166">
        <v>100</v>
      </c>
      <c r="R414" s="166">
        <v>14110</v>
      </c>
      <c r="S414" s="170">
        <v>16641.82</v>
      </c>
      <c r="T414" s="166">
        <v>14116</v>
      </c>
      <c r="U414" s="170">
        <v>16641.82</v>
      </c>
      <c r="V414" s="170">
        <f t="shared" si="26"/>
        <v>0</v>
      </c>
      <c r="W414" s="171">
        <v>0</v>
      </c>
      <c r="X414" s="166">
        <v>70260</v>
      </c>
      <c r="Y414" s="170">
        <v>0</v>
      </c>
      <c r="Z414" s="168" t="s">
        <v>1053</v>
      </c>
      <c r="AA414" s="168"/>
      <c r="AB414" s="168" t="s">
        <v>1560</v>
      </c>
      <c r="AC414" s="168"/>
      <c r="AD414" s="168" t="s">
        <v>1058</v>
      </c>
      <c r="AE414" s="168" t="s">
        <v>1059</v>
      </c>
      <c r="AF414" s="166" t="s">
        <v>284</v>
      </c>
      <c r="AG414" s="168"/>
      <c r="AH414" s="166" t="s">
        <v>1060</v>
      </c>
      <c r="AI414" s="168">
        <v>0</v>
      </c>
      <c r="AJ414" s="168">
        <v>0</v>
      </c>
      <c r="AP414" s="206"/>
      <c r="AQ414" s="207"/>
      <c r="AR414" s="207"/>
      <c r="AS414" s="207"/>
      <c r="AT414" s="208"/>
      <c r="AU414" s="207"/>
      <c r="AV414" s="208"/>
    </row>
    <row r="415" spans="1:48" s="205" customFormat="1" ht="15">
      <c r="A415" s="145"/>
      <c r="B415" s="166">
        <v>2183</v>
      </c>
      <c r="C415" s="167">
        <v>133138</v>
      </c>
      <c r="D415" s="166" t="s">
        <v>1053</v>
      </c>
      <c r="E415" s="168" t="s">
        <v>594</v>
      </c>
      <c r="F415" s="166"/>
      <c r="G415" s="168"/>
      <c r="H415" s="168"/>
      <c r="I415" s="168"/>
      <c r="J415" s="168">
        <v>0</v>
      </c>
      <c r="K415" s="168" t="s">
        <v>1261</v>
      </c>
      <c r="L415" s="168"/>
      <c r="M415" s="168"/>
      <c r="N415" s="169">
        <v>42416</v>
      </c>
      <c r="O415" s="169">
        <v>42416</v>
      </c>
      <c r="P415" s="168" t="s">
        <v>1561</v>
      </c>
      <c r="Q415" s="166">
        <v>300</v>
      </c>
      <c r="R415" s="166">
        <v>14110</v>
      </c>
      <c r="S415" s="170">
        <v>1045.18</v>
      </c>
      <c r="T415" s="166">
        <v>14116</v>
      </c>
      <c r="U415" s="170">
        <v>1045.18</v>
      </c>
      <c r="V415" s="170">
        <f t="shared" si="26"/>
        <v>0</v>
      </c>
      <c r="W415" s="171">
        <v>0</v>
      </c>
      <c r="X415" s="166">
        <v>70260</v>
      </c>
      <c r="Y415" s="170">
        <v>0</v>
      </c>
      <c r="Z415" s="168" t="s">
        <v>1053</v>
      </c>
      <c r="AA415" s="168"/>
      <c r="AB415" s="168" t="s">
        <v>1562</v>
      </c>
      <c r="AC415" s="168"/>
      <c r="AD415" s="168" t="s">
        <v>1058</v>
      </c>
      <c r="AE415" s="168" t="s">
        <v>1059</v>
      </c>
      <c r="AF415" s="166" t="s">
        <v>284</v>
      </c>
      <c r="AG415" s="168"/>
      <c r="AH415" s="166" t="s">
        <v>1060</v>
      </c>
      <c r="AI415" s="168">
        <v>0</v>
      </c>
      <c r="AJ415" s="168">
        <v>0</v>
      </c>
      <c r="AP415" s="206"/>
      <c r="AQ415" s="207"/>
      <c r="AR415" s="207"/>
      <c r="AS415" s="207"/>
      <c r="AT415" s="208"/>
      <c r="AU415" s="207"/>
      <c r="AV415" s="208"/>
    </row>
    <row r="416" spans="1:48" s="205" customFormat="1" ht="15">
      <c r="A416" s="145"/>
      <c r="B416" s="166">
        <v>2183</v>
      </c>
      <c r="C416" s="167">
        <v>132591</v>
      </c>
      <c r="D416" s="166" t="s">
        <v>1053</v>
      </c>
      <c r="E416" s="168" t="s">
        <v>1563</v>
      </c>
      <c r="F416" s="166">
        <v>6</v>
      </c>
      <c r="G416" s="168"/>
      <c r="H416" s="168"/>
      <c r="I416" s="168"/>
      <c r="J416" s="168">
        <v>0</v>
      </c>
      <c r="K416" s="168" t="s">
        <v>1155</v>
      </c>
      <c r="L416" s="168"/>
      <c r="M416" s="168" t="s">
        <v>1353</v>
      </c>
      <c r="N416" s="169">
        <v>42490</v>
      </c>
      <c r="O416" s="169">
        <v>42490</v>
      </c>
      <c r="P416" s="168" t="s">
        <v>1564</v>
      </c>
      <c r="Q416" s="166">
        <v>1200</v>
      </c>
      <c r="R416" s="166">
        <v>14050</v>
      </c>
      <c r="S416" s="170">
        <v>39270</v>
      </c>
      <c r="T416" s="166">
        <v>14056</v>
      </c>
      <c r="U416" s="170">
        <v>18271.46</v>
      </c>
      <c r="V416" s="170">
        <f t="shared" si="26"/>
        <v>20998.54</v>
      </c>
      <c r="W416" s="171">
        <v>2999.79</v>
      </c>
      <c r="X416" s="166">
        <v>54260</v>
      </c>
      <c r="Y416" s="170">
        <v>272.70999999999998</v>
      </c>
      <c r="Z416" s="168" t="s">
        <v>1053</v>
      </c>
      <c r="AA416" s="168"/>
      <c r="AB416" s="168">
        <v>1345310001</v>
      </c>
      <c r="AC416" s="168"/>
      <c r="AD416" s="168" t="s">
        <v>1058</v>
      </c>
      <c r="AE416" s="168" t="s">
        <v>1059</v>
      </c>
      <c r="AF416" s="166" t="s">
        <v>284</v>
      </c>
      <c r="AG416" s="168"/>
      <c r="AH416" s="166" t="s">
        <v>1060</v>
      </c>
      <c r="AI416" s="168">
        <v>0</v>
      </c>
      <c r="AJ416" s="168">
        <v>0</v>
      </c>
      <c r="AP416" s="206"/>
      <c r="AQ416" s="207"/>
      <c r="AR416" s="207"/>
      <c r="AS416" s="207"/>
      <c r="AT416" s="208"/>
      <c r="AU416" s="207"/>
      <c r="AV416" s="208"/>
    </row>
    <row r="417" spans="1:48" s="205" customFormat="1" ht="15">
      <c r="A417" s="145"/>
      <c r="B417" s="166">
        <v>2183</v>
      </c>
      <c r="C417" s="167">
        <v>132482</v>
      </c>
      <c r="D417" s="166" t="s">
        <v>1053</v>
      </c>
      <c r="E417" s="168" t="s">
        <v>1565</v>
      </c>
      <c r="F417" s="166">
        <v>15</v>
      </c>
      <c r="G417" s="168"/>
      <c r="H417" s="168"/>
      <c r="I417" s="168"/>
      <c r="J417" s="168">
        <v>0</v>
      </c>
      <c r="K417" s="168" t="s">
        <v>1155</v>
      </c>
      <c r="L417" s="168"/>
      <c r="M417" s="168" t="s">
        <v>1133</v>
      </c>
      <c r="N417" s="169">
        <v>42489</v>
      </c>
      <c r="O417" s="169">
        <v>42489</v>
      </c>
      <c r="P417" s="168" t="s">
        <v>1566</v>
      </c>
      <c r="Q417" s="166">
        <v>1200</v>
      </c>
      <c r="R417" s="166">
        <v>14050</v>
      </c>
      <c r="S417" s="170">
        <v>7092.68</v>
      </c>
      <c r="T417" s="166">
        <v>14056</v>
      </c>
      <c r="U417" s="170">
        <v>3300.09</v>
      </c>
      <c r="V417" s="170">
        <f t="shared" si="26"/>
        <v>3792.59</v>
      </c>
      <c r="W417" s="171">
        <v>541.80999999999995</v>
      </c>
      <c r="X417" s="166">
        <v>54260</v>
      </c>
      <c r="Y417" s="170">
        <v>49.26</v>
      </c>
      <c r="Z417" s="168" t="s">
        <v>1053</v>
      </c>
      <c r="AA417" s="168"/>
      <c r="AB417" s="168">
        <v>119399</v>
      </c>
      <c r="AC417" s="168"/>
      <c r="AD417" s="168" t="s">
        <v>1058</v>
      </c>
      <c r="AE417" s="168" t="s">
        <v>1059</v>
      </c>
      <c r="AF417" s="166" t="s">
        <v>284</v>
      </c>
      <c r="AG417" s="168"/>
      <c r="AH417" s="166" t="s">
        <v>1060</v>
      </c>
      <c r="AI417" s="168">
        <v>0</v>
      </c>
      <c r="AJ417" s="168">
        <v>0</v>
      </c>
      <c r="AP417" s="206"/>
      <c r="AQ417" s="207"/>
      <c r="AR417" s="207"/>
      <c r="AS417" s="207"/>
      <c r="AT417" s="208"/>
      <c r="AU417" s="207"/>
      <c r="AV417" s="208"/>
    </row>
    <row r="418" spans="1:48" s="205" customFormat="1" ht="15">
      <c r="A418" s="145"/>
      <c r="B418" s="166">
        <v>2183</v>
      </c>
      <c r="C418" s="167">
        <v>132481</v>
      </c>
      <c r="D418" s="166" t="s">
        <v>1053</v>
      </c>
      <c r="E418" s="168" t="s">
        <v>627</v>
      </c>
      <c r="F418" s="166">
        <v>25</v>
      </c>
      <c r="G418" s="168"/>
      <c r="H418" s="168"/>
      <c r="I418" s="168"/>
      <c r="J418" s="168">
        <v>0</v>
      </c>
      <c r="K418" s="168" t="s">
        <v>1155</v>
      </c>
      <c r="L418" s="168"/>
      <c r="M418" s="168" t="s">
        <v>1129</v>
      </c>
      <c r="N418" s="169">
        <v>42489</v>
      </c>
      <c r="O418" s="169">
        <v>42489</v>
      </c>
      <c r="P418" s="168" t="s">
        <v>1567</v>
      </c>
      <c r="Q418" s="166">
        <v>1200</v>
      </c>
      <c r="R418" s="166">
        <v>14050</v>
      </c>
      <c r="S418" s="170">
        <v>10870</v>
      </c>
      <c r="T418" s="166">
        <v>14056</v>
      </c>
      <c r="U418" s="170">
        <v>5057.55</v>
      </c>
      <c r="V418" s="170">
        <f t="shared" si="26"/>
        <v>5812.45</v>
      </c>
      <c r="W418" s="171">
        <v>830.34</v>
      </c>
      <c r="X418" s="166">
        <v>54260</v>
      </c>
      <c r="Y418" s="170">
        <v>75.48</v>
      </c>
      <c r="Z418" s="168" t="s">
        <v>1053</v>
      </c>
      <c r="AA418" s="168"/>
      <c r="AB418" s="168">
        <v>119398</v>
      </c>
      <c r="AC418" s="168"/>
      <c r="AD418" s="168" t="s">
        <v>1058</v>
      </c>
      <c r="AE418" s="168" t="s">
        <v>1059</v>
      </c>
      <c r="AF418" s="166" t="s">
        <v>284</v>
      </c>
      <c r="AG418" s="168"/>
      <c r="AH418" s="166" t="s">
        <v>1060</v>
      </c>
      <c r="AI418" s="168">
        <v>0</v>
      </c>
      <c r="AJ418" s="168">
        <v>0</v>
      </c>
      <c r="AP418" s="206"/>
      <c r="AQ418" s="207"/>
      <c r="AR418" s="207"/>
      <c r="AS418" s="207"/>
      <c r="AT418" s="208"/>
      <c r="AU418" s="207"/>
      <c r="AV418" s="208"/>
    </row>
    <row r="419" spans="1:48" s="205" customFormat="1" ht="15">
      <c r="A419" s="145"/>
      <c r="B419" s="166">
        <v>2183</v>
      </c>
      <c r="C419" s="167">
        <v>132480</v>
      </c>
      <c r="D419" s="166" t="s">
        <v>1053</v>
      </c>
      <c r="E419" s="168" t="s">
        <v>1568</v>
      </c>
      <c r="F419" s="166">
        <v>10</v>
      </c>
      <c r="G419" s="168"/>
      <c r="H419" s="168"/>
      <c r="I419" s="168"/>
      <c r="J419" s="168">
        <v>0</v>
      </c>
      <c r="K419" s="168" t="s">
        <v>1155</v>
      </c>
      <c r="L419" s="168"/>
      <c r="M419" s="168" t="s">
        <v>1143</v>
      </c>
      <c r="N419" s="169">
        <v>42489</v>
      </c>
      <c r="O419" s="169">
        <v>42489</v>
      </c>
      <c r="P419" s="168" t="s">
        <v>1567</v>
      </c>
      <c r="Q419" s="166">
        <v>1200</v>
      </c>
      <c r="R419" s="166">
        <v>14050</v>
      </c>
      <c r="S419" s="170">
        <v>6282.86</v>
      </c>
      <c r="T419" s="166">
        <v>14056</v>
      </c>
      <c r="U419" s="170">
        <v>2923.27</v>
      </c>
      <c r="V419" s="170">
        <f t="shared" si="26"/>
        <v>3359.5899999999997</v>
      </c>
      <c r="W419" s="171">
        <v>479.94</v>
      </c>
      <c r="X419" s="166">
        <v>54260</v>
      </c>
      <c r="Y419" s="170">
        <v>43.63</v>
      </c>
      <c r="Z419" s="168" t="s">
        <v>1053</v>
      </c>
      <c r="AA419" s="168"/>
      <c r="AB419" s="168">
        <v>119340</v>
      </c>
      <c r="AC419" s="168"/>
      <c r="AD419" s="168" t="s">
        <v>1058</v>
      </c>
      <c r="AE419" s="168" t="s">
        <v>1059</v>
      </c>
      <c r="AF419" s="166" t="s">
        <v>284</v>
      </c>
      <c r="AG419" s="168"/>
      <c r="AH419" s="166" t="s">
        <v>1060</v>
      </c>
      <c r="AI419" s="168">
        <v>0</v>
      </c>
      <c r="AJ419" s="168">
        <v>0</v>
      </c>
      <c r="AP419" s="206"/>
      <c r="AQ419" s="207"/>
      <c r="AR419" s="207"/>
      <c r="AS419" s="207"/>
      <c r="AT419" s="208"/>
      <c r="AU419" s="207"/>
      <c r="AV419" s="208"/>
    </row>
    <row r="420" spans="1:48" s="205" customFormat="1" ht="15">
      <c r="A420" s="145"/>
      <c r="B420" s="166">
        <v>2183</v>
      </c>
      <c r="C420" s="167">
        <v>132479</v>
      </c>
      <c r="D420" s="166" t="s">
        <v>1053</v>
      </c>
      <c r="E420" s="168" t="s">
        <v>1569</v>
      </c>
      <c r="F420" s="166">
        <v>3</v>
      </c>
      <c r="G420" s="168"/>
      <c r="H420" s="168"/>
      <c r="I420" s="168"/>
      <c r="J420" s="168">
        <v>0</v>
      </c>
      <c r="K420" s="168" t="s">
        <v>1155</v>
      </c>
      <c r="L420" s="168"/>
      <c r="M420" s="168" t="s">
        <v>1145</v>
      </c>
      <c r="N420" s="169">
        <v>42486</v>
      </c>
      <c r="O420" s="169">
        <v>42486</v>
      </c>
      <c r="P420" s="168" t="s">
        <v>1564</v>
      </c>
      <c r="Q420" s="166">
        <v>1200</v>
      </c>
      <c r="R420" s="166">
        <v>14050</v>
      </c>
      <c r="S420" s="170">
        <v>17610</v>
      </c>
      <c r="T420" s="166">
        <v>14056</v>
      </c>
      <c r="U420" s="170">
        <v>8193.5400000000009</v>
      </c>
      <c r="V420" s="170">
        <f t="shared" si="26"/>
        <v>9416.4599999999991</v>
      </c>
      <c r="W420" s="171">
        <v>1345.21</v>
      </c>
      <c r="X420" s="166">
        <v>54260</v>
      </c>
      <c r="Y420" s="170">
        <v>122.29</v>
      </c>
      <c r="Z420" s="168" t="s">
        <v>1053</v>
      </c>
      <c r="AA420" s="168"/>
      <c r="AB420" s="168">
        <v>119585</v>
      </c>
      <c r="AC420" s="168"/>
      <c r="AD420" s="168" t="s">
        <v>1058</v>
      </c>
      <c r="AE420" s="168" t="s">
        <v>1059</v>
      </c>
      <c r="AF420" s="166" t="s">
        <v>284</v>
      </c>
      <c r="AG420" s="168"/>
      <c r="AH420" s="166" t="s">
        <v>1060</v>
      </c>
      <c r="AI420" s="168">
        <v>0</v>
      </c>
      <c r="AJ420" s="168">
        <v>0</v>
      </c>
      <c r="AP420" s="206"/>
      <c r="AQ420" s="207"/>
      <c r="AR420" s="207"/>
      <c r="AS420" s="207"/>
      <c r="AT420" s="208"/>
      <c r="AU420" s="207"/>
      <c r="AV420" s="208"/>
    </row>
    <row r="421" spans="1:48" s="205" customFormat="1" ht="15">
      <c r="A421" s="145"/>
      <c r="B421" s="166">
        <v>2183</v>
      </c>
      <c r="C421" s="167">
        <v>132478</v>
      </c>
      <c r="D421" s="166" t="s">
        <v>1053</v>
      </c>
      <c r="E421" s="168" t="s">
        <v>1570</v>
      </c>
      <c r="F421" s="166">
        <v>15</v>
      </c>
      <c r="G421" s="168"/>
      <c r="H421" s="168"/>
      <c r="I421" s="168"/>
      <c r="J421" s="168">
        <v>0</v>
      </c>
      <c r="K421" s="168" t="s">
        <v>1155</v>
      </c>
      <c r="L421" s="168"/>
      <c r="M421" s="168" t="s">
        <v>1207</v>
      </c>
      <c r="N421" s="169">
        <v>42478</v>
      </c>
      <c r="O421" s="169">
        <v>42478</v>
      </c>
      <c r="P421" s="168" t="s">
        <v>1566</v>
      </c>
      <c r="Q421" s="166">
        <v>1200</v>
      </c>
      <c r="R421" s="166">
        <v>14050</v>
      </c>
      <c r="S421" s="170">
        <v>12636.38</v>
      </c>
      <c r="T421" s="166">
        <v>14056</v>
      </c>
      <c r="U421" s="170">
        <v>5879.42</v>
      </c>
      <c r="V421" s="170">
        <f t="shared" si="26"/>
        <v>6756.9599999999991</v>
      </c>
      <c r="W421" s="171">
        <v>965.28</v>
      </c>
      <c r="X421" s="166">
        <v>54260</v>
      </c>
      <c r="Y421" s="170">
        <v>87.75</v>
      </c>
      <c r="Z421" s="168" t="s">
        <v>1053</v>
      </c>
      <c r="AA421" s="168"/>
      <c r="AB421" s="168">
        <v>118989</v>
      </c>
      <c r="AC421" s="168"/>
      <c r="AD421" s="168" t="s">
        <v>1058</v>
      </c>
      <c r="AE421" s="168" t="s">
        <v>1059</v>
      </c>
      <c r="AF421" s="166" t="s">
        <v>284</v>
      </c>
      <c r="AG421" s="168"/>
      <c r="AH421" s="166" t="s">
        <v>1060</v>
      </c>
      <c r="AI421" s="168">
        <v>0</v>
      </c>
      <c r="AJ421" s="168">
        <v>0</v>
      </c>
      <c r="AP421" s="206"/>
      <c r="AQ421" s="207"/>
      <c r="AR421" s="207"/>
      <c r="AS421" s="207"/>
      <c r="AT421" s="208"/>
      <c r="AU421" s="207"/>
      <c r="AV421" s="208"/>
    </row>
    <row r="422" spans="1:48" s="205" customFormat="1" ht="15">
      <c r="A422" s="145"/>
      <c r="B422" s="166">
        <v>2183</v>
      </c>
      <c r="C422" s="167">
        <v>132279</v>
      </c>
      <c r="D422" s="166" t="s">
        <v>1053</v>
      </c>
      <c r="E422" s="168" t="s">
        <v>1571</v>
      </c>
      <c r="F422" s="166"/>
      <c r="G422" s="168"/>
      <c r="H422" s="168"/>
      <c r="I422" s="168"/>
      <c r="J422" s="168">
        <v>0</v>
      </c>
      <c r="K422" s="168" t="s">
        <v>1572</v>
      </c>
      <c r="L422" s="168"/>
      <c r="M422" s="168"/>
      <c r="N422" s="169">
        <v>42490</v>
      </c>
      <c r="O422" s="169">
        <v>42490</v>
      </c>
      <c r="P422" s="168" t="s">
        <v>1557</v>
      </c>
      <c r="Q422" s="166">
        <v>100</v>
      </c>
      <c r="R422" s="166">
        <v>14110</v>
      </c>
      <c r="S422" s="170">
        <v>14612.94</v>
      </c>
      <c r="T422" s="166">
        <v>14116</v>
      </c>
      <c r="U422" s="170">
        <v>14612.94</v>
      </c>
      <c r="V422" s="170">
        <f t="shared" si="26"/>
        <v>0</v>
      </c>
      <c r="W422" s="171">
        <v>0</v>
      </c>
      <c r="X422" s="166">
        <v>70260</v>
      </c>
      <c r="Y422" s="170">
        <v>0</v>
      </c>
      <c r="Z422" s="168" t="s">
        <v>1053</v>
      </c>
      <c r="AA422" s="168"/>
      <c r="AB422" s="168" t="s">
        <v>1573</v>
      </c>
      <c r="AC422" s="168"/>
      <c r="AD422" s="168" t="s">
        <v>1058</v>
      </c>
      <c r="AE422" s="168" t="s">
        <v>1059</v>
      </c>
      <c r="AF422" s="166" t="s">
        <v>284</v>
      </c>
      <c r="AG422" s="168"/>
      <c r="AH422" s="166" t="s">
        <v>1060</v>
      </c>
      <c r="AI422" s="168">
        <v>0</v>
      </c>
      <c r="AJ422" s="168">
        <v>0</v>
      </c>
      <c r="AP422" s="206"/>
      <c r="AQ422" s="207"/>
      <c r="AR422" s="207"/>
      <c r="AS422" s="207"/>
      <c r="AT422" s="208"/>
      <c r="AU422" s="207"/>
      <c r="AV422" s="208"/>
    </row>
    <row r="423" spans="1:48" s="205" customFormat="1" ht="15">
      <c r="A423" s="145"/>
      <c r="B423" s="166">
        <v>2183</v>
      </c>
      <c r="C423" s="167">
        <v>131777</v>
      </c>
      <c r="D423" s="166" t="s">
        <v>1053</v>
      </c>
      <c r="E423" s="168" t="s">
        <v>1574</v>
      </c>
      <c r="F423" s="166">
        <v>312</v>
      </c>
      <c r="G423" s="168"/>
      <c r="H423" s="168"/>
      <c r="I423" s="168"/>
      <c r="J423" s="168">
        <v>0</v>
      </c>
      <c r="K423" s="168" t="s">
        <v>1518</v>
      </c>
      <c r="L423" s="168"/>
      <c r="M423" s="168"/>
      <c r="N423" s="169">
        <v>42443</v>
      </c>
      <c r="O423" s="169">
        <v>42443</v>
      </c>
      <c r="P423" s="168" t="s">
        <v>1575</v>
      </c>
      <c r="Q423" s="166">
        <v>700</v>
      </c>
      <c r="R423" s="166">
        <v>14050</v>
      </c>
      <c r="S423" s="170">
        <v>15417.47</v>
      </c>
      <c r="T423" s="166">
        <v>14056</v>
      </c>
      <c r="U423" s="170">
        <v>12664.37</v>
      </c>
      <c r="V423" s="170">
        <f t="shared" si="26"/>
        <v>2753.0999999999985</v>
      </c>
      <c r="W423" s="171">
        <v>2018.96</v>
      </c>
      <c r="X423" s="166">
        <v>54260</v>
      </c>
      <c r="Y423" s="170">
        <v>183.54</v>
      </c>
      <c r="Z423" s="168" t="s">
        <v>1053</v>
      </c>
      <c r="AA423" s="168"/>
      <c r="AB423" s="168">
        <v>65402037</v>
      </c>
      <c r="AC423" s="168"/>
      <c r="AD423" s="168" t="s">
        <v>1058</v>
      </c>
      <c r="AE423" s="168" t="s">
        <v>1059</v>
      </c>
      <c r="AF423" s="166" t="s">
        <v>284</v>
      </c>
      <c r="AG423" s="168"/>
      <c r="AH423" s="166" t="s">
        <v>1060</v>
      </c>
      <c r="AI423" s="168">
        <v>0</v>
      </c>
      <c r="AJ423" s="168">
        <v>0</v>
      </c>
      <c r="AP423" s="206"/>
      <c r="AQ423" s="207"/>
      <c r="AR423" s="207"/>
      <c r="AS423" s="207"/>
      <c r="AT423" s="208"/>
      <c r="AU423" s="207"/>
      <c r="AV423" s="208"/>
    </row>
    <row r="424" spans="1:48" s="205" customFormat="1" ht="15">
      <c r="A424" s="145"/>
      <c r="B424" s="166">
        <v>2183</v>
      </c>
      <c r="C424" s="167">
        <v>131776</v>
      </c>
      <c r="D424" s="166" t="s">
        <v>1053</v>
      </c>
      <c r="E424" s="168" t="s">
        <v>1576</v>
      </c>
      <c r="F424" s="166">
        <v>312</v>
      </c>
      <c r="G424" s="168"/>
      <c r="H424" s="168"/>
      <c r="I424" s="168"/>
      <c r="J424" s="168">
        <v>0</v>
      </c>
      <c r="K424" s="168" t="s">
        <v>1518</v>
      </c>
      <c r="L424" s="168"/>
      <c r="M424" s="168"/>
      <c r="N424" s="169">
        <v>42443</v>
      </c>
      <c r="O424" s="169">
        <v>42443</v>
      </c>
      <c r="P424" s="168" t="s">
        <v>1575</v>
      </c>
      <c r="Q424" s="166">
        <v>700</v>
      </c>
      <c r="R424" s="166">
        <v>14050</v>
      </c>
      <c r="S424" s="170">
        <v>15417.47</v>
      </c>
      <c r="T424" s="166">
        <v>14056</v>
      </c>
      <c r="U424" s="170">
        <v>12664.37</v>
      </c>
      <c r="V424" s="170">
        <f t="shared" si="26"/>
        <v>2753.0999999999985</v>
      </c>
      <c r="W424" s="171">
        <v>2018.96</v>
      </c>
      <c r="X424" s="166">
        <v>54260</v>
      </c>
      <c r="Y424" s="170">
        <v>183.54</v>
      </c>
      <c r="Z424" s="168" t="s">
        <v>1053</v>
      </c>
      <c r="AA424" s="168"/>
      <c r="AB424" s="168">
        <v>65402037</v>
      </c>
      <c r="AC424" s="168"/>
      <c r="AD424" s="168" t="s">
        <v>1058</v>
      </c>
      <c r="AE424" s="168" t="s">
        <v>1059</v>
      </c>
      <c r="AF424" s="166" t="s">
        <v>284</v>
      </c>
      <c r="AG424" s="168"/>
      <c r="AH424" s="166" t="s">
        <v>1060</v>
      </c>
      <c r="AI424" s="168">
        <v>0</v>
      </c>
      <c r="AJ424" s="168">
        <v>0</v>
      </c>
      <c r="AP424" s="206"/>
      <c r="AQ424" s="207"/>
      <c r="AR424" s="207"/>
      <c r="AS424" s="207"/>
      <c r="AT424" s="208"/>
      <c r="AU424" s="207"/>
      <c r="AV424" s="208"/>
    </row>
    <row r="425" spans="1:48" s="205" customFormat="1" ht="15">
      <c r="A425" s="145"/>
      <c r="B425" s="166">
        <v>2183</v>
      </c>
      <c r="C425" s="167">
        <v>131756</v>
      </c>
      <c r="D425" s="166" t="s">
        <v>1053</v>
      </c>
      <c r="E425" s="168" t="s">
        <v>1577</v>
      </c>
      <c r="F425" s="166">
        <v>840</v>
      </c>
      <c r="G425" s="168"/>
      <c r="H425" s="168"/>
      <c r="I425" s="168"/>
      <c r="J425" s="168">
        <v>0</v>
      </c>
      <c r="K425" s="168" t="s">
        <v>1518</v>
      </c>
      <c r="L425" s="168"/>
      <c r="M425" s="168"/>
      <c r="N425" s="169">
        <v>42461</v>
      </c>
      <c r="O425" s="169">
        <v>42461</v>
      </c>
      <c r="P425" s="168" t="s">
        <v>1575</v>
      </c>
      <c r="Q425" s="166">
        <v>700</v>
      </c>
      <c r="R425" s="166">
        <v>14050</v>
      </c>
      <c r="S425" s="170">
        <v>29504.44</v>
      </c>
      <c r="T425" s="166">
        <v>14056</v>
      </c>
      <c r="U425" s="170">
        <v>23884.55</v>
      </c>
      <c r="V425" s="170">
        <f t="shared" si="26"/>
        <v>5619.8899999999994</v>
      </c>
      <c r="W425" s="171">
        <v>3863.68</v>
      </c>
      <c r="X425" s="166">
        <v>54260</v>
      </c>
      <c r="Y425" s="170">
        <v>351.25</v>
      </c>
      <c r="Z425" s="168" t="s">
        <v>1053</v>
      </c>
      <c r="AA425" s="168"/>
      <c r="AB425" s="168">
        <v>65402799</v>
      </c>
      <c r="AC425" s="168"/>
      <c r="AD425" s="168" t="s">
        <v>1058</v>
      </c>
      <c r="AE425" s="168" t="s">
        <v>1059</v>
      </c>
      <c r="AF425" s="166" t="s">
        <v>284</v>
      </c>
      <c r="AG425" s="168"/>
      <c r="AH425" s="166" t="s">
        <v>1060</v>
      </c>
      <c r="AI425" s="168">
        <v>0</v>
      </c>
      <c r="AJ425" s="168">
        <v>0</v>
      </c>
      <c r="AP425" s="206"/>
      <c r="AQ425" s="207"/>
      <c r="AR425" s="207"/>
      <c r="AS425" s="207"/>
      <c r="AT425" s="208"/>
      <c r="AU425" s="207"/>
      <c r="AV425" s="208"/>
    </row>
    <row r="426" spans="1:48" s="205" customFormat="1" ht="15">
      <c r="A426" s="145"/>
      <c r="B426" s="166">
        <v>2183</v>
      </c>
      <c r="C426" s="167">
        <v>131197</v>
      </c>
      <c r="D426" s="166" t="s">
        <v>1053</v>
      </c>
      <c r="E426" s="168" t="s">
        <v>1554</v>
      </c>
      <c r="F426" s="166">
        <v>624</v>
      </c>
      <c r="G426" s="168"/>
      <c r="H426" s="168"/>
      <c r="I426" s="168"/>
      <c r="J426" s="168">
        <v>0</v>
      </c>
      <c r="K426" s="168" t="s">
        <v>1518</v>
      </c>
      <c r="L426" s="168"/>
      <c r="M426" s="168"/>
      <c r="N426" s="169">
        <v>42458</v>
      </c>
      <c r="O426" s="169">
        <v>42458</v>
      </c>
      <c r="P426" s="168" t="s">
        <v>1575</v>
      </c>
      <c r="Q426" s="166">
        <v>700</v>
      </c>
      <c r="R426" s="166">
        <v>14050</v>
      </c>
      <c r="S426" s="170">
        <v>30834.93</v>
      </c>
      <c r="T426" s="166">
        <v>14056</v>
      </c>
      <c r="U426" s="170">
        <v>24961.61</v>
      </c>
      <c r="V426" s="170">
        <f t="shared" si="26"/>
        <v>5873.32</v>
      </c>
      <c r="W426" s="171">
        <v>4037.91</v>
      </c>
      <c r="X426" s="166">
        <v>54260</v>
      </c>
      <c r="Y426" s="170">
        <v>367.08</v>
      </c>
      <c r="Z426" s="168" t="s">
        <v>1053</v>
      </c>
      <c r="AA426" s="168"/>
      <c r="AB426" s="168">
        <v>65402206</v>
      </c>
      <c r="AC426" s="168"/>
      <c r="AD426" s="168" t="s">
        <v>1058</v>
      </c>
      <c r="AE426" s="168" t="s">
        <v>1059</v>
      </c>
      <c r="AF426" s="166" t="s">
        <v>284</v>
      </c>
      <c r="AG426" s="168"/>
      <c r="AH426" s="166" t="s">
        <v>1060</v>
      </c>
      <c r="AI426" s="168">
        <v>0</v>
      </c>
      <c r="AJ426" s="168">
        <v>0</v>
      </c>
      <c r="AP426" s="206"/>
      <c r="AQ426" s="207"/>
      <c r="AR426" s="207"/>
      <c r="AS426" s="207"/>
      <c r="AT426" s="208"/>
      <c r="AU426" s="207"/>
      <c r="AV426" s="208"/>
    </row>
    <row r="427" spans="1:48" s="205" customFormat="1" ht="15">
      <c r="A427" s="145"/>
      <c r="B427" s="166">
        <v>2183</v>
      </c>
      <c r="C427" s="167">
        <v>129324</v>
      </c>
      <c r="D427" s="166" t="s">
        <v>1053</v>
      </c>
      <c r="E427" s="168" t="s">
        <v>1578</v>
      </c>
      <c r="F427" s="166">
        <v>500</v>
      </c>
      <c r="G427" s="168"/>
      <c r="H427" s="168"/>
      <c r="I427" s="168"/>
      <c r="J427" s="168">
        <v>0</v>
      </c>
      <c r="K427" s="168" t="s">
        <v>1518</v>
      </c>
      <c r="L427" s="168"/>
      <c r="M427" s="168"/>
      <c r="N427" s="169">
        <v>42370</v>
      </c>
      <c r="O427" s="169">
        <v>42370</v>
      </c>
      <c r="P427" s="168" t="s">
        <v>1579</v>
      </c>
      <c r="Q427" s="166">
        <v>611</v>
      </c>
      <c r="R427" s="166">
        <v>14050</v>
      </c>
      <c r="S427" s="170">
        <v>17256.13</v>
      </c>
      <c r="T427" s="166">
        <v>14056</v>
      </c>
      <c r="U427" s="170">
        <v>14761.26</v>
      </c>
      <c r="V427" s="170">
        <f t="shared" si="26"/>
        <v>2494.8700000000008</v>
      </c>
      <c r="W427" s="171">
        <v>2286.96</v>
      </c>
      <c r="X427" s="166">
        <v>54260</v>
      </c>
      <c r="Y427" s="170">
        <v>207.91</v>
      </c>
      <c r="Z427" s="168" t="s">
        <v>1053</v>
      </c>
      <c r="AA427" s="168"/>
      <c r="AB427" s="168">
        <v>65392465</v>
      </c>
      <c r="AC427" s="168"/>
      <c r="AD427" s="168" t="s">
        <v>1058</v>
      </c>
      <c r="AE427" s="168" t="s">
        <v>1059</v>
      </c>
      <c r="AF427" s="166" t="s">
        <v>284</v>
      </c>
      <c r="AG427" s="168"/>
      <c r="AH427" s="166" t="s">
        <v>1060</v>
      </c>
      <c r="AI427" s="168">
        <v>0</v>
      </c>
      <c r="AJ427" s="168">
        <v>0</v>
      </c>
      <c r="AP427" s="206"/>
      <c r="AQ427" s="207"/>
      <c r="AR427" s="207"/>
      <c r="AS427" s="207"/>
      <c r="AT427" s="208"/>
      <c r="AU427" s="207"/>
      <c r="AV427" s="208"/>
    </row>
    <row r="428" spans="1:48" s="205" customFormat="1" ht="15">
      <c r="A428" s="145"/>
      <c r="B428" s="166">
        <v>2183</v>
      </c>
      <c r="C428" s="167">
        <v>128910</v>
      </c>
      <c r="D428" s="166" t="s">
        <v>1053</v>
      </c>
      <c r="E428" s="168" t="s">
        <v>585</v>
      </c>
      <c r="F428" s="166"/>
      <c r="G428" s="168"/>
      <c r="H428" s="168"/>
      <c r="I428" s="168"/>
      <c r="J428" s="168">
        <v>0</v>
      </c>
      <c r="K428" s="168" t="s">
        <v>1261</v>
      </c>
      <c r="L428" s="168"/>
      <c r="M428" s="168"/>
      <c r="N428" s="169">
        <v>42346</v>
      </c>
      <c r="O428" s="169">
        <v>42346</v>
      </c>
      <c r="P428" s="168" t="s">
        <v>1580</v>
      </c>
      <c r="Q428" s="166">
        <v>300</v>
      </c>
      <c r="R428" s="166">
        <v>14110</v>
      </c>
      <c r="S428" s="170">
        <v>1087.92</v>
      </c>
      <c r="T428" s="166">
        <v>14116</v>
      </c>
      <c r="U428" s="170">
        <v>1087.92</v>
      </c>
      <c r="V428" s="170">
        <f t="shared" si="26"/>
        <v>0</v>
      </c>
      <c r="W428" s="171">
        <v>0</v>
      </c>
      <c r="X428" s="166">
        <v>70260</v>
      </c>
      <c r="Y428" s="170">
        <v>0</v>
      </c>
      <c r="Z428" s="168" t="s">
        <v>1053</v>
      </c>
      <c r="AA428" s="168"/>
      <c r="AB428" s="168" t="s">
        <v>1581</v>
      </c>
      <c r="AC428" s="168"/>
      <c r="AD428" s="168" t="s">
        <v>1058</v>
      </c>
      <c r="AE428" s="168" t="s">
        <v>1059</v>
      </c>
      <c r="AF428" s="166" t="s">
        <v>284</v>
      </c>
      <c r="AG428" s="168"/>
      <c r="AH428" s="166" t="s">
        <v>1060</v>
      </c>
      <c r="AI428" s="168">
        <v>0</v>
      </c>
      <c r="AJ428" s="168">
        <v>0</v>
      </c>
      <c r="AP428" s="206"/>
      <c r="AQ428" s="207"/>
      <c r="AR428" s="207"/>
      <c r="AS428" s="207"/>
      <c r="AT428" s="208"/>
      <c r="AU428" s="207"/>
      <c r="AV428" s="208"/>
    </row>
    <row r="429" spans="1:48" s="205" customFormat="1" ht="15">
      <c r="A429" s="145"/>
      <c r="B429" s="166">
        <v>2183</v>
      </c>
      <c r="C429" s="167">
        <v>128674</v>
      </c>
      <c r="D429" s="166" t="s">
        <v>1053</v>
      </c>
      <c r="E429" s="168" t="s">
        <v>1582</v>
      </c>
      <c r="F429" s="166"/>
      <c r="G429" s="168"/>
      <c r="H429" s="168" t="s">
        <v>1583</v>
      </c>
      <c r="I429" s="168"/>
      <c r="J429" s="168">
        <v>2016</v>
      </c>
      <c r="K429" s="168" t="s">
        <v>1196</v>
      </c>
      <c r="L429" s="168" t="s">
        <v>1584</v>
      </c>
      <c r="M429" s="168" t="s">
        <v>1152</v>
      </c>
      <c r="N429" s="169">
        <v>42361</v>
      </c>
      <c r="O429" s="169">
        <v>42361</v>
      </c>
      <c r="P429" s="168" t="s">
        <v>1585</v>
      </c>
      <c r="Q429" s="166">
        <v>1000</v>
      </c>
      <c r="R429" s="166">
        <v>14040</v>
      </c>
      <c r="S429" s="170">
        <v>340829.73</v>
      </c>
      <c r="T429" s="166">
        <v>14046</v>
      </c>
      <c r="U429" s="170">
        <v>201657.57</v>
      </c>
      <c r="V429" s="170">
        <f t="shared" si="26"/>
        <v>139172.15999999997</v>
      </c>
      <c r="W429" s="171">
        <v>31242.720000000001</v>
      </c>
      <c r="X429" s="166">
        <v>51260</v>
      </c>
      <c r="Y429" s="170">
        <v>2840.24</v>
      </c>
      <c r="Z429" s="168" t="s">
        <v>1053</v>
      </c>
      <c r="AA429" s="168"/>
      <c r="AB429" s="168" t="s">
        <v>1586</v>
      </c>
      <c r="AC429" s="168">
        <v>3645</v>
      </c>
      <c r="AD429" s="168" t="s">
        <v>1058</v>
      </c>
      <c r="AE429" s="168" t="s">
        <v>1059</v>
      </c>
      <c r="AF429" s="166" t="s">
        <v>284</v>
      </c>
      <c r="AG429" s="168"/>
      <c r="AH429" s="166" t="s">
        <v>1060</v>
      </c>
      <c r="AI429" s="168">
        <v>0</v>
      </c>
      <c r="AJ429" s="168">
        <v>0</v>
      </c>
      <c r="AP429" s="206"/>
      <c r="AQ429" s="207"/>
      <c r="AR429" s="207"/>
      <c r="AS429" s="207"/>
      <c r="AT429" s="208"/>
      <c r="AU429" s="207"/>
      <c r="AV429" s="208"/>
    </row>
    <row r="430" spans="1:48" s="205" customFormat="1" ht="15">
      <c r="A430" s="145"/>
      <c r="B430" s="166">
        <v>2183</v>
      </c>
      <c r="C430" s="167">
        <v>128673</v>
      </c>
      <c r="D430" s="166" t="s">
        <v>1053</v>
      </c>
      <c r="E430" s="168" t="s">
        <v>1587</v>
      </c>
      <c r="F430" s="166"/>
      <c r="G430" s="168"/>
      <c r="H430" s="168" t="s">
        <v>1588</v>
      </c>
      <c r="I430" s="168"/>
      <c r="J430" s="168">
        <v>2016</v>
      </c>
      <c r="K430" s="168" t="s">
        <v>1196</v>
      </c>
      <c r="L430" s="168" t="s">
        <v>1459</v>
      </c>
      <c r="M430" s="168" t="s">
        <v>1198</v>
      </c>
      <c r="N430" s="169">
        <v>42369</v>
      </c>
      <c r="O430" s="169">
        <v>42369</v>
      </c>
      <c r="P430" s="168" t="s">
        <v>1589</v>
      </c>
      <c r="Q430" s="166">
        <v>1000</v>
      </c>
      <c r="R430" s="166">
        <v>14040</v>
      </c>
      <c r="S430" s="170">
        <v>291925.26</v>
      </c>
      <c r="T430" s="166">
        <v>14046</v>
      </c>
      <c r="U430" s="170">
        <v>172722.47</v>
      </c>
      <c r="V430" s="170">
        <f t="shared" si="26"/>
        <v>119202.79000000001</v>
      </c>
      <c r="W430" s="171">
        <v>26759.82</v>
      </c>
      <c r="X430" s="166">
        <v>51260</v>
      </c>
      <c r="Y430" s="170">
        <v>2432.71</v>
      </c>
      <c r="Z430" s="168" t="s">
        <v>1053</v>
      </c>
      <c r="AA430" s="168"/>
      <c r="AB430" s="168" t="s">
        <v>1590</v>
      </c>
      <c r="AC430" s="168">
        <v>1073</v>
      </c>
      <c r="AD430" s="168" t="s">
        <v>1058</v>
      </c>
      <c r="AE430" s="168" t="s">
        <v>1059</v>
      </c>
      <c r="AF430" s="166" t="s">
        <v>284</v>
      </c>
      <c r="AG430" s="168"/>
      <c r="AH430" s="166" t="s">
        <v>1060</v>
      </c>
      <c r="AI430" s="168">
        <v>0</v>
      </c>
      <c r="AJ430" s="168">
        <v>0</v>
      </c>
      <c r="AP430" s="206"/>
      <c r="AQ430" s="207"/>
      <c r="AR430" s="207"/>
      <c r="AS430" s="207"/>
      <c r="AT430" s="208"/>
      <c r="AU430" s="207"/>
      <c r="AV430" s="208"/>
    </row>
    <row r="431" spans="1:48" s="205" customFormat="1" ht="15">
      <c r="A431" s="145"/>
      <c r="B431" s="166">
        <v>2183</v>
      </c>
      <c r="C431" s="167">
        <v>128432</v>
      </c>
      <c r="D431" s="166" t="s">
        <v>1053</v>
      </c>
      <c r="E431" s="168" t="s">
        <v>1591</v>
      </c>
      <c r="F431" s="166"/>
      <c r="G431" s="168"/>
      <c r="H431" s="168">
        <v>200254278</v>
      </c>
      <c r="I431" s="168"/>
      <c r="J431" s="168">
        <v>2015</v>
      </c>
      <c r="K431" s="168" t="s">
        <v>1592</v>
      </c>
      <c r="L431" s="168" t="s">
        <v>1593</v>
      </c>
      <c r="M431" s="168" t="s">
        <v>1594</v>
      </c>
      <c r="N431" s="169">
        <v>42359</v>
      </c>
      <c r="O431" s="169">
        <v>42359</v>
      </c>
      <c r="P431" s="168" t="s">
        <v>1595</v>
      </c>
      <c r="Q431" s="166">
        <v>900</v>
      </c>
      <c r="R431" s="166">
        <v>14030</v>
      </c>
      <c r="S431" s="170">
        <v>11848.3</v>
      </c>
      <c r="T431" s="166">
        <v>14036</v>
      </c>
      <c r="U431" s="170">
        <v>7789.17</v>
      </c>
      <c r="V431" s="170">
        <f t="shared" si="26"/>
        <v>4059.1299999999992</v>
      </c>
      <c r="W431" s="171">
        <v>1206.77</v>
      </c>
      <c r="X431" s="166">
        <v>51260</v>
      </c>
      <c r="Y431" s="170">
        <v>109.7</v>
      </c>
      <c r="Z431" s="168" t="s">
        <v>1053</v>
      </c>
      <c r="AA431" s="168"/>
      <c r="AB431" s="168" t="s">
        <v>1596</v>
      </c>
      <c r="AC431" s="168">
        <v>7966</v>
      </c>
      <c r="AD431" s="168" t="s">
        <v>1058</v>
      </c>
      <c r="AE431" s="168" t="s">
        <v>1059</v>
      </c>
      <c r="AF431" s="166" t="s">
        <v>284</v>
      </c>
      <c r="AG431" s="168"/>
      <c r="AH431" s="166" t="s">
        <v>1060</v>
      </c>
      <c r="AI431" s="168">
        <v>0</v>
      </c>
      <c r="AJ431" s="168">
        <v>0</v>
      </c>
      <c r="AP431" s="206"/>
      <c r="AQ431" s="207"/>
      <c r="AR431" s="207"/>
      <c r="AS431" s="207"/>
      <c r="AT431" s="208"/>
      <c r="AU431" s="207"/>
      <c r="AV431" s="208"/>
    </row>
    <row r="432" spans="1:48" s="205" customFormat="1" ht="15">
      <c r="A432" s="145"/>
      <c r="B432" s="166">
        <v>2183</v>
      </c>
      <c r="C432" s="167">
        <v>128183</v>
      </c>
      <c r="D432" s="166" t="s">
        <v>1053</v>
      </c>
      <c r="E432" s="168" t="s">
        <v>1597</v>
      </c>
      <c r="F432" s="166">
        <v>288</v>
      </c>
      <c r="G432" s="168"/>
      <c r="H432" s="168"/>
      <c r="I432" s="168"/>
      <c r="J432" s="168">
        <v>0</v>
      </c>
      <c r="K432" s="168" t="s">
        <v>1518</v>
      </c>
      <c r="L432" s="168"/>
      <c r="M432" s="168"/>
      <c r="N432" s="169">
        <v>42333</v>
      </c>
      <c r="O432" s="169">
        <v>42333</v>
      </c>
      <c r="P432" s="168" t="s">
        <v>1579</v>
      </c>
      <c r="Q432" s="166">
        <v>700</v>
      </c>
      <c r="R432" s="166">
        <v>14050</v>
      </c>
      <c r="S432" s="170">
        <v>16008.28</v>
      </c>
      <c r="T432" s="166">
        <v>14056</v>
      </c>
      <c r="U432" s="170">
        <v>13721.41</v>
      </c>
      <c r="V432" s="170">
        <f t="shared" si="26"/>
        <v>2286.8700000000008</v>
      </c>
      <c r="W432" s="171">
        <v>2096.33</v>
      </c>
      <c r="X432" s="166">
        <v>54260</v>
      </c>
      <c r="Y432" s="170">
        <v>190.58</v>
      </c>
      <c r="Z432" s="168" t="s">
        <v>1053</v>
      </c>
      <c r="AA432" s="168"/>
      <c r="AB432" s="168">
        <v>65389143</v>
      </c>
      <c r="AC432" s="168"/>
      <c r="AD432" s="168" t="s">
        <v>1058</v>
      </c>
      <c r="AE432" s="168" t="s">
        <v>1059</v>
      </c>
      <c r="AF432" s="166" t="s">
        <v>284</v>
      </c>
      <c r="AG432" s="168"/>
      <c r="AH432" s="166" t="s">
        <v>1060</v>
      </c>
      <c r="AI432" s="168">
        <v>0</v>
      </c>
      <c r="AJ432" s="168">
        <v>0</v>
      </c>
      <c r="AP432" s="206"/>
      <c r="AQ432" s="207"/>
      <c r="AR432" s="207"/>
      <c r="AS432" s="207"/>
      <c r="AT432" s="208"/>
      <c r="AU432" s="207"/>
      <c r="AV432" s="208"/>
    </row>
    <row r="433" spans="1:48" s="205" customFormat="1" ht="15">
      <c r="A433" s="145"/>
      <c r="B433" s="166">
        <v>2183</v>
      </c>
      <c r="C433" s="167">
        <v>128182</v>
      </c>
      <c r="D433" s="166" t="s">
        <v>1053</v>
      </c>
      <c r="E433" s="168" t="s">
        <v>622</v>
      </c>
      <c r="F433" s="166">
        <v>624</v>
      </c>
      <c r="G433" s="168"/>
      <c r="H433" s="168"/>
      <c r="I433" s="168"/>
      <c r="J433" s="168">
        <v>0</v>
      </c>
      <c r="K433" s="168" t="s">
        <v>1518</v>
      </c>
      <c r="L433" s="168"/>
      <c r="M433" s="168"/>
      <c r="N433" s="169">
        <v>42325</v>
      </c>
      <c r="O433" s="169">
        <v>42325</v>
      </c>
      <c r="P433" s="168" t="s">
        <v>1579</v>
      </c>
      <c r="Q433" s="166">
        <v>700</v>
      </c>
      <c r="R433" s="166">
        <v>14050</v>
      </c>
      <c r="S433" s="170">
        <v>32078.49</v>
      </c>
      <c r="T433" s="166">
        <v>14056</v>
      </c>
      <c r="U433" s="170">
        <v>27495.84</v>
      </c>
      <c r="V433" s="170">
        <f t="shared" si="26"/>
        <v>4582.6500000000015</v>
      </c>
      <c r="W433" s="171">
        <v>4200.75</v>
      </c>
      <c r="X433" s="166">
        <v>54260</v>
      </c>
      <c r="Y433" s="170">
        <v>381.88</v>
      </c>
      <c r="Z433" s="168" t="s">
        <v>1053</v>
      </c>
      <c r="AA433" s="168"/>
      <c r="AB433" s="168">
        <v>65388415</v>
      </c>
      <c r="AC433" s="168"/>
      <c r="AD433" s="168" t="s">
        <v>1058</v>
      </c>
      <c r="AE433" s="168" t="s">
        <v>1059</v>
      </c>
      <c r="AF433" s="166" t="s">
        <v>284</v>
      </c>
      <c r="AG433" s="168"/>
      <c r="AH433" s="166" t="s">
        <v>1060</v>
      </c>
      <c r="AI433" s="168">
        <v>0</v>
      </c>
      <c r="AJ433" s="168">
        <v>0</v>
      </c>
      <c r="AP433" s="206"/>
      <c r="AQ433" s="207"/>
      <c r="AR433" s="207"/>
      <c r="AS433" s="207"/>
      <c r="AT433" s="208"/>
      <c r="AU433" s="207"/>
      <c r="AV433" s="208"/>
    </row>
    <row r="434" spans="1:48" s="205" customFormat="1" ht="15">
      <c r="A434" s="145"/>
      <c r="B434" s="166">
        <v>2183</v>
      </c>
      <c r="C434" s="167">
        <v>128181</v>
      </c>
      <c r="D434" s="166" t="s">
        <v>1053</v>
      </c>
      <c r="E434" s="168" t="s">
        <v>622</v>
      </c>
      <c r="F434" s="166">
        <v>624</v>
      </c>
      <c r="G434" s="168"/>
      <c r="H434" s="168"/>
      <c r="I434" s="168"/>
      <c r="J434" s="168">
        <v>0</v>
      </c>
      <c r="K434" s="168" t="s">
        <v>1518</v>
      </c>
      <c r="L434" s="168"/>
      <c r="M434" s="168"/>
      <c r="N434" s="169">
        <v>42280</v>
      </c>
      <c r="O434" s="169">
        <v>42280</v>
      </c>
      <c r="P434" s="168" t="s">
        <v>1598</v>
      </c>
      <c r="Q434" s="166">
        <v>700</v>
      </c>
      <c r="R434" s="166">
        <v>14050</v>
      </c>
      <c r="S434" s="170">
        <v>31816.22</v>
      </c>
      <c r="T434" s="166">
        <v>14056</v>
      </c>
      <c r="U434" s="170">
        <v>28028.61</v>
      </c>
      <c r="V434" s="170">
        <f t="shared" si="26"/>
        <v>3787.6100000000006</v>
      </c>
      <c r="W434" s="171">
        <v>4166.42</v>
      </c>
      <c r="X434" s="166">
        <v>54260</v>
      </c>
      <c r="Y434" s="170">
        <v>378.77</v>
      </c>
      <c r="Z434" s="168" t="s">
        <v>1053</v>
      </c>
      <c r="AA434" s="168"/>
      <c r="AB434" s="168">
        <v>65384270</v>
      </c>
      <c r="AC434" s="168"/>
      <c r="AD434" s="168" t="s">
        <v>1058</v>
      </c>
      <c r="AE434" s="168" t="s">
        <v>1059</v>
      </c>
      <c r="AF434" s="166" t="s">
        <v>284</v>
      </c>
      <c r="AG434" s="168"/>
      <c r="AH434" s="166" t="s">
        <v>1060</v>
      </c>
      <c r="AI434" s="168">
        <v>0</v>
      </c>
      <c r="AJ434" s="168">
        <v>0</v>
      </c>
      <c r="AP434" s="206"/>
      <c r="AQ434" s="207"/>
      <c r="AR434" s="207"/>
      <c r="AS434" s="207"/>
      <c r="AT434" s="208"/>
      <c r="AU434" s="207"/>
      <c r="AV434" s="208"/>
    </row>
    <row r="435" spans="1:48" s="205" customFormat="1" ht="15">
      <c r="A435" s="145"/>
      <c r="B435" s="166">
        <v>2183</v>
      </c>
      <c r="C435" s="167">
        <v>127478</v>
      </c>
      <c r="D435" s="166" t="s">
        <v>1053</v>
      </c>
      <c r="E435" s="168" t="s">
        <v>1599</v>
      </c>
      <c r="F435" s="166">
        <v>864</v>
      </c>
      <c r="G435" s="168"/>
      <c r="H435" s="168"/>
      <c r="I435" s="168"/>
      <c r="J435" s="168">
        <v>0</v>
      </c>
      <c r="K435" s="168" t="s">
        <v>1518</v>
      </c>
      <c r="L435" s="168"/>
      <c r="M435" s="168"/>
      <c r="N435" s="169">
        <v>42320</v>
      </c>
      <c r="O435" s="169">
        <v>42320</v>
      </c>
      <c r="P435" s="168" t="s">
        <v>1579</v>
      </c>
      <c r="Q435" s="166">
        <v>700</v>
      </c>
      <c r="R435" s="166">
        <v>14050</v>
      </c>
      <c r="S435" s="170">
        <v>39330.959999999999</v>
      </c>
      <c r="T435" s="166">
        <v>14056</v>
      </c>
      <c r="U435" s="170">
        <v>34180.480000000003</v>
      </c>
      <c r="V435" s="170">
        <f t="shared" si="26"/>
        <v>5150.4799999999959</v>
      </c>
      <c r="W435" s="171">
        <v>5150.4799999999996</v>
      </c>
      <c r="X435" s="166">
        <v>54260</v>
      </c>
      <c r="Y435" s="170">
        <v>468.22</v>
      </c>
      <c r="Z435" s="168" t="s">
        <v>1053</v>
      </c>
      <c r="AA435" s="168"/>
      <c r="AB435" s="168">
        <v>65388001</v>
      </c>
      <c r="AC435" s="168"/>
      <c r="AD435" s="168" t="s">
        <v>1058</v>
      </c>
      <c r="AE435" s="168" t="s">
        <v>1059</v>
      </c>
      <c r="AF435" s="166" t="s">
        <v>284</v>
      </c>
      <c r="AG435" s="168"/>
      <c r="AH435" s="166" t="s">
        <v>1060</v>
      </c>
      <c r="AI435" s="168">
        <v>0</v>
      </c>
      <c r="AJ435" s="168">
        <v>0</v>
      </c>
      <c r="AP435" s="206"/>
      <c r="AQ435" s="207"/>
      <c r="AR435" s="207"/>
      <c r="AS435" s="207"/>
      <c r="AT435" s="208"/>
      <c r="AU435" s="207"/>
      <c r="AV435" s="208"/>
    </row>
    <row r="436" spans="1:48" s="205" customFormat="1" ht="15">
      <c r="A436" s="145"/>
      <c r="B436" s="166">
        <v>2183</v>
      </c>
      <c r="C436" s="167">
        <v>126867</v>
      </c>
      <c r="D436" s="166" t="s">
        <v>1053</v>
      </c>
      <c r="E436" s="168" t="s">
        <v>1600</v>
      </c>
      <c r="F436" s="166">
        <v>5</v>
      </c>
      <c r="G436" s="168"/>
      <c r="H436" s="168"/>
      <c r="I436" s="168"/>
      <c r="J436" s="168">
        <v>0</v>
      </c>
      <c r="K436" s="168" t="s">
        <v>1132</v>
      </c>
      <c r="L436" s="168"/>
      <c r="M436" s="168" t="s">
        <v>1203</v>
      </c>
      <c r="N436" s="169">
        <v>42297</v>
      </c>
      <c r="O436" s="169">
        <v>42297</v>
      </c>
      <c r="P436" s="168" t="s">
        <v>1601</v>
      </c>
      <c r="Q436" s="166">
        <v>1200</v>
      </c>
      <c r="R436" s="166">
        <v>14050</v>
      </c>
      <c r="S436" s="170">
        <v>4864.33</v>
      </c>
      <c r="T436" s="166">
        <v>14056</v>
      </c>
      <c r="U436" s="170">
        <v>2465.94</v>
      </c>
      <c r="V436" s="170">
        <f t="shared" si="26"/>
        <v>2398.39</v>
      </c>
      <c r="W436" s="171">
        <v>371.58</v>
      </c>
      <c r="X436" s="166">
        <v>54260</v>
      </c>
      <c r="Y436" s="170">
        <v>33.78</v>
      </c>
      <c r="Z436" s="168" t="s">
        <v>1053</v>
      </c>
      <c r="AA436" s="168"/>
      <c r="AB436" s="168">
        <v>114304</v>
      </c>
      <c r="AC436" s="168"/>
      <c r="AD436" s="168" t="s">
        <v>1058</v>
      </c>
      <c r="AE436" s="168" t="s">
        <v>1059</v>
      </c>
      <c r="AF436" s="166" t="s">
        <v>284</v>
      </c>
      <c r="AG436" s="168"/>
      <c r="AH436" s="166" t="s">
        <v>1060</v>
      </c>
      <c r="AI436" s="168">
        <v>0</v>
      </c>
      <c r="AJ436" s="168">
        <v>0</v>
      </c>
      <c r="AP436" s="206"/>
      <c r="AQ436" s="207"/>
      <c r="AR436" s="207"/>
      <c r="AS436" s="207"/>
      <c r="AT436" s="208"/>
      <c r="AU436" s="207"/>
      <c r="AV436" s="208"/>
    </row>
    <row r="437" spans="1:48" s="205" customFormat="1" ht="15">
      <c r="A437" s="145"/>
      <c r="B437" s="166">
        <v>2183</v>
      </c>
      <c r="C437" s="167">
        <v>126833</v>
      </c>
      <c r="D437" s="166" t="s">
        <v>1053</v>
      </c>
      <c r="E437" s="168" t="s">
        <v>1602</v>
      </c>
      <c r="F437" s="166">
        <v>15</v>
      </c>
      <c r="G437" s="168"/>
      <c r="H437" s="168"/>
      <c r="I437" s="168"/>
      <c r="J437" s="168">
        <v>0</v>
      </c>
      <c r="K437" s="168" t="s">
        <v>1132</v>
      </c>
      <c r="L437" s="168"/>
      <c r="M437" s="168" t="s">
        <v>1136</v>
      </c>
      <c r="N437" s="169">
        <v>42297</v>
      </c>
      <c r="O437" s="169">
        <v>42297</v>
      </c>
      <c r="P437" s="168" t="s">
        <v>1601</v>
      </c>
      <c r="Q437" s="166">
        <v>1200</v>
      </c>
      <c r="R437" s="166">
        <v>14050</v>
      </c>
      <c r="S437" s="170">
        <v>7092.68</v>
      </c>
      <c r="T437" s="166">
        <v>14056</v>
      </c>
      <c r="U437" s="170">
        <v>3595.62</v>
      </c>
      <c r="V437" s="170">
        <f t="shared" si="26"/>
        <v>3497.0600000000004</v>
      </c>
      <c r="W437" s="171">
        <v>541.80999999999995</v>
      </c>
      <c r="X437" s="166">
        <v>54260</v>
      </c>
      <c r="Y437" s="170">
        <v>49.26</v>
      </c>
      <c r="Z437" s="168" t="s">
        <v>1053</v>
      </c>
      <c r="AA437" s="168"/>
      <c r="AB437" s="168">
        <v>114317</v>
      </c>
      <c r="AC437" s="168"/>
      <c r="AD437" s="168" t="s">
        <v>1058</v>
      </c>
      <c r="AE437" s="168" t="s">
        <v>1059</v>
      </c>
      <c r="AF437" s="166" t="s">
        <v>284</v>
      </c>
      <c r="AG437" s="168"/>
      <c r="AH437" s="166" t="s">
        <v>1060</v>
      </c>
      <c r="AI437" s="168">
        <v>0</v>
      </c>
      <c r="AJ437" s="168">
        <v>0</v>
      </c>
      <c r="AP437" s="206"/>
      <c r="AQ437" s="207"/>
      <c r="AR437" s="207"/>
      <c r="AS437" s="207"/>
      <c r="AT437" s="208"/>
      <c r="AU437" s="207"/>
      <c r="AV437" s="208"/>
    </row>
    <row r="438" spans="1:48" s="205" customFormat="1" ht="15">
      <c r="A438" s="145"/>
      <c r="B438" s="166">
        <v>2183</v>
      </c>
      <c r="C438" s="167">
        <v>126832</v>
      </c>
      <c r="D438" s="166" t="s">
        <v>1053</v>
      </c>
      <c r="E438" s="168" t="s">
        <v>1570</v>
      </c>
      <c r="F438" s="166">
        <v>2</v>
      </c>
      <c r="G438" s="168"/>
      <c r="H438" s="168"/>
      <c r="I438" s="168"/>
      <c r="J438" s="168">
        <v>0</v>
      </c>
      <c r="K438" s="168" t="s">
        <v>1132</v>
      </c>
      <c r="L438" s="168"/>
      <c r="M438" s="168" t="s">
        <v>1207</v>
      </c>
      <c r="N438" s="169">
        <v>42292</v>
      </c>
      <c r="O438" s="169">
        <v>42292</v>
      </c>
      <c r="P438" s="168" t="s">
        <v>1603</v>
      </c>
      <c r="Q438" s="166">
        <v>1200</v>
      </c>
      <c r="R438" s="166">
        <v>14050</v>
      </c>
      <c r="S438" s="170">
        <v>1728.33</v>
      </c>
      <c r="T438" s="166">
        <v>14056</v>
      </c>
      <c r="U438" s="170">
        <v>888.19</v>
      </c>
      <c r="V438" s="170">
        <f t="shared" si="26"/>
        <v>840.13999999999987</v>
      </c>
      <c r="W438" s="171">
        <v>132.03</v>
      </c>
      <c r="X438" s="166">
        <v>54260</v>
      </c>
      <c r="Y438" s="170">
        <v>12</v>
      </c>
      <c r="Z438" s="168" t="s">
        <v>1053</v>
      </c>
      <c r="AA438" s="168"/>
      <c r="AB438" s="168">
        <v>113783</v>
      </c>
      <c r="AC438" s="168"/>
      <c r="AD438" s="168" t="s">
        <v>1058</v>
      </c>
      <c r="AE438" s="168" t="s">
        <v>1059</v>
      </c>
      <c r="AF438" s="166" t="s">
        <v>284</v>
      </c>
      <c r="AG438" s="168"/>
      <c r="AH438" s="166" t="s">
        <v>1060</v>
      </c>
      <c r="AI438" s="168">
        <v>0</v>
      </c>
      <c r="AJ438" s="168">
        <v>0</v>
      </c>
      <c r="AP438" s="206"/>
      <c r="AQ438" s="207"/>
      <c r="AR438" s="207"/>
      <c r="AS438" s="207"/>
      <c r="AT438" s="208"/>
      <c r="AU438" s="207"/>
      <c r="AV438" s="208"/>
    </row>
    <row r="439" spans="1:48" s="205" customFormat="1" ht="15">
      <c r="A439" s="145"/>
      <c r="B439" s="166">
        <v>2183</v>
      </c>
      <c r="C439" s="167">
        <v>126751</v>
      </c>
      <c r="D439" s="166" t="s">
        <v>1053</v>
      </c>
      <c r="E439" s="168" t="s">
        <v>1570</v>
      </c>
      <c r="F439" s="166">
        <v>3</v>
      </c>
      <c r="G439" s="168"/>
      <c r="H439" s="168"/>
      <c r="I439" s="168"/>
      <c r="J439" s="168">
        <v>0</v>
      </c>
      <c r="K439" s="168" t="s">
        <v>1132</v>
      </c>
      <c r="L439" s="168"/>
      <c r="M439" s="168" t="s">
        <v>1207</v>
      </c>
      <c r="N439" s="169">
        <v>42292</v>
      </c>
      <c r="O439" s="169">
        <v>42292</v>
      </c>
      <c r="P439" s="168" t="s">
        <v>1603</v>
      </c>
      <c r="Q439" s="166">
        <v>1200</v>
      </c>
      <c r="R439" s="166">
        <v>14050</v>
      </c>
      <c r="S439" s="170">
        <v>2592.5</v>
      </c>
      <c r="T439" s="166">
        <v>14056</v>
      </c>
      <c r="U439" s="170">
        <v>1332.25</v>
      </c>
      <c r="V439" s="170">
        <f t="shared" si="26"/>
        <v>1260.25</v>
      </c>
      <c r="W439" s="171">
        <v>198.04</v>
      </c>
      <c r="X439" s="166">
        <v>54260</v>
      </c>
      <c r="Y439" s="170">
        <v>18.010000000000002</v>
      </c>
      <c r="Z439" s="168" t="s">
        <v>1053</v>
      </c>
      <c r="AA439" s="168"/>
      <c r="AB439" s="168">
        <v>113775</v>
      </c>
      <c r="AC439" s="168"/>
      <c r="AD439" s="168" t="s">
        <v>1058</v>
      </c>
      <c r="AE439" s="168" t="s">
        <v>1059</v>
      </c>
      <c r="AF439" s="166" t="s">
        <v>284</v>
      </c>
      <c r="AG439" s="168"/>
      <c r="AH439" s="166" t="s">
        <v>1060</v>
      </c>
      <c r="AI439" s="168">
        <v>0</v>
      </c>
      <c r="AJ439" s="168">
        <v>0</v>
      </c>
      <c r="AP439" s="206"/>
      <c r="AQ439" s="207"/>
      <c r="AR439" s="207"/>
      <c r="AS439" s="207"/>
      <c r="AT439" s="208"/>
      <c r="AU439" s="207"/>
      <c r="AV439" s="208"/>
    </row>
    <row r="440" spans="1:48" s="205" customFormat="1" ht="15">
      <c r="A440" s="145"/>
      <c r="B440" s="166">
        <v>2183</v>
      </c>
      <c r="C440" s="167">
        <v>126750</v>
      </c>
      <c r="D440" s="166" t="s">
        <v>1053</v>
      </c>
      <c r="E440" s="168" t="s">
        <v>627</v>
      </c>
      <c r="F440" s="166">
        <v>15</v>
      </c>
      <c r="G440" s="168"/>
      <c r="H440" s="168"/>
      <c r="I440" s="168"/>
      <c r="J440" s="168">
        <v>0</v>
      </c>
      <c r="K440" s="168" t="s">
        <v>1132</v>
      </c>
      <c r="L440" s="168"/>
      <c r="M440" s="168" t="s">
        <v>1129</v>
      </c>
      <c r="N440" s="169">
        <v>42292</v>
      </c>
      <c r="O440" s="169">
        <v>42292</v>
      </c>
      <c r="P440" s="168" t="s">
        <v>1603</v>
      </c>
      <c r="Q440" s="166">
        <v>1200</v>
      </c>
      <c r="R440" s="166">
        <v>14050</v>
      </c>
      <c r="S440" s="170">
        <v>6522</v>
      </c>
      <c r="T440" s="166">
        <v>14056</v>
      </c>
      <c r="U440" s="170">
        <v>3351.59</v>
      </c>
      <c r="V440" s="170">
        <f t="shared" si="26"/>
        <v>3170.41</v>
      </c>
      <c r="W440" s="171">
        <v>498.21</v>
      </c>
      <c r="X440" s="166">
        <v>54260</v>
      </c>
      <c r="Y440" s="170">
        <v>45.29</v>
      </c>
      <c r="Z440" s="168" t="s">
        <v>1053</v>
      </c>
      <c r="AA440" s="168"/>
      <c r="AB440" s="168">
        <v>113774</v>
      </c>
      <c r="AC440" s="168"/>
      <c r="AD440" s="168" t="s">
        <v>1058</v>
      </c>
      <c r="AE440" s="168" t="s">
        <v>1059</v>
      </c>
      <c r="AF440" s="166" t="s">
        <v>284</v>
      </c>
      <c r="AG440" s="168"/>
      <c r="AH440" s="166" t="s">
        <v>1060</v>
      </c>
      <c r="AI440" s="168">
        <v>0</v>
      </c>
      <c r="AJ440" s="168">
        <v>0</v>
      </c>
      <c r="AP440" s="206"/>
      <c r="AQ440" s="207"/>
      <c r="AR440" s="207"/>
      <c r="AS440" s="207"/>
      <c r="AT440" s="208"/>
      <c r="AU440" s="207"/>
      <c r="AV440" s="208"/>
    </row>
    <row r="441" spans="1:48" s="205" customFormat="1" ht="15">
      <c r="A441" s="145"/>
      <c r="B441" s="166">
        <v>2183</v>
      </c>
      <c r="C441" s="167">
        <v>126736</v>
      </c>
      <c r="D441" s="166" t="s">
        <v>1053</v>
      </c>
      <c r="E441" s="168" t="s">
        <v>1604</v>
      </c>
      <c r="F441" s="166">
        <v>1140</v>
      </c>
      <c r="G441" s="168"/>
      <c r="H441" s="168"/>
      <c r="I441" s="168"/>
      <c r="J441" s="168">
        <v>0</v>
      </c>
      <c r="K441" s="168" t="s">
        <v>1518</v>
      </c>
      <c r="L441" s="168"/>
      <c r="M441" s="168"/>
      <c r="N441" s="169">
        <v>42270</v>
      </c>
      <c r="O441" s="169">
        <v>42270</v>
      </c>
      <c r="P441" s="168" t="s">
        <v>1598</v>
      </c>
      <c r="Q441" s="166">
        <v>700</v>
      </c>
      <c r="R441" s="166">
        <v>14050</v>
      </c>
      <c r="S441" s="170">
        <v>39343.97</v>
      </c>
      <c r="T441" s="166">
        <v>14056</v>
      </c>
      <c r="U441" s="170">
        <v>34660.18</v>
      </c>
      <c r="V441" s="170">
        <f t="shared" si="26"/>
        <v>4683.7900000000009</v>
      </c>
      <c r="W441" s="171">
        <v>5152.1899999999996</v>
      </c>
      <c r="X441" s="166">
        <v>54260</v>
      </c>
      <c r="Y441" s="170">
        <v>468.38</v>
      </c>
      <c r="Z441" s="168" t="s">
        <v>1053</v>
      </c>
      <c r="AA441" s="168"/>
      <c r="AB441" s="168">
        <v>65383010</v>
      </c>
      <c r="AC441" s="168"/>
      <c r="AD441" s="168" t="s">
        <v>1058</v>
      </c>
      <c r="AE441" s="168" t="s">
        <v>1059</v>
      </c>
      <c r="AF441" s="166" t="s">
        <v>284</v>
      </c>
      <c r="AG441" s="168"/>
      <c r="AH441" s="166" t="s">
        <v>1060</v>
      </c>
      <c r="AI441" s="168">
        <v>0</v>
      </c>
      <c r="AJ441" s="168">
        <v>0</v>
      </c>
      <c r="AP441" s="206"/>
      <c r="AQ441" s="207"/>
      <c r="AR441" s="207"/>
      <c r="AS441" s="207"/>
      <c r="AT441" s="208"/>
      <c r="AU441" s="207"/>
      <c r="AV441" s="208"/>
    </row>
    <row r="442" spans="1:48" s="205" customFormat="1" ht="15">
      <c r="A442" s="145"/>
      <c r="B442" s="166">
        <v>2183</v>
      </c>
      <c r="C442" s="167">
        <v>126474</v>
      </c>
      <c r="D442" s="166" t="s">
        <v>1053</v>
      </c>
      <c r="E442" s="168" t="s">
        <v>1605</v>
      </c>
      <c r="F442" s="166">
        <v>432</v>
      </c>
      <c r="G442" s="168"/>
      <c r="H442" s="168"/>
      <c r="I442" s="168"/>
      <c r="J442" s="168">
        <v>0</v>
      </c>
      <c r="K442" s="168" t="s">
        <v>1518</v>
      </c>
      <c r="L442" s="168"/>
      <c r="M442" s="168"/>
      <c r="N442" s="169">
        <v>42270</v>
      </c>
      <c r="O442" s="169">
        <v>42270</v>
      </c>
      <c r="P442" s="168" t="s">
        <v>1598</v>
      </c>
      <c r="Q442" s="166">
        <v>700</v>
      </c>
      <c r="R442" s="166">
        <v>14050</v>
      </c>
      <c r="S442" s="170">
        <v>20520.12</v>
      </c>
      <c r="T442" s="166">
        <v>14056</v>
      </c>
      <c r="U442" s="170">
        <v>18077.27</v>
      </c>
      <c r="V442" s="170">
        <f t="shared" si="26"/>
        <v>2442.8499999999985</v>
      </c>
      <c r="W442" s="171">
        <v>2687.16</v>
      </c>
      <c r="X442" s="166">
        <v>54260</v>
      </c>
      <c r="Y442" s="170">
        <v>244.28</v>
      </c>
      <c r="Z442" s="168" t="s">
        <v>1053</v>
      </c>
      <c r="AA442" s="168"/>
      <c r="AB442" s="168">
        <v>65383427</v>
      </c>
      <c r="AC442" s="168"/>
      <c r="AD442" s="168" t="s">
        <v>1058</v>
      </c>
      <c r="AE442" s="168" t="s">
        <v>1059</v>
      </c>
      <c r="AF442" s="166" t="s">
        <v>284</v>
      </c>
      <c r="AG442" s="168"/>
      <c r="AH442" s="166" t="s">
        <v>1060</v>
      </c>
      <c r="AI442" s="168">
        <v>0</v>
      </c>
      <c r="AJ442" s="168">
        <v>0</v>
      </c>
      <c r="AP442" s="206"/>
      <c r="AQ442" s="207"/>
      <c r="AR442" s="207"/>
      <c r="AS442" s="207"/>
      <c r="AT442" s="208"/>
      <c r="AU442" s="207"/>
      <c r="AV442" s="208"/>
    </row>
    <row r="443" spans="1:48" s="205" customFormat="1" ht="15">
      <c r="A443" s="145"/>
      <c r="B443" s="166">
        <v>2183</v>
      </c>
      <c r="C443" s="167">
        <v>126473</v>
      </c>
      <c r="D443" s="166" t="s">
        <v>1053</v>
      </c>
      <c r="E443" s="168" t="s">
        <v>1606</v>
      </c>
      <c r="F443" s="166">
        <v>312</v>
      </c>
      <c r="G443" s="168"/>
      <c r="H443" s="168"/>
      <c r="I443" s="168"/>
      <c r="J443" s="168">
        <v>0</v>
      </c>
      <c r="K443" s="168" t="s">
        <v>1518</v>
      </c>
      <c r="L443" s="168"/>
      <c r="M443" s="168"/>
      <c r="N443" s="169">
        <v>42270</v>
      </c>
      <c r="O443" s="169">
        <v>42270</v>
      </c>
      <c r="P443" s="168" t="s">
        <v>1598</v>
      </c>
      <c r="Q443" s="166">
        <v>700</v>
      </c>
      <c r="R443" s="166">
        <v>14050</v>
      </c>
      <c r="S443" s="170">
        <v>16893.89</v>
      </c>
      <c r="T443" s="166">
        <v>14056</v>
      </c>
      <c r="U443" s="170">
        <v>14882.69</v>
      </c>
      <c r="V443" s="170">
        <f t="shared" si="26"/>
        <v>2011.1999999999989</v>
      </c>
      <c r="W443" s="171">
        <v>2212.29</v>
      </c>
      <c r="X443" s="166">
        <v>54260</v>
      </c>
      <c r="Y443" s="170">
        <v>201.11</v>
      </c>
      <c r="Z443" s="168" t="s">
        <v>1053</v>
      </c>
      <c r="AA443" s="168"/>
      <c r="AB443" s="168">
        <v>65383653</v>
      </c>
      <c r="AC443" s="168"/>
      <c r="AD443" s="168" t="s">
        <v>1058</v>
      </c>
      <c r="AE443" s="168" t="s">
        <v>1059</v>
      </c>
      <c r="AF443" s="166" t="s">
        <v>284</v>
      </c>
      <c r="AG443" s="168"/>
      <c r="AH443" s="166" t="s">
        <v>1060</v>
      </c>
      <c r="AI443" s="168">
        <v>0</v>
      </c>
      <c r="AJ443" s="168">
        <v>0</v>
      </c>
      <c r="AP443" s="206"/>
      <c r="AQ443" s="207"/>
      <c r="AR443" s="207"/>
      <c r="AS443" s="207"/>
      <c r="AT443" s="208"/>
      <c r="AU443" s="207"/>
      <c r="AV443" s="208"/>
    </row>
    <row r="444" spans="1:48" s="205" customFormat="1" ht="15">
      <c r="A444" s="145"/>
      <c r="B444" s="166">
        <v>2183</v>
      </c>
      <c r="C444" s="167">
        <v>126472</v>
      </c>
      <c r="D444" s="166" t="s">
        <v>1053</v>
      </c>
      <c r="E444" s="168" t="s">
        <v>1607</v>
      </c>
      <c r="F444" s="166">
        <v>10</v>
      </c>
      <c r="G444" s="168"/>
      <c r="H444" s="168"/>
      <c r="I444" s="168"/>
      <c r="J444" s="168">
        <v>0</v>
      </c>
      <c r="K444" s="168" t="s">
        <v>1132</v>
      </c>
      <c r="L444" s="168"/>
      <c r="M444" s="168" t="s">
        <v>1143</v>
      </c>
      <c r="N444" s="169">
        <v>42286</v>
      </c>
      <c r="O444" s="169">
        <v>42286</v>
      </c>
      <c r="P444" s="168" t="s">
        <v>1603</v>
      </c>
      <c r="Q444" s="166">
        <v>1200</v>
      </c>
      <c r="R444" s="166">
        <v>14050</v>
      </c>
      <c r="S444" s="170">
        <v>6282.86</v>
      </c>
      <c r="T444" s="166">
        <v>14056</v>
      </c>
      <c r="U444" s="170">
        <v>3228.68</v>
      </c>
      <c r="V444" s="170">
        <f t="shared" si="26"/>
        <v>3054.18</v>
      </c>
      <c r="W444" s="171">
        <v>479.94</v>
      </c>
      <c r="X444" s="166">
        <v>54260</v>
      </c>
      <c r="Y444" s="170">
        <v>43.63</v>
      </c>
      <c r="Z444" s="168" t="s">
        <v>1053</v>
      </c>
      <c r="AA444" s="168"/>
      <c r="AB444" s="168">
        <v>113619</v>
      </c>
      <c r="AC444" s="168"/>
      <c r="AD444" s="168" t="s">
        <v>1058</v>
      </c>
      <c r="AE444" s="168" t="s">
        <v>1059</v>
      </c>
      <c r="AF444" s="166" t="s">
        <v>284</v>
      </c>
      <c r="AG444" s="168"/>
      <c r="AH444" s="166" t="s">
        <v>1060</v>
      </c>
      <c r="AI444" s="168">
        <v>0</v>
      </c>
      <c r="AJ444" s="168">
        <v>0</v>
      </c>
      <c r="AP444" s="206"/>
      <c r="AQ444" s="207"/>
      <c r="AR444" s="207"/>
      <c r="AS444" s="207"/>
      <c r="AT444" s="208"/>
      <c r="AU444" s="207"/>
      <c r="AV444" s="208"/>
    </row>
    <row r="445" spans="1:48" s="205" customFormat="1" ht="15">
      <c r="A445" s="145"/>
      <c r="B445" s="166">
        <v>2183</v>
      </c>
      <c r="C445" s="167">
        <v>126400</v>
      </c>
      <c r="D445" s="166" t="s">
        <v>1053</v>
      </c>
      <c r="E445" s="168" t="s">
        <v>578</v>
      </c>
      <c r="F445" s="166"/>
      <c r="G445" s="168"/>
      <c r="H445" s="168"/>
      <c r="I445" s="168"/>
      <c r="J445" s="168">
        <v>0</v>
      </c>
      <c r="K445" s="168"/>
      <c r="L445" s="168"/>
      <c r="M445" s="168"/>
      <c r="N445" s="169">
        <v>42248</v>
      </c>
      <c r="O445" s="169">
        <v>42248</v>
      </c>
      <c r="P445" s="168" t="s">
        <v>1608</v>
      </c>
      <c r="Q445" s="166">
        <v>500</v>
      </c>
      <c r="R445" s="166">
        <v>14070</v>
      </c>
      <c r="S445" s="170">
        <v>11499.37</v>
      </c>
      <c r="T445" s="166">
        <v>14076</v>
      </c>
      <c r="U445" s="170">
        <v>11499.37</v>
      </c>
      <c r="V445" s="170">
        <f t="shared" si="26"/>
        <v>0</v>
      </c>
      <c r="W445" s="171">
        <v>0</v>
      </c>
      <c r="X445" s="166">
        <v>51260</v>
      </c>
      <c r="Y445" s="170">
        <v>0</v>
      </c>
      <c r="Z445" s="168" t="s">
        <v>1053</v>
      </c>
      <c r="AA445" s="168"/>
      <c r="AB445" s="168" t="s">
        <v>1609</v>
      </c>
      <c r="AC445" s="168"/>
      <c r="AD445" s="168" t="s">
        <v>1058</v>
      </c>
      <c r="AE445" s="168" t="s">
        <v>1059</v>
      </c>
      <c r="AF445" s="166" t="s">
        <v>284</v>
      </c>
      <c r="AG445" s="168"/>
      <c r="AH445" s="166" t="s">
        <v>1060</v>
      </c>
      <c r="AI445" s="168">
        <v>0</v>
      </c>
      <c r="AJ445" s="168">
        <v>0</v>
      </c>
      <c r="AP445" s="206"/>
      <c r="AQ445" s="207"/>
      <c r="AR445" s="207"/>
      <c r="AS445" s="207"/>
      <c r="AT445" s="208"/>
      <c r="AU445" s="207"/>
      <c r="AV445" s="208"/>
    </row>
    <row r="446" spans="1:48" s="205" customFormat="1" ht="15">
      <c r="A446" s="145"/>
      <c r="B446" s="166">
        <v>2183</v>
      </c>
      <c r="C446" s="167">
        <v>125758</v>
      </c>
      <c r="D446" s="166">
        <v>126400</v>
      </c>
      <c r="E446" s="168" t="s">
        <v>1610</v>
      </c>
      <c r="F446" s="166"/>
      <c r="G446" s="168"/>
      <c r="H446" s="168"/>
      <c r="I446" s="168"/>
      <c r="J446" s="168">
        <v>0</v>
      </c>
      <c r="K446" s="168" t="s">
        <v>1611</v>
      </c>
      <c r="L446" s="168"/>
      <c r="M446" s="168"/>
      <c r="N446" s="169">
        <v>42248</v>
      </c>
      <c r="O446" s="169">
        <v>42248</v>
      </c>
      <c r="P446" s="168" t="s">
        <v>1608</v>
      </c>
      <c r="Q446" s="166">
        <v>500</v>
      </c>
      <c r="R446" s="166">
        <v>14070</v>
      </c>
      <c r="S446" s="170">
        <v>1195.7</v>
      </c>
      <c r="T446" s="166">
        <v>14076</v>
      </c>
      <c r="U446" s="170">
        <v>1195.7</v>
      </c>
      <c r="V446" s="170">
        <f t="shared" si="26"/>
        <v>0</v>
      </c>
      <c r="W446" s="171">
        <v>0</v>
      </c>
      <c r="X446" s="166">
        <v>51260</v>
      </c>
      <c r="Y446" s="170">
        <v>0</v>
      </c>
      <c r="Z446" s="168" t="s">
        <v>1053</v>
      </c>
      <c r="AA446" s="168"/>
      <c r="AB446" s="168" t="s">
        <v>1612</v>
      </c>
      <c r="AC446" s="168"/>
      <c r="AD446" s="168" t="s">
        <v>1058</v>
      </c>
      <c r="AE446" s="168" t="s">
        <v>1059</v>
      </c>
      <c r="AF446" s="166" t="s">
        <v>284</v>
      </c>
      <c r="AG446" s="168"/>
      <c r="AH446" s="166" t="s">
        <v>1060</v>
      </c>
      <c r="AI446" s="168">
        <v>0</v>
      </c>
      <c r="AJ446" s="168">
        <v>0</v>
      </c>
      <c r="AP446" s="206"/>
      <c r="AQ446" s="207"/>
      <c r="AR446" s="207"/>
      <c r="AS446" s="207"/>
      <c r="AT446" s="208"/>
      <c r="AU446" s="207"/>
      <c r="AV446" s="208"/>
    </row>
    <row r="447" spans="1:48" s="205" customFormat="1" ht="15">
      <c r="A447" s="145"/>
      <c r="B447" s="166">
        <v>2183</v>
      </c>
      <c r="C447" s="167">
        <v>125074</v>
      </c>
      <c r="D447" s="166" t="s">
        <v>1053</v>
      </c>
      <c r="E447" s="168" t="s">
        <v>579</v>
      </c>
      <c r="F447" s="166"/>
      <c r="G447" s="168"/>
      <c r="H447" s="168"/>
      <c r="I447" s="168"/>
      <c r="J447" s="168">
        <v>0</v>
      </c>
      <c r="K447" s="168" t="s">
        <v>1613</v>
      </c>
      <c r="L447" s="168"/>
      <c r="M447" s="168"/>
      <c r="N447" s="169">
        <v>42211</v>
      </c>
      <c r="O447" s="169">
        <v>42211</v>
      </c>
      <c r="P447" s="168" t="s">
        <v>1614</v>
      </c>
      <c r="Q447" s="166">
        <v>1000</v>
      </c>
      <c r="R447" s="166">
        <v>14010</v>
      </c>
      <c r="S447" s="170">
        <v>5978.5</v>
      </c>
      <c r="T447" s="166">
        <v>14016</v>
      </c>
      <c r="U447" s="170">
        <v>3786.39</v>
      </c>
      <c r="V447" s="170">
        <f t="shared" si="26"/>
        <v>2192.11</v>
      </c>
      <c r="W447" s="171">
        <v>548.03</v>
      </c>
      <c r="X447" s="166">
        <v>57260</v>
      </c>
      <c r="Y447" s="170">
        <v>49.82</v>
      </c>
      <c r="Z447" s="168" t="s">
        <v>1053</v>
      </c>
      <c r="AA447" s="168"/>
      <c r="AB447" s="168">
        <v>11503</v>
      </c>
      <c r="AC447" s="168"/>
      <c r="AD447" s="168" t="s">
        <v>1058</v>
      </c>
      <c r="AE447" s="168" t="s">
        <v>1059</v>
      </c>
      <c r="AF447" s="166" t="s">
        <v>284</v>
      </c>
      <c r="AG447" s="168"/>
      <c r="AH447" s="166" t="s">
        <v>1060</v>
      </c>
      <c r="AI447" s="168">
        <v>0</v>
      </c>
      <c r="AJ447" s="168">
        <v>0</v>
      </c>
      <c r="AP447" s="206"/>
      <c r="AQ447" s="207"/>
      <c r="AR447" s="207"/>
      <c r="AS447" s="207"/>
      <c r="AT447" s="208"/>
      <c r="AU447" s="207"/>
      <c r="AV447" s="208"/>
    </row>
    <row r="448" spans="1:48" s="205" customFormat="1" ht="15">
      <c r="A448" s="145"/>
      <c r="B448" s="166">
        <v>2183</v>
      </c>
      <c r="C448" s="167">
        <v>124973</v>
      </c>
      <c r="D448" s="166" t="s">
        <v>1053</v>
      </c>
      <c r="E448" s="168" t="s">
        <v>1615</v>
      </c>
      <c r="F448" s="166">
        <v>11</v>
      </c>
      <c r="G448" s="168"/>
      <c r="H448" s="168"/>
      <c r="I448" s="168"/>
      <c r="J448" s="168">
        <v>0</v>
      </c>
      <c r="K448" s="168" t="s">
        <v>1616</v>
      </c>
      <c r="L448" s="168"/>
      <c r="M448" s="168" t="s">
        <v>1136</v>
      </c>
      <c r="N448" s="169">
        <v>42216</v>
      </c>
      <c r="O448" s="169">
        <v>42216</v>
      </c>
      <c r="P448" s="168" t="s">
        <v>1617</v>
      </c>
      <c r="Q448" s="166">
        <v>1200</v>
      </c>
      <c r="R448" s="166">
        <v>14050</v>
      </c>
      <c r="S448" s="170">
        <v>6028.5</v>
      </c>
      <c r="T448" s="166">
        <v>14056</v>
      </c>
      <c r="U448" s="170">
        <v>3181.74</v>
      </c>
      <c r="V448" s="170">
        <f t="shared" si="26"/>
        <v>2846.76</v>
      </c>
      <c r="W448" s="171">
        <v>460.52</v>
      </c>
      <c r="X448" s="166">
        <v>54260</v>
      </c>
      <c r="Y448" s="170">
        <v>41.87</v>
      </c>
      <c r="Z448" s="168" t="s">
        <v>1053</v>
      </c>
      <c r="AA448" s="168"/>
      <c r="AB448" s="168" t="s">
        <v>1618</v>
      </c>
      <c r="AC448" s="168"/>
      <c r="AD448" s="168" t="s">
        <v>1058</v>
      </c>
      <c r="AE448" s="168" t="s">
        <v>1059</v>
      </c>
      <c r="AF448" s="166" t="s">
        <v>284</v>
      </c>
      <c r="AG448" s="168"/>
      <c r="AH448" s="166" t="s">
        <v>1060</v>
      </c>
      <c r="AI448" s="168">
        <v>0</v>
      </c>
      <c r="AJ448" s="168">
        <v>0</v>
      </c>
      <c r="AP448" s="206"/>
      <c r="AQ448" s="207"/>
      <c r="AR448" s="207"/>
      <c r="AS448" s="207"/>
      <c r="AT448" s="208"/>
      <c r="AU448" s="207"/>
      <c r="AV448" s="208"/>
    </row>
    <row r="449" spans="1:48" s="205" customFormat="1" ht="15">
      <c r="A449" s="145"/>
      <c r="B449" s="166">
        <v>2183</v>
      </c>
      <c r="C449" s="167">
        <v>124972</v>
      </c>
      <c r="D449" s="166" t="s">
        <v>1053</v>
      </c>
      <c r="E449" s="168" t="s">
        <v>1619</v>
      </c>
      <c r="F449" s="166">
        <v>11</v>
      </c>
      <c r="G449" s="168"/>
      <c r="H449" s="168"/>
      <c r="I449" s="168"/>
      <c r="J449" s="168">
        <v>0</v>
      </c>
      <c r="K449" s="168" t="s">
        <v>1616</v>
      </c>
      <c r="L449" s="168"/>
      <c r="M449" s="168" t="s">
        <v>1133</v>
      </c>
      <c r="N449" s="169">
        <v>42216</v>
      </c>
      <c r="O449" s="169">
        <v>42216</v>
      </c>
      <c r="P449" s="168" t="s">
        <v>1617</v>
      </c>
      <c r="Q449" s="166">
        <v>1200</v>
      </c>
      <c r="R449" s="166">
        <v>14050</v>
      </c>
      <c r="S449" s="170">
        <v>5705.66</v>
      </c>
      <c r="T449" s="166">
        <v>14056</v>
      </c>
      <c r="U449" s="170">
        <v>3011.17</v>
      </c>
      <c r="V449" s="170">
        <f t="shared" si="26"/>
        <v>2694.49</v>
      </c>
      <c r="W449" s="171">
        <v>435.83</v>
      </c>
      <c r="X449" s="166">
        <v>54260</v>
      </c>
      <c r="Y449" s="170">
        <v>39.61</v>
      </c>
      <c r="Z449" s="168" t="s">
        <v>1053</v>
      </c>
      <c r="AA449" s="168"/>
      <c r="AB449" s="168" t="s">
        <v>1618</v>
      </c>
      <c r="AC449" s="168"/>
      <c r="AD449" s="168" t="s">
        <v>1058</v>
      </c>
      <c r="AE449" s="168" t="s">
        <v>1059</v>
      </c>
      <c r="AF449" s="166" t="s">
        <v>284</v>
      </c>
      <c r="AG449" s="168"/>
      <c r="AH449" s="166" t="s">
        <v>1060</v>
      </c>
      <c r="AI449" s="168">
        <v>0</v>
      </c>
      <c r="AJ449" s="168">
        <v>0</v>
      </c>
      <c r="AP449" s="206"/>
      <c r="AQ449" s="207"/>
      <c r="AR449" s="207"/>
      <c r="AS449" s="207"/>
      <c r="AT449" s="208"/>
      <c r="AU449" s="207"/>
      <c r="AV449" s="208"/>
    </row>
    <row r="450" spans="1:48" s="205" customFormat="1" ht="15">
      <c r="A450" s="145"/>
      <c r="B450" s="166">
        <v>2183</v>
      </c>
      <c r="C450" s="167">
        <v>124971</v>
      </c>
      <c r="D450" s="166" t="s">
        <v>1053</v>
      </c>
      <c r="E450" s="168" t="s">
        <v>1620</v>
      </c>
      <c r="F450" s="166">
        <v>11</v>
      </c>
      <c r="G450" s="168"/>
      <c r="H450" s="168"/>
      <c r="I450" s="168"/>
      <c r="J450" s="168">
        <v>0</v>
      </c>
      <c r="K450" s="168" t="s">
        <v>1616</v>
      </c>
      <c r="L450" s="168"/>
      <c r="M450" s="168" t="s">
        <v>1129</v>
      </c>
      <c r="N450" s="169">
        <v>42216</v>
      </c>
      <c r="O450" s="169">
        <v>42216</v>
      </c>
      <c r="P450" s="168" t="s">
        <v>1617</v>
      </c>
      <c r="Q450" s="166">
        <v>1200</v>
      </c>
      <c r="R450" s="166">
        <v>14050</v>
      </c>
      <c r="S450" s="170">
        <v>5287.17</v>
      </c>
      <c r="T450" s="166">
        <v>14056</v>
      </c>
      <c r="U450" s="170">
        <v>2790.46</v>
      </c>
      <c r="V450" s="170">
        <f t="shared" si="26"/>
        <v>2496.71</v>
      </c>
      <c r="W450" s="171">
        <v>403.88</v>
      </c>
      <c r="X450" s="166">
        <v>54260</v>
      </c>
      <c r="Y450" s="170">
        <v>36.71</v>
      </c>
      <c r="Z450" s="168" t="s">
        <v>1053</v>
      </c>
      <c r="AA450" s="168"/>
      <c r="AB450" s="168" t="s">
        <v>1618</v>
      </c>
      <c r="AC450" s="168"/>
      <c r="AD450" s="168" t="s">
        <v>1058</v>
      </c>
      <c r="AE450" s="168" t="s">
        <v>1059</v>
      </c>
      <c r="AF450" s="166" t="s">
        <v>284</v>
      </c>
      <c r="AG450" s="168"/>
      <c r="AH450" s="166" t="s">
        <v>1060</v>
      </c>
      <c r="AI450" s="168">
        <v>0</v>
      </c>
      <c r="AJ450" s="168">
        <v>0</v>
      </c>
      <c r="AP450" s="206"/>
      <c r="AQ450" s="207"/>
      <c r="AR450" s="207"/>
      <c r="AS450" s="207"/>
      <c r="AT450" s="208"/>
      <c r="AU450" s="207"/>
      <c r="AV450" s="208"/>
    </row>
    <row r="451" spans="1:48" s="205" customFormat="1" ht="15">
      <c r="A451" s="145"/>
      <c r="B451" s="166">
        <v>2183</v>
      </c>
      <c r="C451" s="167">
        <v>124970</v>
      </c>
      <c r="D451" s="166" t="s">
        <v>1053</v>
      </c>
      <c r="E451" s="168" t="s">
        <v>1621</v>
      </c>
      <c r="F451" s="166">
        <v>11</v>
      </c>
      <c r="G451" s="168"/>
      <c r="H451" s="168"/>
      <c r="I451" s="168"/>
      <c r="J451" s="168">
        <v>0</v>
      </c>
      <c r="K451" s="168" t="s">
        <v>1616</v>
      </c>
      <c r="L451" s="168"/>
      <c r="M451" s="168" t="s">
        <v>1207</v>
      </c>
      <c r="N451" s="169">
        <v>42216</v>
      </c>
      <c r="O451" s="169">
        <v>42216</v>
      </c>
      <c r="P451" s="168" t="s">
        <v>1617</v>
      </c>
      <c r="Q451" s="166">
        <v>1200</v>
      </c>
      <c r="R451" s="166">
        <v>14050</v>
      </c>
      <c r="S451" s="170">
        <v>8862.32</v>
      </c>
      <c r="T451" s="166">
        <v>14056</v>
      </c>
      <c r="U451" s="170">
        <v>4677.3599999999997</v>
      </c>
      <c r="V451" s="170">
        <f t="shared" si="26"/>
        <v>4184.96</v>
      </c>
      <c r="W451" s="171">
        <v>676.99</v>
      </c>
      <c r="X451" s="166">
        <v>54260</v>
      </c>
      <c r="Y451" s="170">
        <v>61.55</v>
      </c>
      <c r="Z451" s="168" t="s">
        <v>1053</v>
      </c>
      <c r="AA451" s="168"/>
      <c r="AB451" s="168" t="s">
        <v>1618</v>
      </c>
      <c r="AC451" s="168"/>
      <c r="AD451" s="168" t="s">
        <v>1058</v>
      </c>
      <c r="AE451" s="168" t="s">
        <v>1059</v>
      </c>
      <c r="AF451" s="166" t="s">
        <v>284</v>
      </c>
      <c r="AG451" s="168"/>
      <c r="AH451" s="166" t="s">
        <v>1060</v>
      </c>
      <c r="AI451" s="168">
        <v>0</v>
      </c>
      <c r="AJ451" s="168">
        <v>0</v>
      </c>
      <c r="AP451" s="206"/>
      <c r="AQ451" s="207"/>
      <c r="AR451" s="207"/>
      <c r="AS451" s="207"/>
      <c r="AT451" s="208"/>
      <c r="AU451" s="207"/>
      <c r="AV451" s="208"/>
    </row>
    <row r="452" spans="1:48" s="205" customFormat="1" ht="15">
      <c r="A452" s="145"/>
      <c r="B452" s="166">
        <v>2183</v>
      </c>
      <c r="C452" s="167">
        <v>124969</v>
      </c>
      <c r="D452" s="166" t="s">
        <v>1053</v>
      </c>
      <c r="E452" s="168" t="s">
        <v>1622</v>
      </c>
      <c r="F452" s="166">
        <v>11</v>
      </c>
      <c r="G452" s="168"/>
      <c r="H452" s="168"/>
      <c r="I452" s="168"/>
      <c r="J452" s="168">
        <v>0</v>
      </c>
      <c r="K452" s="168" t="s">
        <v>1616</v>
      </c>
      <c r="L452" s="168"/>
      <c r="M452" s="168" t="s">
        <v>1143</v>
      </c>
      <c r="N452" s="169">
        <v>42216</v>
      </c>
      <c r="O452" s="169">
        <v>42216</v>
      </c>
      <c r="P452" s="168" t="s">
        <v>1617</v>
      </c>
      <c r="Q452" s="166">
        <v>1200</v>
      </c>
      <c r="R452" s="166">
        <v>14050</v>
      </c>
      <c r="S452" s="170">
        <v>6662.22</v>
      </c>
      <c r="T452" s="166">
        <v>14056</v>
      </c>
      <c r="U452" s="170">
        <v>3516.2</v>
      </c>
      <c r="V452" s="170">
        <f t="shared" si="26"/>
        <v>3146.0200000000004</v>
      </c>
      <c r="W452" s="171">
        <v>508.92</v>
      </c>
      <c r="X452" s="166">
        <v>54260</v>
      </c>
      <c r="Y452" s="170">
        <v>46.26</v>
      </c>
      <c r="Z452" s="168" t="s">
        <v>1053</v>
      </c>
      <c r="AA452" s="168"/>
      <c r="AB452" s="168" t="s">
        <v>1618</v>
      </c>
      <c r="AC452" s="168"/>
      <c r="AD452" s="168" t="s">
        <v>1058</v>
      </c>
      <c r="AE452" s="168" t="s">
        <v>1059</v>
      </c>
      <c r="AF452" s="166" t="s">
        <v>284</v>
      </c>
      <c r="AG452" s="168"/>
      <c r="AH452" s="166" t="s">
        <v>1060</v>
      </c>
      <c r="AI452" s="168">
        <v>0</v>
      </c>
      <c r="AJ452" s="168">
        <v>0</v>
      </c>
      <c r="AP452" s="206"/>
      <c r="AQ452" s="207"/>
      <c r="AR452" s="207"/>
      <c r="AS452" s="207"/>
      <c r="AT452" s="208"/>
      <c r="AU452" s="207"/>
      <c r="AV452" s="208"/>
    </row>
    <row r="453" spans="1:48" s="205" customFormat="1" ht="15">
      <c r="A453" s="145"/>
      <c r="B453" s="166">
        <v>2183</v>
      </c>
      <c r="C453" s="167">
        <v>124606</v>
      </c>
      <c r="D453" s="166">
        <v>61120</v>
      </c>
      <c r="E453" s="168" t="s">
        <v>1623</v>
      </c>
      <c r="F453" s="166"/>
      <c r="G453" s="168"/>
      <c r="H453" s="168"/>
      <c r="I453" s="168"/>
      <c r="J453" s="168">
        <v>0</v>
      </c>
      <c r="K453" s="168" t="s">
        <v>1624</v>
      </c>
      <c r="L453" s="168"/>
      <c r="M453" s="168" t="s">
        <v>1303</v>
      </c>
      <c r="N453" s="169">
        <v>42185</v>
      </c>
      <c r="O453" s="169">
        <v>42185</v>
      </c>
      <c r="P453" s="168" t="s">
        <v>1625</v>
      </c>
      <c r="Q453" s="166">
        <v>300</v>
      </c>
      <c r="R453" s="166">
        <v>14040</v>
      </c>
      <c r="S453" s="170">
        <v>10023.450000000001</v>
      </c>
      <c r="T453" s="166">
        <v>14046</v>
      </c>
      <c r="U453" s="170">
        <v>10023.450000000001</v>
      </c>
      <c r="V453" s="170">
        <f t="shared" si="26"/>
        <v>0</v>
      </c>
      <c r="W453" s="171">
        <v>0</v>
      </c>
      <c r="X453" s="166">
        <v>51260</v>
      </c>
      <c r="Y453" s="170">
        <v>0</v>
      </c>
      <c r="Z453" s="168" t="s">
        <v>1053</v>
      </c>
      <c r="AA453" s="168"/>
      <c r="AB453" s="168">
        <v>136356</v>
      </c>
      <c r="AC453" s="168"/>
      <c r="AD453" s="168" t="s">
        <v>1058</v>
      </c>
      <c r="AE453" s="168" t="s">
        <v>1059</v>
      </c>
      <c r="AF453" s="166" t="s">
        <v>284</v>
      </c>
      <c r="AG453" s="168"/>
      <c r="AH453" s="166" t="s">
        <v>1060</v>
      </c>
      <c r="AI453" s="168">
        <v>0</v>
      </c>
      <c r="AJ453" s="168">
        <v>0</v>
      </c>
      <c r="AP453" s="206"/>
      <c r="AQ453" s="207"/>
      <c r="AR453" s="207"/>
      <c r="AS453" s="207"/>
      <c r="AT453" s="208"/>
      <c r="AU453" s="207"/>
      <c r="AV453" s="208"/>
    </row>
    <row r="454" spans="1:48" s="205" customFormat="1" ht="15">
      <c r="A454" s="145"/>
      <c r="B454" s="166">
        <v>2183</v>
      </c>
      <c r="C454" s="167">
        <v>124524</v>
      </c>
      <c r="D454" s="166" t="s">
        <v>1053</v>
      </c>
      <c r="E454" s="168" t="s">
        <v>1626</v>
      </c>
      <c r="F454" s="166">
        <v>6</v>
      </c>
      <c r="G454" s="168"/>
      <c r="H454" s="168"/>
      <c r="I454" s="168"/>
      <c r="J454" s="168">
        <v>0</v>
      </c>
      <c r="K454" s="168" t="s">
        <v>1132</v>
      </c>
      <c r="L454" s="168"/>
      <c r="M454" s="168"/>
      <c r="N454" s="169">
        <v>42124</v>
      </c>
      <c r="O454" s="169">
        <v>42124</v>
      </c>
      <c r="P454" s="168" t="s">
        <v>1627</v>
      </c>
      <c r="Q454" s="166">
        <v>1200</v>
      </c>
      <c r="R454" s="166">
        <v>14050</v>
      </c>
      <c r="S454" s="170">
        <v>40590</v>
      </c>
      <c r="T454" s="166">
        <v>14056</v>
      </c>
      <c r="U454" s="170">
        <v>22268.13</v>
      </c>
      <c r="V454" s="170">
        <f t="shared" si="26"/>
        <v>18321.87</v>
      </c>
      <c r="W454" s="171">
        <v>3100.63</v>
      </c>
      <c r="X454" s="166">
        <v>54260</v>
      </c>
      <c r="Y454" s="170">
        <v>281.88</v>
      </c>
      <c r="Z454" s="168" t="s">
        <v>1053</v>
      </c>
      <c r="AA454" s="168"/>
      <c r="AB454" s="168">
        <v>110290</v>
      </c>
      <c r="AC454" s="168"/>
      <c r="AD454" s="168" t="s">
        <v>1058</v>
      </c>
      <c r="AE454" s="168" t="s">
        <v>1059</v>
      </c>
      <c r="AF454" s="166" t="s">
        <v>284</v>
      </c>
      <c r="AG454" s="168"/>
      <c r="AH454" s="166" t="s">
        <v>1060</v>
      </c>
      <c r="AI454" s="168">
        <v>0</v>
      </c>
      <c r="AJ454" s="168">
        <v>0</v>
      </c>
      <c r="AP454" s="206"/>
      <c r="AQ454" s="207"/>
      <c r="AR454" s="207"/>
      <c r="AS454" s="207"/>
      <c r="AT454" s="208"/>
      <c r="AU454" s="207"/>
      <c r="AV454" s="208"/>
    </row>
    <row r="455" spans="1:48" s="205" customFormat="1" ht="15">
      <c r="A455" s="145"/>
      <c r="B455" s="166">
        <v>2183</v>
      </c>
      <c r="C455" s="167">
        <v>123666</v>
      </c>
      <c r="D455" s="166" t="s">
        <v>1053</v>
      </c>
      <c r="E455" s="168" t="s">
        <v>1628</v>
      </c>
      <c r="F455" s="166">
        <v>624</v>
      </c>
      <c r="G455" s="168"/>
      <c r="H455" s="168"/>
      <c r="I455" s="168"/>
      <c r="J455" s="168">
        <v>0</v>
      </c>
      <c r="K455" s="168" t="s">
        <v>1093</v>
      </c>
      <c r="L455" s="168"/>
      <c r="M455" s="168"/>
      <c r="N455" s="169">
        <v>42178</v>
      </c>
      <c r="O455" s="169">
        <v>42178</v>
      </c>
      <c r="P455" s="168" t="s">
        <v>1629</v>
      </c>
      <c r="Q455" s="166">
        <v>700</v>
      </c>
      <c r="R455" s="166">
        <v>14050</v>
      </c>
      <c r="S455" s="170">
        <v>32155.37</v>
      </c>
      <c r="T455" s="166">
        <v>14056</v>
      </c>
      <c r="U455" s="170">
        <v>29475.79</v>
      </c>
      <c r="V455" s="170">
        <f t="shared" si="26"/>
        <v>2679.5799999999981</v>
      </c>
      <c r="W455" s="171">
        <v>4210.83</v>
      </c>
      <c r="X455" s="166">
        <v>54260</v>
      </c>
      <c r="Y455" s="170">
        <v>382.8</v>
      </c>
      <c r="Z455" s="168" t="s">
        <v>1053</v>
      </c>
      <c r="AA455" s="168"/>
      <c r="AB455" s="168">
        <v>65373445</v>
      </c>
      <c r="AC455" s="168"/>
      <c r="AD455" s="168" t="s">
        <v>1058</v>
      </c>
      <c r="AE455" s="168" t="s">
        <v>1059</v>
      </c>
      <c r="AF455" s="166" t="s">
        <v>284</v>
      </c>
      <c r="AG455" s="168"/>
      <c r="AH455" s="166" t="s">
        <v>1060</v>
      </c>
      <c r="AI455" s="168">
        <v>0</v>
      </c>
      <c r="AJ455" s="168">
        <v>0</v>
      </c>
      <c r="AP455" s="206"/>
      <c r="AQ455" s="207"/>
      <c r="AR455" s="207"/>
      <c r="AS455" s="207"/>
      <c r="AT455" s="208"/>
      <c r="AU455" s="207"/>
      <c r="AV455" s="208"/>
    </row>
    <row r="456" spans="1:48" s="205" customFormat="1" ht="15">
      <c r="A456" s="145"/>
      <c r="B456" s="166">
        <v>2183</v>
      </c>
      <c r="C456" s="167">
        <v>123665</v>
      </c>
      <c r="D456" s="166" t="s">
        <v>1053</v>
      </c>
      <c r="E456" s="168" t="s">
        <v>1630</v>
      </c>
      <c r="F456" s="166">
        <v>180</v>
      </c>
      <c r="G456" s="168"/>
      <c r="H456" s="168"/>
      <c r="I456" s="168"/>
      <c r="J456" s="168">
        <v>0</v>
      </c>
      <c r="K456" s="168" t="s">
        <v>1093</v>
      </c>
      <c r="L456" s="168"/>
      <c r="M456" s="168"/>
      <c r="N456" s="169">
        <v>42178</v>
      </c>
      <c r="O456" s="169">
        <v>42178</v>
      </c>
      <c r="P456" s="168" t="s">
        <v>1629</v>
      </c>
      <c r="Q456" s="166">
        <v>700</v>
      </c>
      <c r="R456" s="166">
        <v>14050</v>
      </c>
      <c r="S456" s="170">
        <v>8569.2000000000007</v>
      </c>
      <c r="T456" s="166">
        <v>14056</v>
      </c>
      <c r="U456" s="170">
        <v>7855.1</v>
      </c>
      <c r="V456" s="170">
        <f t="shared" si="26"/>
        <v>714.10000000000036</v>
      </c>
      <c r="W456" s="171">
        <v>1122.1600000000001</v>
      </c>
      <c r="X456" s="166">
        <v>54260</v>
      </c>
      <c r="Y456" s="170">
        <v>102.02</v>
      </c>
      <c r="Z456" s="168" t="s">
        <v>1053</v>
      </c>
      <c r="AA456" s="168"/>
      <c r="AB456" s="168">
        <v>65373477</v>
      </c>
      <c r="AC456" s="168"/>
      <c r="AD456" s="168" t="s">
        <v>1058</v>
      </c>
      <c r="AE456" s="168" t="s">
        <v>1059</v>
      </c>
      <c r="AF456" s="166" t="s">
        <v>284</v>
      </c>
      <c r="AG456" s="168"/>
      <c r="AH456" s="166" t="s">
        <v>1060</v>
      </c>
      <c r="AI456" s="168">
        <v>0</v>
      </c>
      <c r="AJ456" s="168">
        <v>0</v>
      </c>
      <c r="AP456" s="206"/>
      <c r="AQ456" s="207"/>
      <c r="AR456" s="207"/>
      <c r="AS456" s="207"/>
      <c r="AT456" s="208"/>
      <c r="AU456" s="207"/>
      <c r="AV456" s="208"/>
    </row>
    <row r="457" spans="1:48" s="205" customFormat="1" ht="15">
      <c r="A457" s="145"/>
      <c r="B457" s="166">
        <v>2183</v>
      </c>
      <c r="C457" s="167">
        <v>123664</v>
      </c>
      <c r="D457" s="166" t="s">
        <v>1053</v>
      </c>
      <c r="E457" s="168" t="s">
        <v>1631</v>
      </c>
      <c r="F457" s="166">
        <v>276</v>
      </c>
      <c r="G457" s="168"/>
      <c r="H457" s="168"/>
      <c r="I457" s="168"/>
      <c r="J457" s="168">
        <v>0</v>
      </c>
      <c r="K457" s="168" t="s">
        <v>1093</v>
      </c>
      <c r="L457" s="168"/>
      <c r="M457" s="168"/>
      <c r="N457" s="169">
        <v>42178</v>
      </c>
      <c r="O457" s="169">
        <v>42178</v>
      </c>
      <c r="P457" s="168" t="s">
        <v>1629</v>
      </c>
      <c r="Q457" s="166">
        <v>700</v>
      </c>
      <c r="R457" s="166">
        <v>14050</v>
      </c>
      <c r="S457" s="170">
        <v>14190.57</v>
      </c>
      <c r="T457" s="166">
        <v>14056</v>
      </c>
      <c r="U457" s="170">
        <v>13008.05</v>
      </c>
      <c r="V457" s="170">
        <f t="shared" si="26"/>
        <v>1182.5200000000004</v>
      </c>
      <c r="W457" s="171">
        <v>1858.29</v>
      </c>
      <c r="X457" s="166">
        <v>54260</v>
      </c>
      <c r="Y457" s="170">
        <v>168.93</v>
      </c>
      <c r="Z457" s="168" t="s">
        <v>1053</v>
      </c>
      <c r="AA457" s="168"/>
      <c r="AB457" s="168">
        <v>65373477</v>
      </c>
      <c r="AC457" s="168"/>
      <c r="AD457" s="168" t="s">
        <v>1058</v>
      </c>
      <c r="AE457" s="168" t="s">
        <v>1059</v>
      </c>
      <c r="AF457" s="166" t="s">
        <v>284</v>
      </c>
      <c r="AG457" s="168"/>
      <c r="AH457" s="166" t="s">
        <v>1060</v>
      </c>
      <c r="AI457" s="168">
        <v>0</v>
      </c>
      <c r="AJ457" s="168">
        <v>0</v>
      </c>
      <c r="AP457" s="206"/>
      <c r="AQ457" s="207"/>
      <c r="AR457" s="207"/>
      <c r="AS457" s="207"/>
      <c r="AT457" s="208"/>
      <c r="AU457" s="207"/>
      <c r="AV457" s="208"/>
    </row>
    <row r="458" spans="1:48" s="205" customFormat="1" ht="15">
      <c r="A458" s="145"/>
      <c r="B458" s="166">
        <v>2183</v>
      </c>
      <c r="C458" s="167">
        <v>123663</v>
      </c>
      <c r="D458" s="166" t="s">
        <v>1053</v>
      </c>
      <c r="E458" s="168" t="s">
        <v>1632</v>
      </c>
      <c r="F458" s="166">
        <v>192</v>
      </c>
      <c r="G458" s="168"/>
      <c r="H458" s="168"/>
      <c r="I458" s="168"/>
      <c r="J458" s="168">
        <v>0</v>
      </c>
      <c r="K458" s="168" t="s">
        <v>1093</v>
      </c>
      <c r="L458" s="168"/>
      <c r="M458" s="168"/>
      <c r="N458" s="169">
        <v>42178</v>
      </c>
      <c r="O458" s="169">
        <v>42178</v>
      </c>
      <c r="P458" s="168" t="s">
        <v>1629</v>
      </c>
      <c r="Q458" s="166">
        <v>700</v>
      </c>
      <c r="R458" s="166">
        <v>14050</v>
      </c>
      <c r="S458" s="170">
        <v>9871.7000000000007</v>
      </c>
      <c r="T458" s="166">
        <v>14056</v>
      </c>
      <c r="U458" s="170">
        <v>9049.0400000000009</v>
      </c>
      <c r="V458" s="170">
        <f t="shared" si="26"/>
        <v>822.65999999999985</v>
      </c>
      <c r="W458" s="171">
        <v>1292.72</v>
      </c>
      <c r="X458" s="166">
        <v>54260</v>
      </c>
      <c r="Y458" s="170">
        <v>117.52</v>
      </c>
      <c r="Z458" s="168" t="s">
        <v>1053</v>
      </c>
      <c r="AA458" s="168"/>
      <c r="AB458" s="168">
        <v>65373477</v>
      </c>
      <c r="AC458" s="168"/>
      <c r="AD458" s="168" t="s">
        <v>1058</v>
      </c>
      <c r="AE458" s="168" t="s">
        <v>1059</v>
      </c>
      <c r="AF458" s="166" t="s">
        <v>284</v>
      </c>
      <c r="AG458" s="168"/>
      <c r="AH458" s="166" t="s">
        <v>1060</v>
      </c>
      <c r="AI458" s="168">
        <v>0</v>
      </c>
      <c r="AJ458" s="168">
        <v>0</v>
      </c>
      <c r="AP458" s="206"/>
      <c r="AQ458" s="207"/>
      <c r="AR458" s="207"/>
      <c r="AS458" s="207"/>
      <c r="AT458" s="208"/>
      <c r="AU458" s="207"/>
      <c r="AV458" s="208"/>
    </row>
    <row r="459" spans="1:48" s="205" customFormat="1" ht="15">
      <c r="A459" s="145"/>
      <c r="B459" s="166">
        <v>2183</v>
      </c>
      <c r="C459" s="167">
        <v>123662</v>
      </c>
      <c r="D459" s="166" t="s">
        <v>1053</v>
      </c>
      <c r="E459" s="168" t="s">
        <v>1633</v>
      </c>
      <c r="F459" s="166">
        <v>840</v>
      </c>
      <c r="G459" s="168"/>
      <c r="H459" s="168"/>
      <c r="I459" s="168"/>
      <c r="J459" s="168">
        <v>0</v>
      </c>
      <c r="K459" s="168" t="s">
        <v>1093</v>
      </c>
      <c r="L459" s="168"/>
      <c r="M459" s="168"/>
      <c r="N459" s="169">
        <v>42178</v>
      </c>
      <c r="O459" s="169">
        <v>42178</v>
      </c>
      <c r="P459" s="168" t="s">
        <v>1629</v>
      </c>
      <c r="Q459" s="166">
        <v>700</v>
      </c>
      <c r="R459" s="166">
        <v>14050</v>
      </c>
      <c r="S459" s="170">
        <v>32103.19</v>
      </c>
      <c r="T459" s="166">
        <v>14056</v>
      </c>
      <c r="U459" s="170">
        <v>29427.87</v>
      </c>
      <c r="V459" s="170">
        <f t="shared" si="26"/>
        <v>2675.3199999999997</v>
      </c>
      <c r="W459" s="171">
        <v>4203.9799999999996</v>
      </c>
      <c r="X459" s="166">
        <v>54260</v>
      </c>
      <c r="Y459" s="170">
        <v>382.18</v>
      </c>
      <c r="Z459" s="168" t="s">
        <v>1053</v>
      </c>
      <c r="AA459" s="168"/>
      <c r="AB459" s="168">
        <v>65373767</v>
      </c>
      <c r="AC459" s="168"/>
      <c r="AD459" s="168" t="s">
        <v>1058</v>
      </c>
      <c r="AE459" s="168" t="s">
        <v>1059</v>
      </c>
      <c r="AF459" s="166" t="s">
        <v>284</v>
      </c>
      <c r="AG459" s="168"/>
      <c r="AH459" s="166" t="s">
        <v>1060</v>
      </c>
      <c r="AI459" s="168">
        <v>0</v>
      </c>
      <c r="AJ459" s="168">
        <v>0</v>
      </c>
      <c r="AP459" s="206"/>
      <c r="AQ459" s="207"/>
      <c r="AR459" s="207"/>
      <c r="AS459" s="207"/>
      <c r="AT459" s="208"/>
      <c r="AU459" s="207"/>
      <c r="AV459" s="208"/>
    </row>
    <row r="460" spans="1:48" s="205" customFormat="1" ht="15">
      <c r="A460" s="145"/>
      <c r="B460" s="166">
        <v>2183</v>
      </c>
      <c r="C460" s="167">
        <v>123661</v>
      </c>
      <c r="D460" s="166" t="s">
        <v>1053</v>
      </c>
      <c r="E460" s="168" t="s">
        <v>1520</v>
      </c>
      <c r="F460" s="166">
        <v>648</v>
      </c>
      <c r="G460" s="168"/>
      <c r="H460" s="168"/>
      <c r="I460" s="168"/>
      <c r="J460" s="168">
        <v>0</v>
      </c>
      <c r="K460" s="168" t="s">
        <v>1093</v>
      </c>
      <c r="L460" s="168"/>
      <c r="M460" s="168"/>
      <c r="N460" s="169">
        <v>42104</v>
      </c>
      <c r="O460" s="169">
        <v>42104</v>
      </c>
      <c r="P460" s="168" t="s">
        <v>1634</v>
      </c>
      <c r="Q460" s="166">
        <v>700</v>
      </c>
      <c r="R460" s="166">
        <v>14050</v>
      </c>
      <c r="S460" s="170">
        <v>30802.93</v>
      </c>
      <c r="T460" s="166">
        <v>14056</v>
      </c>
      <c r="U460" s="170">
        <v>29336.13</v>
      </c>
      <c r="V460" s="170">
        <f t="shared" si="26"/>
        <v>1466.7999999999993</v>
      </c>
      <c r="W460" s="171">
        <v>4033.72</v>
      </c>
      <c r="X460" s="166">
        <v>54260</v>
      </c>
      <c r="Y460" s="170">
        <v>366.7</v>
      </c>
      <c r="Z460" s="168" t="s">
        <v>1053</v>
      </c>
      <c r="AA460" s="168"/>
      <c r="AB460" s="168">
        <v>65366964</v>
      </c>
      <c r="AC460" s="168"/>
      <c r="AD460" s="168" t="s">
        <v>1058</v>
      </c>
      <c r="AE460" s="168" t="s">
        <v>1059</v>
      </c>
      <c r="AF460" s="166" t="s">
        <v>284</v>
      </c>
      <c r="AG460" s="168"/>
      <c r="AH460" s="166" t="s">
        <v>1060</v>
      </c>
      <c r="AI460" s="168">
        <v>0</v>
      </c>
      <c r="AJ460" s="168">
        <v>0</v>
      </c>
      <c r="AP460" s="206"/>
      <c r="AQ460" s="207"/>
      <c r="AR460" s="207"/>
      <c r="AS460" s="207"/>
      <c r="AT460" s="208"/>
      <c r="AU460" s="207"/>
      <c r="AV460" s="208"/>
    </row>
    <row r="461" spans="1:48" s="205" customFormat="1" ht="15">
      <c r="A461" s="145"/>
      <c r="B461" s="166">
        <v>2183</v>
      </c>
      <c r="C461" s="167">
        <v>123660</v>
      </c>
      <c r="D461" s="166" t="s">
        <v>1053</v>
      </c>
      <c r="E461" s="168" t="s">
        <v>1635</v>
      </c>
      <c r="F461" s="166">
        <v>156</v>
      </c>
      <c r="G461" s="168"/>
      <c r="H461" s="168"/>
      <c r="I461" s="168"/>
      <c r="J461" s="168">
        <v>0</v>
      </c>
      <c r="K461" s="168" t="s">
        <v>1093</v>
      </c>
      <c r="L461" s="168"/>
      <c r="M461" s="168"/>
      <c r="N461" s="169">
        <v>42104</v>
      </c>
      <c r="O461" s="169">
        <v>42104</v>
      </c>
      <c r="P461" s="168" t="s">
        <v>1634</v>
      </c>
      <c r="Q461" s="166">
        <v>700</v>
      </c>
      <c r="R461" s="166">
        <v>14050</v>
      </c>
      <c r="S461" s="170">
        <v>8180.16</v>
      </c>
      <c r="T461" s="166">
        <v>14056</v>
      </c>
      <c r="U461" s="170">
        <v>7790.67</v>
      </c>
      <c r="V461" s="170">
        <f t="shared" si="26"/>
        <v>389.48999999999978</v>
      </c>
      <c r="W461" s="171">
        <v>1071.22</v>
      </c>
      <c r="X461" s="166">
        <v>54260</v>
      </c>
      <c r="Y461" s="170">
        <v>97.39</v>
      </c>
      <c r="Z461" s="168" t="s">
        <v>1053</v>
      </c>
      <c r="AA461" s="168"/>
      <c r="AB461" s="168">
        <v>65366964</v>
      </c>
      <c r="AC461" s="168"/>
      <c r="AD461" s="168" t="s">
        <v>1058</v>
      </c>
      <c r="AE461" s="168" t="s">
        <v>1059</v>
      </c>
      <c r="AF461" s="166" t="s">
        <v>284</v>
      </c>
      <c r="AG461" s="168"/>
      <c r="AH461" s="166" t="s">
        <v>1060</v>
      </c>
      <c r="AI461" s="168">
        <v>0</v>
      </c>
      <c r="AJ461" s="168">
        <v>0</v>
      </c>
      <c r="AP461" s="206"/>
      <c r="AQ461" s="207"/>
      <c r="AR461" s="207"/>
      <c r="AS461" s="207"/>
      <c r="AT461" s="208"/>
      <c r="AU461" s="207"/>
      <c r="AV461" s="208"/>
    </row>
    <row r="462" spans="1:48" s="205" customFormat="1" ht="15">
      <c r="A462" s="145"/>
      <c r="B462" s="166">
        <v>2183</v>
      </c>
      <c r="C462" s="167">
        <v>123659</v>
      </c>
      <c r="D462" s="166" t="s">
        <v>1053</v>
      </c>
      <c r="E462" s="168" t="s">
        <v>1636</v>
      </c>
      <c r="F462" s="166">
        <v>624</v>
      </c>
      <c r="G462" s="168"/>
      <c r="H462" s="168"/>
      <c r="I462" s="168"/>
      <c r="J462" s="168">
        <v>0</v>
      </c>
      <c r="K462" s="168" t="s">
        <v>1093</v>
      </c>
      <c r="L462" s="168"/>
      <c r="M462" s="168"/>
      <c r="N462" s="169">
        <v>42102</v>
      </c>
      <c r="O462" s="169">
        <v>42102</v>
      </c>
      <c r="P462" s="168" t="s">
        <v>1634</v>
      </c>
      <c r="Q462" s="166">
        <v>700</v>
      </c>
      <c r="R462" s="166">
        <v>14050</v>
      </c>
      <c r="S462" s="170">
        <v>33250.239999999998</v>
      </c>
      <c r="T462" s="166">
        <v>14056</v>
      </c>
      <c r="U462" s="170">
        <v>31666.93</v>
      </c>
      <c r="V462" s="170">
        <f t="shared" ref="V462:V525" si="27">S462-U462</f>
        <v>1583.3099999999977</v>
      </c>
      <c r="W462" s="171">
        <v>4354.2</v>
      </c>
      <c r="X462" s="166">
        <v>54260</v>
      </c>
      <c r="Y462" s="170">
        <v>395.83</v>
      </c>
      <c r="Z462" s="168" t="s">
        <v>1053</v>
      </c>
      <c r="AA462" s="168"/>
      <c r="AB462" s="168">
        <v>65366579</v>
      </c>
      <c r="AC462" s="168"/>
      <c r="AD462" s="168" t="s">
        <v>1058</v>
      </c>
      <c r="AE462" s="168" t="s">
        <v>1059</v>
      </c>
      <c r="AF462" s="166" t="s">
        <v>284</v>
      </c>
      <c r="AG462" s="168"/>
      <c r="AH462" s="166" t="s">
        <v>1060</v>
      </c>
      <c r="AI462" s="168">
        <v>0</v>
      </c>
      <c r="AJ462" s="168">
        <v>0</v>
      </c>
      <c r="AP462" s="206"/>
      <c r="AQ462" s="207"/>
      <c r="AR462" s="207"/>
      <c r="AS462" s="207"/>
      <c r="AT462" s="208"/>
      <c r="AU462" s="207"/>
      <c r="AV462" s="208"/>
    </row>
    <row r="463" spans="1:48" s="205" customFormat="1" ht="15">
      <c r="A463" s="145"/>
      <c r="B463" s="166">
        <v>2183</v>
      </c>
      <c r="C463" s="167">
        <v>122012</v>
      </c>
      <c r="D463" s="166">
        <v>61125</v>
      </c>
      <c r="E463" s="168" t="s">
        <v>1637</v>
      </c>
      <c r="F463" s="166"/>
      <c r="G463" s="168"/>
      <c r="H463" s="168"/>
      <c r="I463" s="168"/>
      <c r="J463" s="168">
        <v>0</v>
      </c>
      <c r="K463" s="168" t="s">
        <v>1638</v>
      </c>
      <c r="L463" s="168"/>
      <c r="M463" s="168" t="s">
        <v>1303</v>
      </c>
      <c r="N463" s="169">
        <v>42059</v>
      </c>
      <c r="O463" s="169">
        <v>42059</v>
      </c>
      <c r="P463" s="168" t="s">
        <v>1639</v>
      </c>
      <c r="Q463" s="166">
        <v>300</v>
      </c>
      <c r="R463" s="166">
        <v>14040</v>
      </c>
      <c r="S463" s="170">
        <v>5574.98</v>
      </c>
      <c r="T463" s="166">
        <v>14046</v>
      </c>
      <c r="U463" s="170">
        <v>5574.98</v>
      </c>
      <c r="V463" s="170">
        <f t="shared" si="27"/>
        <v>0</v>
      </c>
      <c r="W463" s="171">
        <v>0</v>
      </c>
      <c r="X463" s="166">
        <v>51260</v>
      </c>
      <c r="Y463" s="170">
        <v>0</v>
      </c>
      <c r="Z463" s="168" t="s">
        <v>1053</v>
      </c>
      <c r="AA463" s="168"/>
      <c r="AB463" s="168">
        <v>144607</v>
      </c>
      <c r="AC463" s="168"/>
      <c r="AD463" s="168" t="s">
        <v>1058</v>
      </c>
      <c r="AE463" s="168" t="s">
        <v>1059</v>
      </c>
      <c r="AF463" s="166" t="s">
        <v>284</v>
      </c>
      <c r="AG463" s="168"/>
      <c r="AH463" s="166" t="s">
        <v>1060</v>
      </c>
      <c r="AI463" s="168">
        <v>0</v>
      </c>
      <c r="AJ463" s="168">
        <v>0</v>
      </c>
      <c r="AP463" s="206"/>
      <c r="AQ463" s="207"/>
      <c r="AR463" s="207"/>
      <c r="AS463" s="207"/>
      <c r="AT463" s="208"/>
      <c r="AU463" s="207"/>
      <c r="AV463" s="208"/>
    </row>
    <row r="464" spans="1:48" s="205" customFormat="1" ht="15">
      <c r="A464" s="145"/>
      <c r="B464" s="166">
        <v>2183</v>
      </c>
      <c r="C464" s="167">
        <v>121103</v>
      </c>
      <c r="D464" s="166" t="s">
        <v>1053</v>
      </c>
      <c r="E464" s="168" t="s">
        <v>572</v>
      </c>
      <c r="F464" s="166"/>
      <c r="G464" s="168"/>
      <c r="H464" s="168"/>
      <c r="I464" s="168"/>
      <c r="J464" s="168">
        <v>0</v>
      </c>
      <c r="K464" s="168" t="s">
        <v>1261</v>
      </c>
      <c r="L464" s="168"/>
      <c r="M464" s="168"/>
      <c r="N464" s="169">
        <v>42087</v>
      </c>
      <c r="O464" s="169">
        <v>42087</v>
      </c>
      <c r="P464" s="168" t="s">
        <v>1640</v>
      </c>
      <c r="Q464" s="166">
        <v>300</v>
      </c>
      <c r="R464" s="166">
        <v>14110</v>
      </c>
      <c r="S464" s="170">
        <v>1077.07</v>
      </c>
      <c r="T464" s="166">
        <v>14116</v>
      </c>
      <c r="U464" s="170">
        <v>1077.07</v>
      </c>
      <c r="V464" s="170">
        <f t="shared" si="27"/>
        <v>0</v>
      </c>
      <c r="W464" s="171">
        <v>0</v>
      </c>
      <c r="X464" s="166">
        <v>70260</v>
      </c>
      <c r="Y464" s="170">
        <v>0</v>
      </c>
      <c r="Z464" s="168" t="s">
        <v>1053</v>
      </c>
      <c r="AA464" s="168"/>
      <c r="AB464" s="168" t="s">
        <v>1641</v>
      </c>
      <c r="AC464" s="168"/>
      <c r="AD464" s="168" t="s">
        <v>1058</v>
      </c>
      <c r="AE464" s="168" t="s">
        <v>1059</v>
      </c>
      <c r="AF464" s="166" t="s">
        <v>284</v>
      </c>
      <c r="AG464" s="168"/>
      <c r="AH464" s="166" t="s">
        <v>1060</v>
      </c>
      <c r="AI464" s="168">
        <v>0</v>
      </c>
      <c r="AJ464" s="168">
        <v>0</v>
      </c>
      <c r="AP464" s="206"/>
      <c r="AQ464" s="207"/>
      <c r="AR464" s="207"/>
      <c r="AS464" s="207"/>
      <c r="AT464" s="208"/>
      <c r="AU464" s="207"/>
      <c r="AV464" s="208"/>
    </row>
    <row r="465" spans="1:48" s="205" customFormat="1" ht="15">
      <c r="A465" s="145"/>
      <c r="B465" s="166">
        <v>2183</v>
      </c>
      <c r="C465" s="167">
        <v>121057</v>
      </c>
      <c r="D465" s="166" t="s">
        <v>1053</v>
      </c>
      <c r="E465" s="168" t="s">
        <v>573</v>
      </c>
      <c r="F465" s="166"/>
      <c r="G465" s="168"/>
      <c r="H465" s="168"/>
      <c r="I465" s="168"/>
      <c r="J465" s="168">
        <v>0</v>
      </c>
      <c r="K465" s="168" t="s">
        <v>1261</v>
      </c>
      <c r="L465" s="168"/>
      <c r="M465" s="168"/>
      <c r="N465" s="169">
        <v>42087</v>
      </c>
      <c r="O465" s="169">
        <v>42087</v>
      </c>
      <c r="P465" s="168" t="s">
        <v>1642</v>
      </c>
      <c r="Q465" s="166">
        <v>300</v>
      </c>
      <c r="R465" s="166">
        <v>14110</v>
      </c>
      <c r="S465" s="170">
        <v>1088.46</v>
      </c>
      <c r="T465" s="166">
        <v>14116</v>
      </c>
      <c r="U465" s="170">
        <v>1088.46</v>
      </c>
      <c r="V465" s="170">
        <f t="shared" si="27"/>
        <v>0</v>
      </c>
      <c r="W465" s="171">
        <v>0</v>
      </c>
      <c r="X465" s="166">
        <v>70260</v>
      </c>
      <c r="Y465" s="170">
        <v>0</v>
      </c>
      <c r="Z465" s="168" t="s">
        <v>1053</v>
      </c>
      <c r="AA465" s="168"/>
      <c r="AB465" s="168" t="s">
        <v>1643</v>
      </c>
      <c r="AC465" s="168"/>
      <c r="AD465" s="168" t="s">
        <v>1058</v>
      </c>
      <c r="AE465" s="168" t="s">
        <v>1059</v>
      </c>
      <c r="AF465" s="166" t="s">
        <v>284</v>
      </c>
      <c r="AG465" s="168"/>
      <c r="AH465" s="166" t="s">
        <v>1060</v>
      </c>
      <c r="AI465" s="168">
        <v>0</v>
      </c>
      <c r="AJ465" s="168">
        <v>0</v>
      </c>
      <c r="AP465" s="206"/>
      <c r="AQ465" s="207"/>
      <c r="AR465" s="207"/>
      <c r="AS465" s="207"/>
      <c r="AT465" s="208"/>
      <c r="AU465" s="207"/>
      <c r="AV465" s="208"/>
    </row>
    <row r="466" spans="1:48" s="205" customFormat="1" ht="15">
      <c r="A466" s="145"/>
      <c r="B466" s="166">
        <v>2183</v>
      </c>
      <c r="C466" s="167">
        <v>121056</v>
      </c>
      <c r="D466" s="166" t="s">
        <v>1053</v>
      </c>
      <c r="E466" s="168" t="s">
        <v>574</v>
      </c>
      <c r="F466" s="166"/>
      <c r="G466" s="168"/>
      <c r="H466" s="168"/>
      <c r="I466" s="168"/>
      <c r="J466" s="168">
        <v>0</v>
      </c>
      <c r="K466" s="168" t="s">
        <v>1261</v>
      </c>
      <c r="L466" s="168"/>
      <c r="M466" s="168"/>
      <c r="N466" s="169">
        <v>42073</v>
      </c>
      <c r="O466" s="169">
        <v>42073</v>
      </c>
      <c r="P466" s="168" t="s">
        <v>1644</v>
      </c>
      <c r="Q466" s="166">
        <v>300</v>
      </c>
      <c r="R466" s="166">
        <v>14110</v>
      </c>
      <c r="S466" s="170">
        <v>2903.73</v>
      </c>
      <c r="T466" s="166">
        <v>14116</v>
      </c>
      <c r="U466" s="170">
        <v>2903.73</v>
      </c>
      <c r="V466" s="170">
        <f t="shared" si="27"/>
        <v>0</v>
      </c>
      <c r="W466" s="171">
        <v>0</v>
      </c>
      <c r="X466" s="166">
        <v>70260</v>
      </c>
      <c r="Y466" s="170">
        <v>0</v>
      </c>
      <c r="Z466" s="168" t="s">
        <v>1053</v>
      </c>
      <c r="AA466" s="168"/>
      <c r="AB466" s="168" t="s">
        <v>1645</v>
      </c>
      <c r="AC466" s="168"/>
      <c r="AD466" s="168" t="s">
        <v>1058</v>
      </c>
      <c r="AE466" s="168" t="s">
        <v>1059</v>
      </c>
      <c r="AF466" s="166" t="s">
        <v>284</v>
      </c>
      <c r="AG466" s="168"/>
      <c r="AH466" s="166" t="s">
        <v>1060</v>
      </c>
      <c r="AI466" s="168">
        <v>0</v>
      </c>
      <c r="AJ466" s="168">
        <v>0</v>
      </c>
      <c r="AP466" s="206"/>
      <c r="AQ466" s="207"/>
      <c r="AR466" s="207"/>
      <c r="AS466" s="207"/>
      <c r="AT466" s="208"/>
      <c r="AU466" s="207"/>
      <c r="AV466" s="208"/>
    </row>
    <row r="467" spans="1:48" s="205" customFormat="1" ht="15">
      <c r="A467" s="145"/>
      <c r="B467" s="166">
        <v>2183</v>
      </c>
      <c r="C467" s="167">
        <v>121055</v>
      </c>
      <c r="D467" s="166" t="s">
        <v>1053</v>
      </c>
      <c r="E467" s="168" t="s">
        <v>575</v>
      </c>
      <c r="F467" s="166"/>
      <c r="G467" s="168"/>
      <c r="H467" s="168"/>
      <c r="I467" s="168"/>
      <c r="J467" s="168">
        <v>0</v>
      </c>
      <c r="K467" s="168" t="s">
        <v>1261</v>
      </c>
      <c r="L467" s="168"/>
      <c r="M467" s="168"/>
      <c r="N467" s="169">
        <v>42073</v>
      </c>
      <c r="O467" s="169">
        <v>42073</v>
      </c>
      <c r="P467" s="168" t="s">
        <v>1646</v>
      </c>
      <c r="Q467" s="166">
        <v>300</v>
      </c>
      <c r="R467" s="166">
        <v>14110</v>
      </c>
      <c r="S467" s="170">
        <v>6120.34</v>
      </c>
      <c r="T467" s="166">
        <v>14116</v>
      </c>
      <c r="U467" s="170">
        <v>6120.34</v>
      </c>
      <c r="V467" s="170">
        <f t="shared" si="27"/>
        <v>0</v>
      </c>
      <c r="W467" s="171">
        <v>0</v>
      </c>
      <c r="X467" s="166">
        <v>70260</v>
      </c>
      <c r="Y467" s="170">
        <v>0</v>
      </c>
      <c r="Z467" s="168" t="s">
        <v>1053</v>
      </c>
      <c r="AA467" s="168"/>
      <c r="AB467" s="168" t="s">
        <v>1647</v>
      </c>
      <c r="AC467" s="168"/>
      <c r="AD467" s="168" t="s">
        <v>1058</v>
      </c>
      <c r="AE467" s="168" t="s">
        <v>1059</v>
      </c>
      <c r="AF467" s="166" t="s">
        <v>284</v>
      </c>
      <c r="AG467" s="168"/>
      <c r="AH467" s="166" t="s">
        <v>1060</v>
      </c>
      <c r="AI467" s="168">
        <v>0</v>
      </c>
      <c r="AJ467" s="168">
        <v>0</v>
      </c>
      <c r="AP467" s="206"/>
      <c r="AQ467" s="207"/>
      <c r="AR467" s="207"/>
      <c r="AS467" s="207"/>
      <c r="AT467" s="208"/>
      <c r="AU467" s="207"/>
      <c r="AV467" s="208"/>
    </row>
    <row r="468" spans="1:48" s="205" customFormat="1" ht="15">
      <c r="A468" s="145"/>
      <c r="B468" s="166">
        <v>2183</v>
      </c>
      <c r="C468" s="167">
        <v>120388</v>
      </c>
      <c r="D468" s="166" t="s">
        <v>1053</v>
      </c>
      <c r="E468" s="168" t="s">
        <v>576</v>
      </c>
      <c r="F468" s="166"/>
      <c r="G468" s="168"/>
      <c r="H468" s="168"/>
      <c r="I468" s="168"/>
      <c r="J468" s="168">
        <v>0</v>
      </c>
      <c r="K468" s="168" t="s">
        <v>1261</v>
      </c>
      <c r="L468" s="168"/>
      <c r="M468" s="168"/>
      <c r="N468" s="169">
        <v>42041</v>
      </c>
      <c r="O468" s="169">
        <v>42041</v>
      </c>
      <c r="P468" s="168" t="s">
        <v>1648</v>
      </c>
      <c r="Q468" s="166">
        <v>300</v>
      </c>
      <c r="R468" s="166">
        <v>14110</v>
      </c>
      <c r="S468" s="170">
        <v>1090.0999999999999</v>
      </c>
      <c r="T468" s="166">
        <v>14116</v>
      </c>
      <c r="U468" s="170">
        <v>1090.0999999999999</v>
      </c>
      <c r="V468" s="170">
        <f t="shared" si="27"/>
        <v>0</v>
      </c>
      <c r="W468" s="171">
        <v>0</v>
      </c>
      <c r="X468" s="166">
        <v>70260</v>
      </c>
      <c r="Y468" s="170">
        <v>0</v>
      </c>
      <c r="Z468" s="168" t="s">
        <v>1053</v>
      </c>
      <c r="AA468" s="168"/>
      <c r="AB468" s="168" t="s">
        <v>1649</v>
      </c>
      <c r="AC468" s="168"/>
      <c r="AD468" s="168" t="s">
        <v>1058</v>
      </c>
      <c r="AE468" s="168" t="s">
        <v>1059</v>
      </c>
      <c r="AF468" s="166" t="s">
        <v>284</v>
      </c>
      <c r="AG468" s="168"/>
      <c r="AH468" s="166" t="s">
        <v>1060</v>
      </c>
      <c r="AI468" s="168">
        <v>0</v>
      </c>
      <c r="AJ468" s="168">
        <v>0</v>
      </c>
      <c r="AP468" s="206"/>
      <c r="AQ468" s="207"/>
      <c r="AR468" s="207"/>
      <c r="AS468" s="207"/>
      <c r="AT468" s="208"/>
      <c r="AU468" s="207"/>
      <c r="AV468" s="208"/>
    </row>
    <row r="469" spans="1:48" s="205" customFormat="1" ht="15">
      <c r="A469" s="145"/>
      <c r="B469" s="166">
        <v>2183</v>
      </c>
      <c r="C469" s="167">
        <v>120169</v>
      </c>
      <c r="D469" s="166" t="s">
        <v>1053</v>
      </c>
      <c r="E469" s="168" t="s">
        <v>1633</v>
      </c>
      <c r="F469" s="166">
        <v>1404</v>
      </c>
      <c r="G469" s="168"/>
      <c r="H469" s="168"/>
      <c r="I469" s="168"/>
      <c r="J469" s="168">
        <v>0</v>
      </c>
      <c r="K469" s="168" t="s">
        <v>1518</v>
      </c>
      <c r="L469" s="168"/>
      <c r="M469" s="168"/>
      <c r="N469" s="169">
        <v>42045</v>
      </c>
      <c r="O469" s="169">
        <v>42045</v>
      </c>
      <c r="P469" s="168" t="s">
        <v>1650</v>
      </c>
      <c r="Q469" s="166">
        <v>700</v>
      </c>
      <c r="R469" s="166">
        <v>14050</v>
      </c>
      <c r="S469" s="170">
        <v>55764.93</v>
      </c>
      <c r="T469" s="166">
        <v>14056</v>
      </c>
      <c r="U469" s="170">
        <v>54437.2</v>
      </c>
      <c r="V469" s="170">
        <f t="shared" si="27"/>
        <v>1327.7300000000032</v>
      </c>
      <c r="W469" s="171">
        <v>7302.55</v>
      </c>
      <c r="X469" s="166">
        <v>54260</v>
      </c>
      <c r="Y469" s="170">
        <v>663.87</v>
      </c>
      <c r="Z469" s="168" t="s">
        <v>1053</v>
      </c>
      <c r="AA469" s="168"/>
      <c r="AB469" s="168">
        <v>65361807</v>
      </c>
      <c r="AC469" s="168"/>
      <c r="AD469" s="168" t="s">
        <v>1058</v>
      </c>
      <c r="AE469" s="168" t="s">
        <v>1059</v>
      </c>
      <c r="AF469" s="166" t="s">
        <v>284</v>
      </c>
      <c r="AG469" s="168"/>
      <c r="AH469" s="166" t="s">
        <v>1060</v>
      </c>
      <c r="AI469" s="168">
        <v>0</v>
      </c>
      <c r="AJ469" s="168">
        <v>0</v>
      </c>
      <c r="AP469" s="206"/>
      <c r="AQ469" s="207"/>
      <c r="AR469" s="207"/>
      <c r="AS469" s="207"/>
      <c r="AT469" s="208"/>
      <c r="AU469" s="207"/>
      <c r="AV469" s="208"/>
    </row>
    <row r="470" spans="1:48" s="205" customFormat="1" ht="15">
      <c r="A470" s="145"/>
      <c r="B470" s="166">
        <v>2183</v>
      </c>
      <c r="C470" s="167">
        <v>120168</v>
      </c>
      <c r="D470" s="166" t="s">
        <v>1053</v>
      </c>
      <c r="E470" s="168" t="s">
        <v>1651</v>
      </c>
      <c r="F470" s="166">
        <v>624</v>
      </c>
      <c r="G470" s="168"/>
      <c r="H470" s="168"/>
      <c r="I470" s="168"/>
      <c r="J470" s="168">
        <v>0</v>
      </c>
      <c r="K470" s="168" t="s">
        <v>1518</v>
      </c>
      <c r="L470" s="168"/>
      <c r="M470" s="168"/>
      <c r="N470" s="169">
        <v>42034</v>
      </c>
      <c r="O470" s="169">
        <v>42034</v>
      </c>
      <c r="P470" s="168" t="s">
        <v>1652</v>
      </c>
      <c r="Q470" s="166">
        <v>700</v>
      </c>
      <c r="R470" s="166">
        <v>14050</v>
      </c>
      <c r="S470" s="170">
        <v>33703.620000000003</v>
      </c>
      <c r="T470" s="166">
        <v>14056</v>
      </c>
      <c r="U470" s="170">
        <v>32901.14</v>
      </c>
      <c r="V470" s="170">
        <f t="shared" si="27"/>
        <v>802.4800000000032</v>
      </c>
      <c r="W470" s="171">
        <v>4413.57</v>
      </c>
      <c r="X470" s="166">
        <v>54260</v>
      </c>
      <c r="Y470" s="170">
        <v>401.24</v>
      </c>
      <c r="Z470" s="168" t="s">
        <v>1053</v>
      </c>
      <c r="AA470" s="168"/>
      <c r="AB470" s="168">
        <v>65361084</v>
      </c>
      <c r="AC470" s="168"/>
      <c r="AD470" s="168" t="s">
        <v>1058</v>
      </c>
      <c r="AE470" s="168" t="s">
        <v>1059</v>
      </c>
      <c r="AF470" s="166" t="s">
        <v>284</v>
      </c>
      <c r="AG470" s="168"/>
      <c r="AH470" s="166" t="s">
        <v>1060</v>
      </c>
      <c r="AI470" s="168">
        <v>0</v>
      </c>
      <c r="AJ470" s="168">
        <v>0</v>
      </c>
      <c r="AP470" s="206"/>
      <c r="AQ470" s="207"/>
      <c r="AR470" s="207"/>
      <c r="AS470" s="207"/>
      <c r="AT470" s="208"/>
      <c r="AU470" s="207"/>
      <c r="AV470" s="208"/>
    </row>
    <row r="471" spans="1:48" s="205" customFormat="1" ht="15">
      <c r="A471" s="145"/>
      <c r="B471" s="166">
        <v>2183</v>
      </c>
      <c r="C471" s="167">
        <v>120167</v>
      </c>
      <c r="D471" s="166" t="s">
        <v>1053</v>
      </c>
      <c r="E471" s="168" t="s">
        <v>1653</v>
      </c>
      <c r="F471" s="166">
        <v>360</v>
      </c>
      <c r="G471" s="168"/>
      <c r="H471" s="168"/>
      <c r="I471" s="168"/>
      <c r="J471" s="168">
        <v>0</v>
      </c>
      <c r="K471" s="168" t="s">
        <v>1518</v>
      </c>
      <c r="L471" s="168"/>
      <c r="M471" s="168"/>
      <c r="N471" s="169">
        <v>42035</v>
      </c>
      <c r="O471" s="169">
        <v>42035</v>
      </c>
      <c r="P471" s="168" t="s">
        <v>1654</v>
      </c>
      <c r="Q471" s="166">
        <v>700</v>
      </c>
      <c r="R471" s="166">
        <v>14050</v>
      </c>
      <c r="S471" s="170">
        <v>19252</v>
      </c>
      <c r="T471" s="166">
        <v>14056</v>
      </c>
      <c r="U471" s="170">
        <v>18793.650000000001</v>
      </c>
      <c r="V471" s="170">
        <f t="shared" si="27"/>
        <v>458.34999999999854</v>
      </c>
      <c r="W471" s="171">
        <v>2521.1</v>
      </c>
      <c r="X471" s="166">
        <v>54260</v>
      </c>
      <c r="Y471" s="170">
        <v>229.19</v>
      </c>
      <c r="Z471" s="168" t="s">
        <v>1053</v>
      </c>
      <c r="AA471" s="168"/>
      <c r="AB471" s="168">
        <v>65361191</v>
      </c>
      <c r="AC471" s="168"/>
      <c r="AD471" s="168" t="s">
        <v>1058</v>
      </c>
      <c r="AE471" s="168" t="s">
        <v>1059</v>
      </c>
      <c r="AF471" s="166" t="s">
        <v>284</v>
      </c>
      <c r="AG471" s="168"/>
      <c r="AH471" s="166" t="s">
        <v>1060</v>
      </c>
      <c r="AI471" s="168">
        <v>0</v>
      </c>
      <c r="AJ471" s="168">
        <v>0</v>
      </c>
      <c r="AP471" s="206"/>
      <c r="AQ471" s="207"/>
      <c r="AR471" s="207"/>
      <c r="AS471" s="207"/>
      <c r="AT471" s="208"/>
      <c r="AU471" s="207"/>
      <c r="AV471" s="208"/>
    </row>
    <row r="472" spans="1:48" s="205" customFormat="1" ht="15">
      <c r="A472" s="145"/>
      <c r="B472" s="166">
        <v>2183</v>
      </c>
      <c r="C472" s="167">
        <v>120166</v>
      </c>
      <c r="D472" s="166" t="s">
        <v>1053</v>
      </c>
      <c r="E472" s="168" t="s">
        <v>1655</v>
      </c>
      <c r="F472" s="166">
        <v>360</v>
      </c>
      <c r="G472" s="168"/>
      <c r="H472" s="168"/>
      <c r="I472" s="168"/>
      <c r="J472" s="168">
        <v>0</v>
      </c>
      <c r="K472" s="168" t="s">
        <v>1518</v>
      </c>
      <c r="L472" s="168"/>
      <c r="M472" s="168"/>
      <c r="N472" s="169">
        <v>42035</v>
      </c>
      <c r="O472" s="169">
        <v>42035</v>
      </c>
      <c r="P472" s="168" t="s">
        <v>1656</v>
      </c>
      <c r="Q472" s="166">
        <v>700</v>
      </c>
      <c r="R472" s="166">
        <v>14050</v>
      </c>
      <c r="S472" s="170">
        <v>17686.53</v>
      </c>
      <c r="T472" s="166">
        <v>14056</v>
      </c>
      <c r="U472" s="170">
        <v>17265.439999999999</v>
      </c>
      <c r="V472" s="170">
        <f t="shared" si="27"/>
        <v>421.09000000000015</v>
      </c>
      <c r="W472" s="171">
        <v>2316.1</v>
      </c>
      <c r="X472" s="166">
        <v>54260</v>
      </c>
      <c r="Y472" s="170">
        <v>210.56</v>
      </c>
      <c r="Z472" s="168" t="s">
        <v>1053</v>
      </c>
      <c r="AA472" s="168"/>
      <c r="AB472" s="168">
        <v>65361191</v>
      </c>
      <c r="AC472" s="168"/>
      <c r="AD472" s="168" t="s">
        <v>1058</v>
      </c>
      <c r="AE472" s="168" t="s">
        <v>1059</v>
      </c>
      <c r="AF472" s="166" t="s">
        <v>284</v>
      </c>
      <c r="AG472" s="168"/>
      <c r="AH472" s="166" t="s">
        <v>1060</v>
      </c>
      <c r="AI472" s="168">
        <v>0</v>
      </c>
      <c r="AJ472" s="168">
        <v>0</v>
      </c>
      <c r="AP472" s="206"/>
      <c r="AQ472" s="207"/>
      <c r="AR472" s="207"/>
      <c r="AS472" s="207"/>
      <c r="AT472" s="208"/>
      <c r="AU472" s="207"/>
      <c r="AV472" s="208"/>
    </row>
    <row r="473" spans="1:48" s="205" customFormat="1" ht="15">
      <c r="A473" s="145"/>
      <c r="B473" s="166">
        <v>2183</v>
      </c>
      <c r="C473" s="167">
        <v>118761</v>
      </c>
      <c r="D473" s="166"/>
      <c r="E473" s="168" t="s">
        <v>1657</v>
      </c>
      <c r="F473" s="166"/>
      <c r="G473" s="168"/>
      <c r="H473" s="168"/>
      <c r="I473" s="168"/>
      <c r="J473" s="168">
        <v>0</v>
      </c>
      <c r="K473" s="168" t="s">
        <v>1658</v>
      </c>
      <c r="L473" s="168"/>
      <c r="M473" s="168"/>
      <c r="N473" s="169">
        <v>42002</v>
      </c>
      <c r="O473" s="169">
        <v>42002</v>
      </c>
      <c r="P473" s="168" t="s">
        <v>1659</v>
      </c>
      <c r="Q473" s="166">
        <v>500</v>
      </c>
      <c r="R473" s="166">
        <v>14070</v>
      </c>
      <c r="S473" s="170">
        <v>7879.66</v>
      </c>
      <c r="T473" s="166">
        <v>14076</v>
      </c>
      <c r="U473" s="170">
        <v>7879.66</v>
      </c>
      <c r="V473" s="170">
        <f t="shared" si="27"/>
        <v>0</v>
      </c>
      <c r="W473" s="171">
        <v>0</v>
      </c>
      <c r="X473" s="166">
        <v>51260</v>
      </c>
      <c r="Y473" s="170">
        <v>0</v>
      </c>
      <c r="Z473" s="168" t="s">
        <v>1053</v>
      </c>
      <c r="AA473" s="168"/>
      <c r="AB473" s="168">
        <v>1260140</v>
      </c>
      <c r="AC473" s="168"/>
      <c r="AD473" s="168" t="s">
        <v>1058</v>
      </c>
      <c r="AE473" s="168" t="s">
        <v>1059</v>
      </c>
      <c r="AF473" s="166" t="s">
        <v>284</v>
      </c>
      <c r="AG473" s="168"/>
      <c r="AH473" s="166" t="s">
        <v>1060</v>
      </c>
      <c r="AI473" s="168">
        <v>0</v>
      </c>
      <c r="AJ473" s="168">
        <v>0</v>
      </c>
      <c r="AP473" s="206"/>
      <c r="AQ473" s="207"/>
      <c r="AR473" s="207"/>
      <c r="AS473" s="207"/>
      <c r="AT473" s="208"/>
      <c r="AU473" s="207"/>
      <c r="AV473" s="208"/>
    </row>
    <row r="474" spans="1:48" s="205" customFormat="1" ht="15">
      <c r="A474" s="145"/>
      <c r="B474" s="166">
        <v>2183</v>
      </c>
      <c r="C474" s="167">
        <v>118758</v>
      </c>
      <c r="D474" s="166">
        <v>118138</v>
      </c>
      <c r="E474" s="168" t="s">
        <v>1660</v>
      </c>
      <c r="F474" s="166">
        <v>0</v>
      </c>
      <c r="G474" s="168"/>
      <c r="H474" s="168"/>
      <c r="I474" s="168"/>
      <c r="J474" s="168">
        <v>0</v>
      </c>
      <c r="K474" s="168" t="s">
        <v>1058</v>
      </c>
      <c r="L474" s="168"/>
      <c r="M474" s="168"/>
      <c r="N474" s="169">
        <v>42004</v>
      </c>
      <c r="O474" s="169">
        <v>42004</v>
      </c>
      <c r="P474" s="168" t="s">
        <v>1661</v>
      </c>
      <c r="Q474" s="166">
        <v>500</v>
      </c>
      <c r="R474" s="166">
        <v>14050</v>
      </c>
      <c r="S474" s="170">
        <v>51081.75</v>
      </c>
      <c r="T474" s="166">
        <v>14056</v>
      </c>
      <c r="U474" s="170">
        <v>51081.75</v>
      </c>
      <c r="V474" s="170">
        <f t="shared" si="27"/>
        <v>0</v>
      </c>
      <c r="W474" s="171">
        <v>0</v>
      </c>
      <c r="X474" s="166">
        <v>54260</v>
      </c>
      <c r="Y474" s="170">
        <v>0</v>
      </c>
      <c r="Z474" s="168" t="s">
        <v>1053</v>
      </c>
      <c r="AA474" s="168"/>
      <c r="AB474" s="216">
        <v>42003</v>
      </c>
      <c r="AC474" s="168"/>
      <c r="AD474" s="168" t="s">
        <v>1058</v>
      </c>
      <c r="AE474" s="168" t="s">
        <v>1059</v>
      </c>
      <c r="AF474" s="166" t="s">
        <v>284</v>
      </c>
      <c r="AG474" s="168"/>
      <c r="AH474" s="166" t="s">
        <v>1060</v>
      </c>
      <c r="AI474" s="168">
        <v>0</v>
      </c>
      <c r="AJ474" s="168">
        <v>0</v>
      </c>
      <c r="AP474" s="206"/>
      <c r="AQ474" s="207"/>
      <c r="AR474" s="207"/>
      <c r="AS474" s="207"/>
      <c r="AT474" s="208"/>
      <c r="AU474" s="207"/>
      <c r="AV474" s="208"/>
    </row>
    <row r="475" spans="1:48" s="205" customFormat="1" ht="15">
      <c r="A475" s="145"/>
      <c r="B475" s="166">
        <v>2183</v>
      </c>
      <c r="C475" s="167">
        <v>118278</v>
      </c>
      <c r="D475" s="166" t="s">
        <v>1053</v>
      </c>
      <c r="E475" s="168" t="s">
        <v>1662</v>
      </c>
      <c r="F475" s="166"/>
      <c r="G475" s="168"/>
      <c r="H475" s="168"/>
      <c r="I475" s="168"/>
      <c r="J475" s="168">
        <v>0</v>
      </c>
      <c r="K475" s="168" t="s">
        <v>1663</v>
      </c>
      <c r="L475" s="168"/>
      <c r="M475" s="168"/>
      <c r="N475" s="169">
        <v>42002</v>
      </c>
      <c r="O475" s="169">
        <v>42002</v>
      </c>
      <c r="P475" s="168" t="s">
        <v>1664</v>
      </c>
      <c r="Q475" s="166">
        <v>1000</v>
      </c>
      <c r="R475" s="166">
        <v>14080</v>
      </c>
      <c r="S475" s="170">
        <v>2760.98</v>
      </c>
      <c r="T475" s="166">
        <v>14086</v>
      </c>
      <c r="U475" s="170">
        <v>1909.69</v>
      </c>
      <c r="V475" s="170">
        <f t="shared" si="27"/>
        <v>851.29</v>
      </c>
      <c r="W475" s="171">
        <v>253.09</v>
      </c>
      <c r="X475" s="166">
        <v>57260</v>
      </c>
      <c r="Y475" s="170">
        <v>23.01</v>
      </c>
      <c r="Z475" s="168" t="s">
        <v>1053</v>
      </c>
      <c r="AA475" s="168"/>
      <c r="AB475" s="168" t="s">
        <v>1665</v>
      </c>
      <c r="AC475" s="168"/>
      <c r="AD475" s="168" t="s">
        <v>1058</v>
      </c>
      <c r="AE475" s="168" t="s">
        <v>1059</v>
      </c>
      <c r="AF475" s="166" t="s">
        <v>284</v>
      </c>
      <c r="AG475" s="168"/>
      <c r="AH475" s="166" t="s">
        <v>1060</v>
      </c>
      <c r="AI475" s="168">
        <v>0</v>
      </c>
      <c r="AJ475" s="168">
        <v>0</v>
      </c>
      <c r="AP475" s="206"/>
      <c r="AQ475" s="207"/>
      <c r="AR475" s="207"/>
      <c r="AS475" s="207"/>
      <c r="AT475" s="208"/>
      <c r="AU475" s="207"/>
      <c r="AV475" s="208"/>
    </row>
    <row r="476" spans="1:48" s="205" customFormat="1" ht="15">
      <c r="A476" s="145"/>
      <c r="B476" s="166">
        <v>2183</v>
      </c>
      <c r="C476" s="167">
        <v>118138</v>
      </c>
      <c r="D476" s="166" t="s">
        <v>1053</v>
      </c>
      <c r="E476" s="168" t="s">
        <v>1666</v>
      </c>
      <c r="F476" s="166">
        <v>0</v>
      </c>
      <c r="G476" s="168"/>
      <c r="H476" s="168"/>
      <c r="I476" s="168"/>
      <c r="J476" s="168">
        <v>0</v>
      </c>
      <c r="K476" s="168"/>
      <c r="L476" s="168"/>
      <c r="M476" s="168"/>
      <c r="N476" s="169">
        <v>42004</v>
      </c>
      <c r="O476" s="169">
        <v>42004</v>
      </c>
      <c r="P476" s="168" t="s">
        <v>1661</v>
      </c>
      <c r="Q476" s="166">
        <v>500</v>
      </c>
      <c r="R476" s="166">
        <v>14050</v>
      </c>
      <c r="S476" s="170">
        <v>23609.1</v>
      </c>
      <c r="T476" s="166">
        <v>14056</v>
      </c>
      <c r="U476" s="170">
        <v>23609.1</v>
      </c>
      <c r="V476" s="170">
        <f t="shared" si="27"/>
        <v>0</v>
      </c>
      <c r="W476" s="171">
        <v>0</v>
      </c>
      <c r="X476" s="166">
        <v>54260</v>
      </c>
      <c r="Y476" s="170">
        <v>0</v>
      </c>
      <c r="Z476" s="168" t="s">
        <v>1053</v>
      </c>
      <c r="AA476" s="168"/>
      <c r="AB476" s="168"/>
      <c r="AC476" s="168"/>
      <c r="AD476" s="168" t="s">
        <v>1058</v>
      </c>
      <c r="AE476" s="168" t="s">
        <v>1059</v>
      </c>
      <c r="AF476" s="166" t="s">
        <v>284</v>
      </c>
      <c r="AG476" s="168"/>
      <c r="AH476" s="166" t="s">
        <v>1060</v>
      </c>
      <c r="AI476" s="168">
        <v>0</v>
      </c>
      <c r="AJ476" s="168">
        <v>0</v>
      </c>
      <c r="AP476" s="206"/>
      <c r="AQ476" s="207"/>
      <c r="AR476" s="207"/>
      <c r="AS476" s="207"/>
      <c r="AT476" s="208"/>
      <c r="AU476" s="207"/>
      <c r="AV476" s="208"/>
    </row>
    <row r="477" spans="1:48" s="205" customFormat="1" ht="15">
      <c r="A477" s="145"/>
      <c r="B477" s="166">
        <v>2183</v>
      </c>
      <c r="C477" s="167">
        <v>117322</v>
      </c>
      <c r="D477" s="166" t="s">
        <v>1053</v>
      </c>
      <c r="E477" s="168" t="s">
        <v>1667</v>
      </c>
      <c r="F477" s="166">
        <v>0</v>
      </c>
      <c r="G477" s="168"/>
      <c r="H477" s="168" t="s">
        <v>1668</v>
      </c>
      <c r="I477" s="168"/>
      <c r="J477" s="168">
        <v>2015</v>
      </c>
      <c r="K477" s="168" t="s">
        <v>1669</v>
      </c>
      <c r="L477" s="168" t="s">
        <v>1670</v>
      </c>
      <c r="M477" s="168" t="s">
        <v>1152</v>
      </c>
      <c r="N477" s="169">
        <v>41973</v>
      </c>
      <c r="O477" s="169">
        <v>41973</v>
      </c>
      <c r="P477" s="168" t="s">
        <v>1671</v>
      </c>
      <c r="Q477" s="166">
        <v>1000</v>
      </c>
      <c r="R477" s="166">
        <v>14040</v>
      </c>
      <c r="S477" s="170">
        <v>330302.59000000003</v>
      </c>
      <c r="T477" s="166">
        <v>14046</v>
      </c>
      <c r="U477" s="170">
        <v>231211.82</v>
      </c>
      <c r="V477" s="170">
        <f t="shared" si="27"/>
        <v>99090.770000000019</v>
      </c>
      <c r="W477" s="171">
        <v>30277.74</v>
      </c>
      <c r="X477" s="166">
        <v>51260</v>
      </c>
      <c r="Y477" s="170">
        <v>2752.52</v>
      </c>
      <c r="Z477" s="168" t="s">
        <v>1053</v>
      </c>
      <c r="AA477" s="168"/>
      <c r="AB477" s="168"/>
      <c r="AC477" s="168">
        <v>3640</v>
      </c>
      <c r="AD477" s="168" t="s">
        <v>1058</v>
      </c>
      <c r="AE477" s="168" t="s">
        <v>1059</v>
      </c>
      <c r="AF477" s="166" t="s">
        <v>284</v>
      </c>
      <c r="AG477" s="168"/>
      <c r="AH477" s="166" t="s">
        <v>1060</v>
      </c>
      <c r="AI477" s="168">
        <v>0</v>
      </c>
      <c r="AJ477" s="168">
        <v>0</v>
      </c>
      <c r="AP477" s="206"/>
      <c r="AQ477" s="207"/>
      <c r="AR477" s="207"/>
      <c r="AS477" s="207"/>
      <c r="AT477" s="208"/>
      <c r="AU477" s="207"/>
      <c r="AV477" s="208"/>
    </row>
    <row r="478" spans="1:48" s="205" customFormat="1" ht="15">
      <c r="A478" s="145"/>
      <c r="B478" s="166">
        <v>2183</v>
      </c>
      <c r="C478" s="167">
        <v>117321</v>
      </c>
      <c r="D478" s="166" t="s">
        <v>1053</v>
      </c>
      <c r="E478" s="168" t="s">
        <v>1667</v>
      </c>
      <c r="F478" s="166">
        <v>0</v>
      </c>
      <c r="G478" s="168"/>
      <c r="H478" s="168" t="s">
        <v>1672</v>
      </c>
      <c r="I478" s="168"/>
      <c r="J478" s="168">
        <v>2015</v>
      </c>
      <c r="K478" s="168" t="s">
        <v>1669</v>
      </c>
      <c r="L478" s="168" t="s">
        <v>1670</v>
      </c>
      <c r="M478" s="168" t="s">
        <v>1152</v>
      </c>
      <c r="N478" s="169">
        <v>41973</v>
      </c>
      <c r="O478" s="169">
        <v>41973</v>
      </c>
      <c r="P478" s="168" t="s">
        <v>1673</v>
      </c>
      <c r="Q478" s="166">
        <v>1000</v>
      </c>
      <c r="R478" s="166">
        <v>14040</v>
      </c>
      <c r="S478" s="170">
        <v>330416.48</v>
      </c>
      <c r="T478" s="166">
        <v>14046</v>
      </c>
      <c r="U478" s="170">
        <v>231291.55</v>
      </c>
      <c r="V478" s="170">
        <f t="shared" si="27"/>
        <v>99124.93</v>
      </c>
      <c r="W478" s="171">
        <v>30288.18</v>
      </c>
      <c r="X478" s="166">
        <v>51260</v>
      </c>
      <c r="Y478" s="170">
        <v>2753.47</v>
      </c>
      <c r="Z478" s="168" t="s">
        <v>1053</v>
      </c>
      <c r="AA478" s="168"/>
      <c r="AB478" s="168"/>
      <c r="AC478" s="168">
        <v>3639</v>
      </c>
      <c r="AD478" s="168" t="s">
        <v>1058</v>
      </c>
      <c r="AE478" s="168" t="s">
        <v>1059</v>
      </c>
      <c r="AF478" s="166" t="s">
        <v>284</v>
      </c>
      <c r="AG478" s="168"/>
      <c r="AH478" s="166" t="s">
        <v>1060</v>
      </c>
      <c r="AI478" s="168">
        <v>0</v>
      </c>
      <c r="AJ478" s="168">
        <v>0</v>
      </c>
      <c r="AP478" s="206"/>
      <c r="AQ478" s="207"/>
      <c r="AR478" s="207"/>
      <c r="AS478" s="207"/>
      <c r="AT478" s="208"/>
      <c r="AU478" s="207"/>
      <c r="AV478" s="208"/>
    </row>
    <row r="479" spans="1:48" s="205" customFormat="1" ht="15">
      <c r="A479" s="145"/>
      <c r="B479" s="166">
        <v>2183</v>
      </c>
      <c r="C479" s="167">
        <v>117226</v>
      </c>
      <c r="D479" s="166" t="s">
        <v>1053</v>
      </c>
      <c r="E479" s="168" t="s">
        <v>1674</v>
      </c>
      <c r="F479" s="166">
        <v>8</v>
      </c>
      <c r="G479" s="168"/>
      <c r="H479" s="168"/>
      <c r="I479" s="168"/>
      <c r="J479" s="168">
        <v>0</v>
      </c>
      <c r="K479" s="168" t="s">
        <v>1155</v>
      </c>
      <c r="L479" s="168"/>
      <c r="M479" s="168" t="s">
        <v>1143</v>
      </c>
      <c r="N479" s="169">
        <v>41944</v>
      </c>
      <c r="O479" s="169">
        <v>41944</v>
      </c>
      <c r="P479" s="168" t="s">
        <v>1675</v>
      </c>
      <c r="Q479" s="166">
        <v>1200</v>
      </c>
      <c r="R479" s="166">
        <v>14050</v>
      </c>
      <c r="S479" s="170">
        <v>4869.76</v>
      </c>
      <c r="T479" s="166">
        <v>14056</v>
      </c>
      <c r="U479" s="170">
        <v>2874.53</v>
      </c>
      <c r="V479" s="170">
        <f t="shared" si="27"/>
        <v>1995.23</v>
      </c>
      <c r="W479" s="171">
        <v>371.99</v>
      </c>
      <c r="X479" s="166">
        <v>54260</v>
      </c>
      <c r="Y479" s="170">
        <v>33.81</v>
      </c>
      <c r="Z479" s="168" t="s">
        <v>1053</v>
      </c>
      <c r="AA479" s="168"/>
      <c r="AB479" s="168">
        <v>100920</v>
      </c>
      <c r="AC479" s="168"/>
      <c r="AD479" s="168" t="s">
        <v>1058</v>
      </c>
      <c r="AE479" s="168" t="s">
        <v>1059</v>
      </c>
      <c r="AF479" s="166" t="s">
        <v>284</v>
      </c>
      <c r="AG479" s="168"/>
      <c r="AH479" s="166" t="s">
        <v>1060</v>
      </c>
      <c r="AI479" s="168">
        <v>2</v>
      </c>
      <c r="AJ479" s="168">
        <v>0</v>
      </c>
      <c r="AP479" s="206"/>
      <c r="AQ479" s="207"/>
      <c r="AR479" s="207"/>
      <c r="AS479" s="207"/>
      <c r="AT479" s="208"/>
      <c r="AU479" s="207"/>
      <c r="AV479" s="208"/>
    </row>
    <row r="480" spans="1:48" s="205" customFormat="1" ht="15">
      <c r="A480" s="145"/>
      <c r="B480" s="166">
        <v>2183</v>
      </c>
      <c r="C480" s="167">
        <v>117225</v>
      </c>
      <c r="D480" s="166" t="s">
        <v>1053</v>
      </c>
      <c r="E480" s="168" t="s">
        <v>1676</v>
      </c>
      <c r="F480" s="166">
        <v>10</v>
      </c>
      <c r="G480" s="168"/>
      <c r="H480" s="168"/>
      <c r="I480" s="168"/>
      <c r="J480" s="168">
        <v>0</v>
      </c>
      <c r="K480" s="168" t="s">
        <v>1155</v>
      </c>
      <c r="L480" s="168"/>
      <c r="M480" s="168"/>
      <c r="N480" s="169">
        <v>41944</v>
      </c>
      <c r="O480" s="169">
        <v>41944</v>
      </c>
      <c r="P480" s="168" t="s">
        <v>1677</v>
      </c>
      <c r="Q480" s="166">
        <v>1200</v>
      </c>
      <c r="R480" s="166">
        <v>14050</v>
      </c>
      <c r="S480" s="170">
        <v>8098.15</v>
      </c>
      <c r="T480" s="166">
        <v>14056</v>
      </c>
      <c r="U480" s="170">
        <v>4780.1899999999996</v>
      </c>
      <c r="V480" s="170">
        <f t="shared" si="27"/>
        <v>3317.96</v>
      </c>
      <c r="W480" s="171">
        <v>618.61</v>
      </c>
      <c r="X480" s="166">
        <v>54260</v>
      </c>
      <c r="Y480" s="170">
        <v>56.23</v>
      </c>
      <c r="Z480" s="168" t="s">
        <v>1053</v>
      </c>
      <c r="AA480" s="168"/>
      <c r="AB480" s="168">
        <v>100922</v>
      </c>
      <c r="AC480" s="168"/>
      <c r="AD480" s="168" t="s">
        <v>1058</v>
      </c>
      <c r="AE480" s="168" t="s">
        <v>1059</v>
      </c>
      <c r="AF480" s="166" t="s">
        <v>284</v>
      </c>
      <c r="AG480" s="168"/>
      <c r="AH480" s="166" t="s">
        <v>1060</v>
      </c>
      <c r="AI480" s="168">
        <v>0</v>
      </c>
      <c r="AJ480" s="168">
        <v>0</v>
      </c>
      <c r="AP480" s="206"/>
      <c r="AQ480" s="207"/>
      <c r="AR480" s="207"/>
      <c r="AS480" s="207"/>
      <c r="AT480" s="208"/>
      <c r="AU480" s="207"/>
      <c r="AV480" s="208"/>
    </row>
    <row r="481" spans="1:48" s="205" customFormat="1" ht="15">
      <c r="A481" s="145"/>
      <c r="B481" s="166">
        <v>2183</v>
      </c>
      <c r="C481" s="167">
        <v>117224</v>
      </c>
      <c r="D481" s="166" t="s">
        <v>1053</v>
      </c>
      <c r="E481" s="168" t="s">
        <v>1678</v>
      </c>
      <c r="F481" s="166">
        <v>5</v>
      </c>
      <c r="G481" s="168"/>
      <c r="H481" s="168"/>
      <c r="I481" s="168"/>
      <c r="J481" s="168">
        <v>0</v>
      </c>
      <c r="K481" s="168" t="s">
        <v>1155</v>
      </c>
      <c r="L481" s="168"/>
      <c r="M481" s="168" t="s">
        <v>1139</v>
      </c>
      <c r="N481" s="169">
        <v>41944</v>
      </c>
      <c r="O481" s="169">
        <v>41944</v>
      </c>
      <c r="P481" s="168" t="s">
        <v>1677</v>
      </c>
      <c r="Q481" s="166">
        <v>1200</v>
      </c>
      <c r="R481" s="166">
        <v>14050</v>
      </c>
      <c r="S481" s="170">
        <v>3206.65</v>
      </c>
      <c r="T481" s="166">
        <v>14056</v>
      </c>
      <c r="U481" s="170">
        <v>1892.81</v>
      </c>
      <c r="V481" s="170">
        <f t="shared" si="27"/>
        <v>1313.8400000000001</v>
      </c>
      <c r="W481" s="171">
        <v>244.95</v>
      </c>
      <c r="X481" s="166">
        <v>54260</v>
      </c>
      <c r="Y481" s="170">
        <v>22.27</v>
      </c>
      <c r="Z481" s="168" t="s">
        <v>1053</v>
      </c>
      <c r="AA481" s="168"/>
      <c r="AB481" s="168">
        <v>100921</v>
      </c>
      <c r="AC481" s="168"/>
      <c r="AD481" s="168" t="s">
        <v>1058</v>
      </c>
      <c r="AE481" s="168" t="s">
        <v>1059</v>
      </c>
      <c r="AF481" s="166" t="s">
        <v>284</v>
      </c>
      <c r="AG481" s="168"/>
      <c r="AH481" s="166" t="s">
        <v>1060</v>
      </c>
      <c r="AI481" s="168">
        <v>0</v>
      </c>
      <c r="AJ481" s="168">
        <v>0</v>
      </c>
      <c r="AP481" s="206"/>
      <c r="AQ481" s="207"/>
      <c r="AR481" s="207"/>
      <c r="AS481" s="207"/>
      <c r="AT481" s="208"/>
      <c r="AU481" s="207"/>
      <c r="AV481" s="208"/>
    </row>
    <row r="482" spans="1:48" s="205" customFormat="1" ht="15">
      <c r="A482" s="145"/>
      <c r="B482" s="166">
        <v>2183</v>
      </c>
      <c r="C482" s="167">
        <v>117223</v>
      </c>
      <c r="D482" s="166" t="s">
        <v>1053</v>
      </c>
      <c r="E482" s="168" t="s">
        <v>1679</v>
      </c>
      <c r="F482" s="166">
        <v>15</v>
      </c>
      <c r="G482" s="168"/>
      <c r="H482" s="168"/>
      <c r="I482" s="168"/>
      <c r="J482" s="168">
        <v>0</v>
      </c>
      <c r="K482" s="168" t="s">
        <v>1155</v>
      </c>
      <c r="L482" s="168"/>
      <c r="M482" s="168" t="s">
        <v>1136</v>
      </c>
      <c r="N482" s="169">
        <v>41944</v>
      </c>
      <c r="O482" s="169">
        <v>41944</v>
      </c>
      <c r="P482" s="168" t="s">
        <v>1677</v>
      </c>
      <c r="Q482" s="166">
        <v>1200</v>
      </c>
      <c r="R482" s="166">
        <v>14050</v>
      </c>
      <c r="S482" s="170">
        <v>7907.93</v>
      </c>
      <c r="T482" s="166">
        <v>14056</v>
      </c>
      <c r="U482" s="170">
        <v>4667.91</v>
      </c>
      <c r="V482" s="170">
        <f t="shared" si="27"/>
        <v>3240.0200000000004</v>
      </c>
      <c r="W482" s="171">
        <v>604.08000000000004</v>
      </c>
      <c r="X482" s="166">
        <v>54260</v>
      </c>
      <c r="Y482" s="170">
        <v>54.91</v>
      </c>
      <c r="Z482" s="168" t="s">
        <v>1053</v>
      </c>
      <c r="AA482" s="168"/>
      <c r="AB482" s="168">
        <v>100919</v>
      </c>
      <c r="AC482" s="168"/>
      <c r="AD482" s="168" t="s">
        <v>1058</v>
      </c>
      <c r="AE482" s="168" t="s">
        <v>1059</v>
      </c>
      <c r="AF482" s="166" t="s">
        <v>284</v>
      </c>
      <c r="AG482" s="168"/>
      <c r="AH482" s="166" t="s">
        <v>1060</v>
      </c>
      <c r="AI482" s="168">
        <v>0</v>
      </c>
      <c r="AJ482" s="168">
        <v>0</v>
      </c>
      <c r="AP482" s="206"/>
      <c r="AQ482" s="207"/>
      <c r="AR482" s="207"/>
      <c r="AS482" s="207"/>
      <c r="AT482" s="208"/>
      <c r="AU482" s="207"/>
      <c r="AV482" s="208"/>
    </row>
    <row r="483" spans="1:48" s="205" customFormat="1" ht="15">
      <c r="A483" s="145"/>
      <c r="B483" s="166">
        <v>2183</v>
      </c>
      <c r="C483" s="167">
        <v>117220</v>
      </c>
      <c r="D483" s="166">
        <v>114271</v>
      </c>
      <c r="E483" s="168" t="s">
        <v>1680</v>
      </c>
      <c r="F483" s="166"/>
      <c r="G483" s="168"/>
      <c r="H483" s="168"/>
      <c r="I483" s="168"/>
      <c r="J483" s="168">
        <v>0</v>
      </c>
      <c r="K483" s="168" t="s">
        <v>1293</v>
      </c>
      <c r="L483" s="168"/>
      <c r="M483" s="168" t="s">
        <v>1303</v>
      </c>
      <c r="N483" s="169">
        <v>41944</v>
      </c>
      <c r="O483" s="169">
        <v>41944</v>
      </c>
      <c r="P483" s="168" t="s">
        <v>1681</v>
      </c>
      <c r="Q483" s="166">
        <v>300</v>
      </c>
      <c r="R483" s="166">
        <v>14040</v>
      </c>
      <c r="S483" s="170">
        <v>7331.82</v>
      </c>
      <c r="T483" s="166">
        <v>14046</v>
      </c>
      <c r="U483" s="170">
        <v>7331.82</v>
      </c>
      <c r="V483" s="170">
        <f t="shared" si="27"/>
        <v>0</v>
      </c>
      <c r="W483" s="171">
        <v>0</v>
      </c>
      <c r="X483" s="166">
        <v>51260</v>
      </c>
      <c r="Y483" s="170">
        <v>0</v>
      </c>
      <c r="Z483" s="168" t="s">
        <v>1053</v>
      </c>
      <c r="AA483" s="168"/>
      <c r="AB483" s="168" t="s">
        <v>1682</v>
      </c>
      <c r="AC483" s="168"/>
      <c r="AD483" s="168" t="s">
        <v>1058</v>
      </c>
      <c r="AE483" s="168" t="s">
        <v>1059</v>
      </c>
      <c r="AF483" s="166" t="s">
        <v>284</v>
      </c>
      <c r="AG483" s="168"/>
      <c r="AH483" s="166" t="s">
        <v>1060</v>
      </c>
      <c r="AI483" s="168">
        <v>0</v>
      </c>
      <c r="AJ483" s="168">
        <v>0</v>
      </c>
      <c r="AP483" s="206"/>
      <c r="AQ483" s="207"/>
      <c r="AR483" s="207"/>
      <c r="AS483" s="207"/>
      <c r="AT483" s="208"/>
      <c r="AU483" s="207"/>
      <c r="AV483" s="208"/>
    </row>
    <row r="484" spans="1:48" s="205" customFormat="1" ht="15">
      <c r="A484" s="145"/>
      <c r="B484" s="166">
        <v>2183</v>
      </c>
      <c r="C484" s="167">
        <v>116682</v>
      </c>
      <c r="D484" s="166" t="s">
        <v>1053</v>
      </c>
      <c r="E484" s="168" t="s">
        <v>615</v>
      </c>
      <c r="F484" s="166">
        <v>480</v>
      </c>
      <c r="G484" s="168"/>
      <c r="H484" s="168"/>
      <c r="I484" s="168"/>
      <c r="J484" s="168">
        <v>0</v>
      </c>
      <c r="K484" s="168" t="s">
        <v>1518</v>
      </c>
      <c r="L484" s="168"/>
      <c r="M484" s="168"/>
      <c r="N484" s="169">
        <v>41922</v>
      </c>
      <c r="O484" s="169">
        <v>41922</v>
      </c>
      <c r="P484" s="168" t="s">
        <v>1683</v>
      </c>
      <c r="Q484" s="166">
        <v>700</v>
      </c>
      <c r="R484" s="166">
        <v>14050</v>
      </c>
      <c r="S484" s="170">
        <v>20039.759999999998</v>
      </c>
      <c r="T484" s="166">
        <v>14056</v>
      </c>
      <c r="U484" s="170">
        <v>20039.759999999998</v>
      </c>
      <c r="V484" s="170">
        <f t="shared" si="27"/>
        <v>0</v>
      </c>
      <c r="W484" s="171">
        <v>2147.13</v>
      </c>
      <c r="X484" s="166">
        <v>54260</v>
      </c>
      <c r="Y484" s="170">
        <v>0</v>
      </c>
      <c r="Z484" s="168" t="s">
        <v>1053</v>
      </c>
      <c r="AA484" s="168"/>
      <c r="AB484" s="168" t="s">
        <v>1684</v>
      </c>
      <c r="AC484" s="168"/>
      <c r="AD484" s="168" t="s">
        <v>1058</v>
      </c>
      <c r="AE484" s="168" t="s">
        <v>1059</v>
      </c>
      <c r="AF484" s="166" t="s">
        <v>284</v>
      </c>
      <c r="AG484" s="168"/>
      <c r="AH484" s="166" t="s">
        <v>1060</v>
      </c>
      <c r="AI484" s="168">
        <v>0</v>
      </c>
      <c r="AJ484" s="168">
        <v>0</v>
      </c>
      <c r="AP484" s="206"/>
      <c r="AQ484" s="207"/>
      <c r="AR484" s="207"/>
      <c r="AS484" s="207"/>
      <c r="AT484" s="208"/>
      <c r="AU484" s="207"/>
      <c r="AV484" s="208"/>
    </row>
    <row r="485" spans="1:48" s="205" customFormat="1" ht="15">
      <c r="A485" s="145"/>
      <c r="B485" s="166">
        <v>2183</v>
      </c>
      <c r="C485" s="167">
        <v>116681</v>
      </c>
      <c r="D485" s="166" t="s">
        <v>1053</v>
      </c>
      <c r="E485" s="168" t="s">
        <v>614</v>
      </c>
      <c r="F485" s="166">
        <v>312</v>
      </c>
      <c r="G485" s="168"/>
      <c r="H485" s="168"/>
      <c r="I485" s="168"/>
      <c r="J485" s="168">
        <v>0</v>
      </c>
      <c r="K485" s="168" t="s">
        <v>1518</v>
      </c>
      <c r="L485" s="168"/>
      <c r="M485" s="168"/>
      <c r="N485" s="169">
        <v>41922</v>
      </c>
      <c r="O485" s="169">
        <v>41922</v>
      </c>
      <c r="P485" s="168" t="s">
        <v>1683</v>
      </c>
      <c r="Q485" s="166">
        <v>700</v>
      </c>
      <c r="R485" s="166">
        <v>14050</v>
      </c>
      <c r="S485" s="170">
        <v>17502.7</v>
      </c>
      <c r="T485" s="166">
        <v>14056</v>
      </c>
      <c r="U485" s="170">
        <v>17502.7</v>
      </c>
      <c r="V485" s="170">
        <f t="shared" si="27"/>
        <v>0</v>
      </c>
      <c r="W485" s="171">
        <v>1875.26</v>
      </c>
      <c r="X485" s="166">
        <v>54260</v>
      </c>
      <c r="Y485" s="170">
        <v>0</v>
      </c>
      <c r="Z485" s="168" t="s">
        <v>1053</v>
      </c>
      <c r="AA485" s="168"/>
      <c r="AB485" s="168" t="s">
        <v>1684</v>
      </c>
      <c r="AC485" s="168"/>
      <c r="AD485" s="168" t="s">
        <v>1058</v>
      </c>
      <c r="AE485" s="168" t="s">
        <v>1059</v>
      </c>
      <c r="AF485" s="166" t="s">
        <v>284</v>
      </c>
      <c r="AG485" s="168"/>
      <c r="AH485" s="166" t="s">
        <v>1060</v>
      </c>
      <c r="AI485" s="168">
        <v>0</v>
      </c>
      <c r="AJ485" s="168">
        <v>0</v>
      </c>
      <c r="AP485" s="206"/>
      <c r="AQ485" s="207"/>
      <c r="AR485" s="207"/>
      <c r="AS485" s="207"/>
      <c r="AT485" s="208"/>
      <c r="AU485" s="207"/>
      <c r="AV485" s="208"/>
    </row>
    <row r="486" spans="1:48" s="205" customFormat="1" ht="15">
      <c r="A486" s="145"/>
      <c r="B486" s="166">
        <v>2183</v>
      </c>
      <c r="C486" s="167">
        <v>116680</v>
      </c>
      <c r="D486" s="166" t="s">
        <v>1053</v>
      </c>
      <c r="E486" s="168" t="s">
        <v>1685</v>
      </c>
      <c r="F486" s="166">
        <v>15</v>
      </c>
      <c r="G486" s="168"/>
      <c r="H486" s="168"/>
      <c r="I486" s="168"/>
      <c r="J486" s="168">
        <v>0</v>
      </c>
      <c r="K486" s="168" t="s">
        <v>1132</v>
      </c>
      <c r="L486" s="168"/>
      <c r="M486" s="168" t="s">
        <v>1129</v>
      </c>
      <c r="N486" s="169">
        <v>41943</v>
      </c>
      <c r="O486" s="169">
        <v>41943</v>
      </c>
      <c r="P486" s="168" t="s">
        <v>1675</v>
      </c>
      <c r="Q486" s="166">
        <v>1200</v>
      </c>
      <c r="R486" s="166">
        <v>14050</v>
      </c>
      <c r="S486" s="170">
        <v>6799.19</v>
      </c>
      <c r="T486" s="166">
        <v>14056</v>
      </c>
      <c r="U486" s="170">
        <v>4013.41</v>
      </c>
      <c r="V486" s="170">
        <f t="shared" si="27"/>
        <v>2785.7799999999997</v>
      </c>
      <c r="W486" s="171">
        <v>519.38</v>
      </c>
      <c r="X486" s="166">
        <v>54260</v>
      </c>
      <c r="Y486" s="170">
        <v>47.21</v>
      </c>
      <c r="Z486" s="168" t="s">
        <v>1053</v>
      </c>
      <c r="AA486" s="168"/>
      <c r="AB486" s="168">
        <v>99998</v>
      </c>
      <c r="AC486" s="168"/>
      <c r="AD486" s="168" t="s">
        <v>1058</v>
      </c>
      <c r="AE486" s="168" t="s">
        <v>1059</v>
      </c>
      <c r="AF486" s="166" t="s">
        <v>284</v>
      </c>
      <c r="AG486" s="168"/>
      <c r="AH486" s="166" t="s">
        <v>1060</v>
      </c>
      <c r="AI486" s="168">
        <v>0</v>
      </c>
      <c r="AJ486" s="168">
        <v>0</v>
      </c>
      <c r="AP486" s="206"/>
      <c r="AQ486" s="207"/>
      <c r="AR486" s="207"/>
      <c r="AS486" s="207"/>
      <c r="AT486" s="208"/>
      <c r="AU486" s="207"/>
      <c r="AV486" s="208"/>
    </row>
    <row r="487" spans="1:48" s="205" customFormat="1" ht="15">
      <c r="A487" s="145"/>
      <c r="B487" s="166">
        <v>2183</v>
      </c>
      <c r="C487" s="167">
        <v>116679</v>
      </c>
      <c r="D487" s="166" t="s">
        <v>1053</v>
      </c>
      <c r="E487" s="168" t="s">
        <v>1686</v>
      </c>
      <c r="F487" s="166">
        <v>20</v>
      </c>
      <c r="G487" s="168"/>
      <c r="H487" s="168"/>
      <c r="I487" s="168"/>
      <c r="J487" s="168">
        <v>0</v>
      </c>
      <c r="K487" s="168" t="s">
        <v>1132</v>
      </c>
      <c r="L487" s="168"/>
      <c r="M487" s="168" t="s">
        <v>1136</v>
      </c>
      <c r="N487" s="169">
        <v>41943</v>
      </c>
      <c r="O487" s="169">
        <v>41943</v>
      </c>
      <c r="P487" s="168" t="s">
        <v>1675</v>
      </c>
      <c r="Q487" s="166">
        <v>1200</v>
      </c>
      <c r="R487" s="166">
        <v>14050</v>
      </c>
      <c r="S487" s="170">
        <v>10761.3</v>
      </c>
      <c r="T487" s="166">
        <v>14056</v>
      </c>
      <c r="U487" s="170">
        <v>6352.19</v>
      </c>
      <c r="V487" s="170">
        <f t="shared" si="27"/>
        <v>4409.1099999999997</v>
      </c>
      <c r="W487" s="171">
        <v>822.05</v>
      </c>
      <c r="X487" s="166">
        <v>54260</v>
      </c>
      <c r="Y487" s="170">
        <v>74.73</v>
      </c>
      <c r="Z487" s="168" t="s">
        <v>1053</v>
      </c>
      <c r="AA487" s="168"/>
      <c r="AB487" s="168">
        <v>99987</v>
      </c>
      <c r="AC487" s="168"/>
      <c r="AD487" s="168" t="s">
        <v>1058</v>
      </c>
      <c r="AE487" s="168" t="s">
        <v>1059</v>
      </c>
      <c r="AF487" s="166" t="s">
        <v>284</v>
      </c>
      <c r="AG487" s="168"/>
      <c r="AH487" s="166" t="s">
        <v>1060</v>
      </c>
      <c r="AI487" s="168">
        <v>0</v>
      </c>
      <c r="AJ487" s="168">
        <v>0</v>
      </c>
      <c r="AP487" s="206"/>
      <c r="AQ487" s="207"/>
      <c r="AR487" s="207"/>
      <c r="AS487" s="207"/>
      <c r="AT487" s="208"/>
      <c r="AU487" s="207"/>
      <c r="AV487" s="208"/>
    </row>
    <row r="488" spans="1:48" s="205" customFormat="1" ht="15">
      <c r="A488" s="145"/>
      <c r="B488" s="166">
        <v>2183</v>
      </c>
      <c r="C488" s="167">
        <v>116678</v>
      </c>
      <c r="D488" s="166" t="s">
        <v>1053</v>
      </c>
      <c r="E488" s="168" t="s">
        <v>1687</v>
      </c>
      <c r="F488" s="166">
        <v>15</v>
      </c>
      <c r="G488" s="168"/>
      <c r="H488" s="168"/>
      <c r="I488" s="168"/>
      <c r="J488" s="168">
        <v>0</v>
      </c>
      <c r="K488" s="168" t="s">
        <v>1132</v>
      </c>
      <c r="L488" s="168"/>
      <c r="M488" s="168" t="s">
        <v>1133</v>
      </c>
      <c r="N488" s="169">
        <v>41943</v>
      </c>
      <c r="O488" s="169">
        <v>41943</v>
      </c>
      <c r="P488" s="168" t="s">
        <v>1675</v>
      </c>
      <c r="Q488" s="166">
        <v>1200</v>
      </c>
      <c r="R488" s="166">
        <v>14050</v>
      </c>
      <c r="S488" s="170">
        <v>7272.03</v>
      </c>
      <c r="T488" s="166">
        <v>14056</v>
      </c>
      <c r="U488" s="170">
        <v>4292.5</v>
      </c>
      <c r="V488" s="170">
        <f t="shared" si="27"/>
        <v>2979.5299999999997</v>
      </c>
      <c r="W488" s="171">
        <v>555.5</v>
      </c>
      <c r="X488" s="166">
        <v>54260</v>
      </c>
      <c r="Y488" s="170">
        <v>50.5</v>
      </c>
      <c r="Z488" s="168" t="s">
        <v>1053</v>
      </c>
      <c r="AA488" s="168"/>
      <c r="AB488" s="168">
        <v>99971</v>
      </c>
      <c r="AC488" s="168"/>
      <c r="AD488" s="168" t="s">
        <v>1058</v>
      </c>
      <c r="AE488" s="168" t="s">
        <v>1059</v>
      </c>
      <c r="AF488" s="166" t="s">
        <v>284</v>
      </c>
      <c r="AG488" s="168"/>
      <c r="AH488" s="166" t="s">
        <v>1060</v>
      </c>
      <c r="AI488" s="168">
        <v>0</v>
      </c>
      <c r="AJ488" s="168">
        <v>0</v>
      </c>
      <c r="AP488" s="206"/>
      <c r="AQ488" s="207"/>
      <c r="AR488" s="207"/>
      <c r="AS488" s="207"/>
      <c r="AT488" s="208"/>
      <c r="AU488" s="207"/>
      <c r="AV488" s="208"/>
    </row>
    <row r="489" spans="1:48" s="205" customFormat="1" ht="15">
      <c r="A489" s="145"/>
      <c r="B489" s="166">
        <v>2183</v>
      </c>
      <c r="C489" s="167">
        <v>116108</v>
      </c>
      <c r="D489" s="166" t="s">
        <v>1053</v>
      </c>
      <c r="E489" s="168" t="s">
        <v>518</v>
      </c>
      <c r="F489" s="166"/>
      <c r="G489" s="168"/>
      <c r="H489" s="168"/>
      <c r="I489" s="168"/>
      <c r="J489" s="168">
        <v>0</v>
      </c>
      <c r="K489" s="168" t="s">
        <v>1261</v>
      </c>
      <c r="L489" s="168"/>
      <c r="M489" s="168"/>
      <c r="N489" s="169">
        <v>41852</v>
      </c>
      <c r="O489" s="169">
        <v>41852</v>
      </c>
      <c r="P489" s="168" t="s">
        <v>1688</v>
      </c>
      <c r="Q489" s="166">
        <v>200</v>
      </c>
      <c r="R489" s="166">
        <v>14110</v>
      </c>
      <c r="S489" s="170">
        <v>1817.83</v>
      </c>
      <c r="T489" s="166">
        <v>14116</v>
      </c>
      <c r="U489" s="170">
        <v>1817.83</v>
      </c>
      <c r="V489" s="170">
        <f t="shared" si="27"/>
        <v>0</v>
      </c>
      <c r="W489" s="171">
        <v>0</v>
      </c>
      <c r="X489" s="166">
        <v>70260</v>
      </c>
      <c r="Y489" s="170">
        <v>0</v>
      </c>
      <c r="Z489" s="168" t="s">
        <v>1053</v>
      </c>
      <c r="AA489" s="168"/>
      <c r="AB489" s="168" t="s">
        <v>1689</v>
      </c>
      <c r="AC489" s="168"/>
      <c r="AD489" s="168" t="s">
        <v>1058</v>
      </c>
      <c r="AE489" s="168" t="s">
        <v>1059</v>
      </c>
      <c r="AF489" s="166" t="s">
        <v>284</v>
      </c>
      <c r="AG489" s="168"/>
      <c r="AH489" s="166" t="s">
        <v>1060</v>
      </c>
      <c r="AI489" s="168">
        <v>0</v>
      </c>
      <c r="AJ489" s="168">
        <v>0</v>
      </c>
      <c r="AP489" s="206"/>
      <c r="AQ489" s="207"/>
      <c r="AR489" s="207"/>
      <c r="AS489" s="207"/>
      <c r="AT489" s="208"/>
      <c r="AU489" s="207"/>
      <c r="AV489" s="208"/>
    </row>
    <row r="490" spans="1:48" s="205" customFormat="1" ht="15">
      <c r="A490" s="145"/>
      <c r="B490" s="166">
        <v>2183</v>
      </c>
      <c r="C490" s="167">
        <v>115427</v>
      </c>
      <c r="D490" s="166" t="s">
        <v>1053</v>
      </c>
      <c r="E490" s="168" t="s">
        <v>1690</v>
      </c>
      <c r="F490" s="166"/>
      <c r="G490" s="168"/>
      <c r="H490" s="168"/>
      <c r="I490" s="168"/>
      <c r="J490" s="168">
        <v>0</v>
      </c>
      <c r="K490" s="168" t="s">
        <v>1691</v>
      </c>
      <c r="L490" s="168"/>
      <c r="M490" s="168"/>
      <c r="N490" s="169">
        <v>41858</v>
      </c>
      <c r="O490" s="169">
        <v>41858</v>
      </c>
      <c r="P490" s="168" t="s">
        <v>1692</v>
      </c>
      <c r="Q490" s="166">
        <v>300</v>
      </c>
      <c r="R490" s="166">
        <v>14110</v>
      </c>
      <c r="S490" s="170">
        <v>3198.54</v>
      </c>
      <c r="T490" s="166">
        <v>14116</v>
      </c>
      <c r="U490" s="170">
        <v>3198.54</v>
      </c>
      <c r="V490" s="170">
        <f t="shared" si="27"/>
        <v>0</v>
      </c>
      <c r="W490" s="171">
        <v>0</v>
      </c>
      <c r="X490" s="166">
        <v>70260</v>
      </c>
      <c r="Y490" s="170">
        <v>0</v>
      </c>
      <c r="Z490" s="168" t="s">
        <v>1053</v>
      </c>
      <c r="AA490" s="168"/>
      <c r="AB490" s="168" t="s">
        <v>1693</v>
      </c>
      <c r="AC490" s="168"/>
      <c r="AD490" s="168" t="s">
        <v>1058</v>
      </c>
      <c r="AE490" s="168" t="s">
        <v>1059</v>
      </c>
      <c r="AF490" s="166" t="s">
        <v>284</v>
      </c>
      <c r="AG490" s="168"/>
      <c r="AH490" s="166" t="s">
        <v>1060</v>
      </c>
      <c r="AI490" s="168">
        <v>0</v>
      </c>
      <c r="AJ490" s="168">
        <v>0</v>
      </c>
      <c r="AP490" s="206"/>
      <c r="AQ490" s="207"/>
      <c r="AR490" s="207"/>
      <c r="AS490" s="207"/>
      <c r="AT490" s="208"/>
      <c r="AU490" s="207"/>
      <c r="AV490" s="208"/>
    </row>
    <row r="491" spans="1:48" s="205" customFormat="1" ht="15">
      <c r="A491" s="145"/>
      <c r="B491" s="166">
        <v>2183</v>
      </c>
      <c r="C491" s="167">
        <v>115104</v>
      </c>
      <c r="D491" s="166" t="s">
        <v>1053</v>
      </c>
      <c r="E491" s="168" t="s">
        <v>820</v>
      </c>
      <c r="F491" s="166">
        <v>637</v>
      </c>
      <c r="G491" s="168"/>
      <c r="H491" s="168"/>
      <c r="I491" s="168"/>
      <c r="J491" s="168">
        <v>0</v>
      </c>
      <c r="K491" s="168" t="s">
        <v>1518</v>
      </c>
      <c r="L491" s="168"/>
      <c r="M491" s="168"/>
      <c r="N491" s="169">
        <v>41838</v>
      </c>
      <c r="O491" s="169">
        <v>41838</v>
      </c>
      <c r="P491" s="168" t="s">
        <v>1694</v>
      </c>
      <c r="Q491" s="166">
        <v>700</v>
      </c>
      <c r="R491" s="166">
        <v>14050</v>
      </c>
      <c r="S491" s="170">
        <v>33464.61</v>
      </c>
      <c r="T491" s="166">
        <v>14056</v>
      </c>
      <c r="U491" s="170">
        <v>33464.61</v>
      </c>
      <c r="V491" s="170">
        <f t="shared" si="27"/>
        <v>0</v>
      </c>
      <c r="W491" s="171">
        <v>2788.71</v>
      </c>
      <c r="X491" s="166">
        <v>54260</v>
      </c>
      <c r="Y491" s="170">
        <v>0</v>
      </c>
      <c r="Z491" s="168" t="s">
        <v>1053</v>
      </c>
      <c r="AA491" s="168"/>
      <c r="AB491" s="168" t="s">
        <v>1695</v>
      </c>
      <c r="AC491" s="168"/>
      <c r="AD491" s="168" t="s">
        <v>1058</v>
      </c>
      <c r="AE491" s="168" t="s">
        <v>1059</v>
      </c>
      <c r="AF491" s="166" t="s">
        <v>284</v>
      </c>
      <c r="AG491" s="168"/>
      <c r="AH491" s="166" t="s">
        <v>1060</v>
      </c>
      <c r="AI491" s="168">
        <v>0</v>
      </c>
      <c r="AJ491" s="168">
        <v>0</v>
      </c>
      <c r="AP491" s="206"/>
      <c r="AQ491" s="207"/>
      <c r="AR491" s="207"/>
      <c r="AS491" s="207"/>
      <c r="AT491" s="208"/>
      <c r="AU491" s="207"/>
      <c r="AV491" s="208"/>
    </row>
    <row r="492" spans="1:48" s="205" customFormat="1" ht="15">
      <c r="A492" s="145"/>
      <c r="B492" s="166">
        <v>2183</v>
      </c>
      <c r="C492" s="167">
        <v>115103</v>
      </c>
      <c r="D492" s="166" t="s">
        <v>1053</v>
      </c>
      <c r="E492" s="168" t="s">
        <v>616</v>
      </c>
      <c r="F492" s="166">
        <v>504</v>
      </c>
      <c r="G492" s="168"/>
      <c r="H492" s="168"/>
      <c r="I492" s="168"/>
      <c r="J492" s="168">
        <v>0</v>
      </c>
      <c r="K492" s="168" t="s">
        <v>1518</v>
      </c>
      <c r="L492" s="168"/>
      <c r="M492" s="168"/>
      <c r="N492" s="169">
        <v>41838</v>
      </c>
      <c r="O492" s="169">
        <v>41838</v>
      </c>
      <c r="P492" s="168" t="s">
        <v>1694</v>
      </c>
      <c r="Q492" s="166">
        <v>700</v>
      </c>
      <c r="R492" s="166">
        <v>14050</v>
      </c>
      <c r="S492" s="170">
        <v>29260.560000000001</v>
      </c>
      <c r="T492" s="166">
        <v>14056</v>
      </c>
      <c r="U492" s="170">
        <v>29260.560000000001</v>
      </c>
      <c r="V492" s="170">
        <f t="shared" si="27"/>
        <v>0</v>
      </c>
      <c r="W492" s="171">
        <v>2438.38</v>
      </c>
      <c r="X492" s="166">
        <v>54260</v>
      </c>
      <c r="Y492" s="170">
        <v>0</v>
      </c>
      <c r="Z492" s="168" t="s">
        <v>1053</v>
      </c>
      <c r="AA492" s="168"/>
      <c r="AB492" s="168" t="s">
        <v>1696</v>
      </c>
      <c r="AC492" s="168"/>
      <c r="AD492" s="168" t="s">
        <v>1058</v>
      </c>
      <c r="AE492" s="168" t="s">
        <v>1059</v>
      </c>
      <c r="AF492" s="166" t="s">
        <v>284</v>
      </c>
      <c r="AG492" s="168"/>
      <c r="AH492" s="166" t="s">
        <v>1060</v>
      </c>
      <c r="AI492" s="168">
        <v>0</v>
      </c>
      <c r="AJ492" s="168">
        <v>0</v>
      </c>
      <c r="AP492" s="206"/>
      <c r="AQ492" s="207"/>
      <c r="AR492" s="207"/>
      <c r="AS492" s="207"/>
      <c r="AT492" s="208"/>
      <c r="AU492" s="207"/>
      <c r="AV492" s="208"/>
    </row>
    <row r="493" spans="1:48" s="205" customFormat="1" ht="15">
      <c r="A493" s="145"/>
      <c r="B493" s="166">
        <v>2183</v>
      </c>
      <c r="C493" s="167">
        <v>115102</v>
      </c>
      <c r="D493" s="166" t="s">
        <v>1053</v>
      </c>
      <c r="E493" s="168" t="s">
        <v>622</v>
      </c>
      <c r="F493" s="166">
        <v>624</v>
      </c>
      <c r="G493" s="168"/>
      <c r="H493" s="168"/>
      <c r="I493" s="168"/>
      <c r="J493" s="168">
        <v>0</v>
      </c>
      <c r="K493" s="168" t="s">
        <v>1518</v>
      </c>
      <c r="L493" s="168"/>
      <c r="M493" s="168"/>
      <c r="N493" s="169">
        <v>41838</v>
      </c>
      <c r="O493" s="169">
        <v>41838</v>
      </c>
      <c r="P493" s="168" t="s">
        <v>1694</v>
      </c>
      <c r="Q493" s="166">
        <v>700</v>
      </c>
      <c r="R493" s="166">
        <v>14050</v>
      </c>
      <c r="S493" s="170">
        <v>36227.360000000001</v>
      </c>
      <c r="T493" s="166">
        <v>14056</v>
      </c>
      <c r="U493" s="170">
        <v>36227.360000000001</v>
      </c>
      <c r="V493" s="170">
        <f t="shared" si="27"/>
        <v>0</v>
      </c>
      <c r="W493" s="171">
        <v>3018.93</v>
      </c>
      <c r="X493" s="166">
        <v>54260</v>
      </c>
      <c r="Y493" s="170">
        <v>0</v>
      </c>
      <c r="Z493" s="168" t="s">
        <v>1053</v>
      </c>
      <c r="AA493" s="168"/>
      <c r="AB493" s="168" t="s">
        <v>1697</v>
      </c>
      <c r="AC493" s="168"/>
      <c r="AD493" s="168" t="s">
        <v>1058</v>
      </c>
      <c r="AE493" s="168" t="s">
        <v>1059</v>
      </c>
      <c r="AF493" s="166" t="s">
        <v>284</v>
      </c>
      <c r="AG493" s="168"/>
      <c r="AH493" s="166" t="s">
        <v>1060</v>
      </c>
      <c r="AI493" s="168">
        <v>0</v>
      </c>
      <c r="AJ493" s="168">
        <v>0</v>
      </c>
      <c r="AP493" s="206"/>
      <c r="AQ493" s="207"/>
      <c r="AR493" s="207"/>
      <c r="AS493" s="207"/>
      <c r="AT493" s="208"/>
      <c r="AU493" s="207"/>
      <c r="AV493" s="208"/>
    </row>
    <row r="494" spans="1:48" s="205" customFormat="1" ht="15">
      <c r="A494" s="145"/>
      <c r="B494" s="166">
        <v>2183</v>
      </c>
      <c r="C494" s="167">
        <v>114309</v>
      </c>
      <c r="D494" s="166" t="s">
        <v>1053</v>
      </c>
      <c r="E494" s="168" t="s">
        <v>1698</v>
      </c>
      <c r="F494" s="166">
        <v>0</v>
      </c>
      <c r="G494" s="168"/>
      <c r="H494" s="168"/>
      <c r="I494" s="168"/>
      <c r="J494" s="168">
        <v>0</v>
      </c>
      <c r="K494" s="168" t="s">
        <v>1120</v>
      </c>
      <c r="L494" s="168"/>
      <c r="M494" s="168"/>
      <c r="N494" s="169">
        <v>41465</v>
      </c>
      <c r="O494" s="169">
        <v>41465</v>
      </c>
      <c r="P494" s="168" t="s">
        <v>1699</v>
      </c>
      <c r="Q494" s="166">
        <v>500</v>
      </c>
      <c r="R494" s="166">
        <v>14070</v>
      </c>
      <c r="S494" s="170">
        <v>6839.73</v>
      </c>
      <c r="T494" s="166">
        <v>14076</v>
      </c>
      <c r="U494" s="170">
        <v>6839.73</v>
      </c>
      <c r="V494" s="170">
        <f t="shared" si="27"/>
        <v>0</v>
      </c>
      <c r="W494" s="171">
        <v>0</v>
      </c>
      <c r="X494" s="166">
        <v>51260</v>
      </c>
      <c r="Y494" s="170">
        <v>0</v>
      </c>
      <c r="Z494" s="168" t="s">
        <v>1053</v>
      </c>
      <c r="AA494" s="168"/>
      <c r="AB494" s="168">
        <v>8330</v>
      </c>
      <c r="AC494" s="168"/>
      <c r="AD494" s="168" t="s">
        <v>1058</v>
      </c>
      <c r="AE494" s="168" t="s">
        <v>1059</v>
      </c>
      <c r="AF494" s="166" t="s">
        <v>284</v>
      </c>
      <c r="AG494" s="216">
        <v>41820</v>
      </c>
      <c r="AH494" s="166" t="s">
        <v>1060</v>
      </c>
      <c r="AI494" s="168">
        <v>0</v>
      </c>
      <c r="AJ494" s="168">
        <v>1367.95</v>
      </c>
      <c r="AP494" s="206"/>
      <c r="AQ494" s="207"/>
      <c r="AR494" s="207"/>
      <c r="AS494" s="207"/>
      <c r="AT494" s="208"/>
      <c r="AU494" s="207"/>
      <c r="AV494" s="208"/>
    </row>
    <row r="495" spans="1:48" s="205" customFormat="1" ht="15">
      <c r="A495" s="145"/>
      <c r="B495" s="166">
        <v>2183</v>
      </c>
      <c r="C495" s="167">
        <v>114308</v>
      </c>
      <c r="D495" s="166">
        <v>114306</v>
      </c>
      <c r="E495" s="168" t="s">
        <v>1700</v>
      </c>
      <c r="F495" s="166">
        <v>0</v>
      </c>
      <c r="G495" s="168"/>
      <c r="H495" s="168"/>
      <c r="I495" s="168"/>
      <c r="J495" s="168">
        <v>0</v>
      </c>
      <c r="K495" s="168"/>
      <c r="L495" s="168"/>
      <c r="M495" s="168" t="s">
        <v>1108</v>
      </c>
      <c r="N495" s="169">
        <v>39639</v>
      </c>
      <c r="O495" s="169">
        <v>39639</v>
      </c>
      <c r="P495" s="168" t="s">
        <v>1701</v>
      </c>
      <c r="Q495" s="166">
        <v>300</v>
      </c>
      <c r="R495" s="166">
        <v>14040</v>
      </c>
      <c r="S495" s="170">
        <v>520</v>
      </c>
      <c r="T495" s="166">
        <v>14046</v>
      </c>
      <c r="U495" s="170">
        <v>520</v>
      </c>
      <c r="V495" s="170">
        <f t="shared" si="27"/>
        <v>0</v>
      </c>
      <c r="W495" s="171">
        <v>0</v>
      </c>
      <c r="X495" s="166">
        <v>51260</v>
      </c>
      <c r="Y495" s="170">
        <v>0</v>
      </c>
      <c r="Z495" s="168" t="s">
        <v>1053</v>
      </c>
      <c r="AA495" s="168"/>
      <c r="AB495" s="168">
        <v>269032</v>
      </c>
      <c r="AC495" s="168"/>
      <c r="AD495" s="168" t="s">
        <v>1058</v>
      </c>
      <c r="AE495" s="168" t="s">
        <v>1059</v>
      </c>
      <c r="AF495" s="166" t="s">
        <v>284</v>
      </c>
      <c r="AG495" s="216">
        <v>41820</v>
      </c>
      <c r="AH495" s="166" t="s">
        <v>1060</v>
      </c>
      <c r="AI495" s="168">
        <v>0</v>
      </c>
      <c r="AJ495" s="168">
        <v>520</v>
      </c>
      <c r="AP495" s="206"/>
      <c r="AQ495" s="207"/>
      <c r="AR495" s="207"/>
      <c r="AS495" s="207"/>
      <c r="AT495" s="208"/>
      <c r="AU495" s="207"/>
      <c r="AV495" s="208"/>
    </row>
    <row r="496" spans="1:48" s="205" customFormat="1" ht="15">
      <c r="A496" s="145"/>
      <c r="B496" s="166">
        <v>2183</v>
      </c>
      <c r="C496" s="167">
        <v>114307</v>
      </c>
      <c r="D496" s="166">
        <v>114306</v>
      </c>
      <c r="E496" s="168" t="s">
        <v>1702</v>
      </c>
      <c r="F496" s="166">
        <v>0</v>
      </c>
      <c r="G496" s="168"/>
      <c r="H496" s="168"/>
      <c r="I496" s="168"/>
      <c r="J496" s="168">
        <v>0</v>
      </c>
      <c r="K496" s="168"/>
      <c r="L496" s="168"/>
      <c r="M496" s="168" t="s">
        <v>1108</v>
      </c>
      <c r="N496" s="169">
        <v>37773</v>
      </c>
      <c r="O496" s="169">
        <v>37773</v>
      </c>
      <c r="P496" s="168" t="s">
        <v>1703</v>
      </c>
      <c r="Q496" s="166">
        <v>500</v>
      </c>
      <c r="R496" s="166">
        <v>14040</v>
      </c>
      <c r="S496" s="170">
        <v>1403.57</v>
      </c>
      <c r="T496" s="166">
        <v>14046</v>
      </c>
      <c r="U496" s="170">
        <v>1403.57</v>
      </c>
      <c r="V496" s="170">
        <f t="shared" si="27"/>
        <v>0</v>
      </c>
      <c r="W496" s="171">
        <v>0</v>
      </c>
      <c r="X496" s="166">
        <v>51260</v>
      </c>
      <c r="Y496" s="170">
        <v>0</v>
      </c>
      <c r="Z496" s="168" t="s">
        <v>1053</v>
      </c>
      <c r="AA496" s="168"/>
      <c r="AB496" s="168">
        <v>3548</v>
      </c>
      <c r="AC496" s="168">
        <v>25</v>
      </c>
      <c r="AD496" s="168" t="s">
        <v>1058</v>
      </c>
      <c r="AE496" s="168" t="s">
        <v>1059</v>
      </c>
      <c r="AF496" s="166" t="s">
        <v>284</v>
      </c>
      <c r="AG496" s="216">
        <v>41820</v>
      </c>
      <c r="AH496" s="166" t="s">
        <v>1060</v>
      </c>
      <c r="AI496" s="168">
        <v>0</v>
      </c>
      <c r="AJ496" s="168">
        <v>1403.57</v>
      </c>
      <c r="AP496" s="206"/>
      <c r="AQ496" s="207"/>
      <c r="AR496" s="207"/>
      <c r="AS496" s="207"/>
      <c r="AT496" s="208"/>
      <c r="AU496" s="207"/>
      <c r="AV496" s="208"/>
    </row>
    <row r="497" spans="1:48" s="205" customFormat="1" ht="15">
      <c r="A497" s="145"/>
      <c r="B497" s="166">
        <v>2183</v>
      </c>
      <c r="C497" s="167">
        <v>114306</v>
      </c>
      <c r="D497" s="166" t="s">
        <v>1053</v>
      </c>
      <c r="E497" s="168" t="s">
        <v>539</v>
      </c>
      <c r="F497" s="166">
        <v>0</v>
      </c>
      <c r="G497" s="168"/>
      <c r="H497" s="168" t="s">
        <v>1704</v>
      </c>
      <c r="I497" s="168"/>
      <c r="J497" s="168">
        <v>2003</v>
      </c>
      <c r="K497" s="168" t="s">
        <v>1463</v>
      </c>
      <c r="L497" s="168" t="s">
        <v>1705</v>
      </c>
      <c r="M497" s="168" t="s">
        <v>1198</v>
      </c>
      <c r="N497" s="169">
        <v>37749</v>
      </c>
      <c r="O497" s="169">
        <v>37749</v>
      </c>
      <c r="P497" s="168" t="s">
        <v>1706</v>
      </c>
      <c r="Q497" s="166">
        <v>1000</v>
      </c>
      <c r="R497" s="166">
        <v>14040</v>
      </c>
      <c r="S497" s="170">
        <v>98919.95</v>
      </c>
      <c r="T497" s="166">
        <v>14046</v>
      </c>
      <c r="U497" s="170">
        <v>98919.95</v>
      </c>
      <c r="V497" s="170">
        <f t="shared" si="27"/>
        <v>0</v>
      </c>
      <c r="W497" s="171">
        <v>0</v>
      </c>
      <c r="X497" s="166">
        <v>51260</v>
      </c>
      <c r="Y497" s="170">
        <v>0</v>
      </c>
      <c r="Z497" s="168" t="s">
        <v>1053</v>
      </c>
      <c r="AA497" s="168"/>
      <c r="AB497" s="168"/>
      <c r="AC497" s="168">
        <v>1038</v>
      </c>
      <c r="AD497" s="168" t="s">
        <v>1058</v>
      </c>
      <c r="AE497" s="168" t="s">
        <v>1059</v>
      </c>
      <c r="AF497" s="166" t="s">
        <v>284</v>
      </c>
      <c r="AG497" s="216">
        <v>41820</v>
      </c>
      <c r="AH497" s="166" t="s">
        <v>1060</v>
      </c>
      <c r="AI497" s="168">
        <v>0</v>
      </c>
      <c r="AJ497" s="168">
        <v>98919.95</v>
      </c>
      <c r="AP497" s="206"/>
      <c r="AQ497" s="207"/>
      <c r="AR497" s="207"/>
      <c r="AS497" s="207"/>
      <c r="AT497" s="208"/>
      <c r="AU497" s="207"/>
      <c r="AV497" s="208"/>
    </row>
    <row r="498" spans="1:48" s="205" customFormat="1" ht="15">
      <c r="A498" s="145"/>
      <c r="B498" s="166">
        <v>2183</v>
      </c>
      <c r="C498" s="167">
        <v>114305</v>
      </c>
      <c r="D498" s="166" t="s">
        <v>1053</v>
      </c>
      <c r="E498" s="168" t="s">
        <v>1707</v>
      </c>
      <c r="F498" s="166">
        <v>0</v>
      </c>
      <c r="G498" s="168"/>
      <c r="H498" s="168"/>
      <c r="I498" s="168"/>
      <c r="J498" s="168">
        <v>0</v>
      </c>
      <c r="K498" s="168" t="s">
        <v>1708</v>
      </c>
      <c r="L498" s="168"/>
      <c r="M498" s="168"/>
      <c r="N498" s="169">
        <v>40933</v>
      </c>
      <c r="O498" s="169">
        <v>40933</v>
      </c>
      <c r="P498" s="168" t="s">
        <v>1709</v>
      </c>
      <c r="Q498" s="166">
        <v>500</v>
      </c>
      <c r="R498" s="166">
        <v>14110</v>
      </c>
      <c r="S498" s="170">
        <v>561.34</v>
      </c>
      <c r="T498" s="166">
        <v>14116</v>
      </c>
      <c r="U498" s="170">
        <v>561.34</v>
      </c>
      <c r="V498" s="170">
        <f t="shared" si="27"/>
        <v>0</v>
      </c>
      <c r="W498" s="171">
        <v>0</v>
      </c>
      <c r="X498" s="166">
        <v>70260</v>
      </c>
      <c r="Y498" s="170">
        <v>0</v>
      </c>
      <c r="Z498" s="168" t="s">
        <v>1053</v>
      </c>
      <c r="AA498" s="168"/>
      <c r="AB498" s="168" t="s">
        <v>1710</v>
      </c>
      <c r="AC498" s="168"/>
      <c r="AD498" s="168" t="s">
        <v>1058</v>
      </c>
      <c r="AE498" s="168" t="s">
        <v>1059</v>
      </c>
      <c r="AF498" s="166" t="s">
        <v>284</v>
      </c>
      <c r="AG498" s="216">
        <v>41820</v>
      </c>
      <c r="AH498" s="166" t="s">
        <v>1060</v>
      </c>
      <c r="AI498" s="168">
        <v>0</v>
      </c>
      <c r="AJ498" s="168">
        <v>271.32</v>
      </c>
      <c r="AP498" s="206"/>
      <c r="AQ498" s="207"/>
      <c r="AR498" s="207"/>
      <c r="AS498" s="207"/>
      <c r="AT498" s="208"/>
      <c r="AU498" s="207"/>
      <c r="AV498" s="208"/>
    </row>
    <row r="499" spans="1:48" s="205" customFormat="1" ht="15">
      <c r="A499" s="145"/>
      <c r="B499" s="166">
        <v>2183</v>
      </c>
      <c r="C499" s="167">
        <v>114304</v>
      </c>
      <c r="D499" s="166" t="s">
        <v>1053</v>
      </c>
      <c r="E499" s="168" t="s">
        <v>1711</v>
      </c>
      <c r="F499" s="166">
        <v>0</v>
      </c>
      <c r="G499" s="168"/>
      <c r="H499" s="168"/>
      <c r="I499" s="168"/>
      <c r="J499" s="168">
        <v>0</v>
      </c>
      <c r="K499" s="168"/>
      <c r="L499" s="168"/>
      <c r="M499" s="168"/>
      <c r="N499" s="169">
        <v>40878</v>
      </c>
      <c r="O499" s="169">
        <v>40878</v>
      </c>
      <c r="P499" s="168" t="s">
        <v>1712</v>
      </c>
      <c r="Q499" s="166">
        <v>500</v>
      </c>
      <c r="R499" s="166">
        <v>14070</v>
      </c>
      <c r="S499" s="170">
        <v>9520.6</v>
      </c>
      <c r="T499" s="166">
        <v>14076</v>
      </c>
      <c r="U499" s="170">
        <v>9520.6</v>
      </c>
      <c r="V499" s="170">
        <f t="shared" si="27"/>
        <v>0</v>
      </c>
      <c r="W499" s="171">
        <v>0</v>
      </c>
      <c r="X499" s="166">
        <v>51260</v>
      </c>
      <c r="Y499" s="170">
        <v>0</v>
      </c>
      <c r="Z499" s="168" t="s">
        <v>1053</v>
      </c>
      <c r="AA499" s="168"/>
      <c r="AB499" s="168" t="s">
        <v>1713</v>
      </c>
      <c r="AC499" s="168"/>
      <c r="AD499" s="168" t="s">
        <v>1058</v>
      </c>
      <c r="AE499" s="168" t="s">
        <v>1059</v>
      </c>
      <c r="AF499" s="166" t="s">
        <v>284</v>
      </c>
      <c r="AG499" s="216">
        <v>41820</v>
      </c>
      <c r="AH499" s="166" t="s">
        <v>1060</v>
      </c>
      <c r="AI499" s="168">
        <v>0</v>
      </c>
      <c r="AJ499" s="168">
        <v>4918.9799999999996</v>
      </c>
      <c r="AP499" s="206"/>
      <c r="AQ499" s="207"/>
      <c r="AR499" s="207"/>
      <c r="AS499" s="207"/>
      <c r="AT499" s="208"/>
      <c r="AU499" s="207"/>
      <c r="AV499" s="208"/>
    </row>
    <row r="500" spans="1:48" s="205" customFormat="1" ht="15">
      <c r="A500" s="145"/>
      <c r="B500" s="166">
        <v>2183</v>
      </c>
      <c r="C500" s="167">
        <v>114303</v>
      </c>
      <c r="D500" s="166" t="s">
        <v>1053</v>
      </c>
      <c r="E500" s="168" t="s">
        <v>1714</v>
      </c>
      <c r="F500" s="166">
        <v>0</v>
      </c>
      <c r="G500" s="168"/>
      <c r="H500" s="168" t="s">
        <v>1715</v>
      </c>
      <c r="I500" s="168"/>
      <c r="J500" s="168">
        <v>1997</v>
      </c>
      <c r="K500" s="168" t="s">
        <v>1716</v>
      </c>
      <c r="L500" s="168" t="s">
        <v>1413</v>
      </c>
      <c r="M500" s="168" t="s">
        <v>1198</v>
      </c>
      <c r="N500" s="169">
        <v>39755</v>
      </c>
      <c r="O500" s="169">
        <v>39755</v>
      </c>
      <c r="P500" s="168"/>
      <c r="Q500" s="166">
        <v>300</v>
      </c>
      <c r="R500" s="166">
        <v>14040</v>
      </c>
      <c r="S500" s="170">
        <v>5500</v>
      </c>
      <c r="T500" s="166">
        <v>14046</v>
      </c>
      <c r="U500" s="170">
        <v>5500</v>
      </c>
      <c r="V500" s="170">
        <f t="shared" si="27"/>
        <v>0</v>
      </c>
      <c r="W500" s="171">
        <v>0</v>
      </c>
      <c r="X500" s="166">
        <v>51260</v>
      </c>
      <c r="Y500" s="170">
        <v>0</v>
      </c>
      <c r="Z500" s="168" t="s">
        <v>1059</v>
      </c>
      <c r="AA500" s="168" t="s">
        <v>1140</v>
      </c>
      <c r="AB500" s="168"/>
      <c r="AC500" s="168">
        <v>1014</v>
      </c>
      <c r="AD500" s="168" t="s">
        <v>1058</v>
      </c>
      <c r="AE500" s="168" t="s">
        <v>1059</v>
      </c>
      <c r="AF500" s="166" t="s">
        <v>284</v>
      </c>
      <c r="AG500" s="216">
        <v>41820</v>
      </c>
      <c r="AH500" s="166" t="s">
        <v>1060</v>
      </c>
      <c r="AI500" s="168">
        <v>0</v>
      </c>
      <c r="AJ500" s="168">
        <v>5500</v>
      </c>
      <c r="AP500" s="206"/>
      <c r="AQ500" s="207"/>
      <c r="AR500" s="207"/>
      <c r="AS500" s="207"/>
      <c r="AT500" s="208"/>
      <c r="AU500" s="207"/>
      <c r="AV500" s="208"/>
    </row>
    <row r="501" spans="1:48" s="205" customFormat="1" ht="15">
      <c r="A501" s="145"/>
      <c r="B501" s="166">
        <v>2183</v>
      </c>
      <c r="C501" s="167">
        <v>114302</v>
      </c>
      <c r="D501" s="166" t="s">
        <v>1053</v>
      </c>
      <c r="E501" s="168" t="s">
        <v>1717</v>
      </c>
      <c r="F501" s="166">
        <v>134</v>
      </c>
      <c r="G501" s="168"/>
      <c r="H501" s="168"/>
      <c r="I501" s="168"/>
      <c r="J501" s="168">
        <v>0</v>
      </c>
      <c r="K501" s="168" t="s">
        <v>1718</v>
      </c>
      <c r="L501" s="168"/>
      <c r="M501" s="168"/>
      <c r="N501" s="169">
        <v>40750</v>
      </c>
      <c r="O501" s="169">
        <v>40750</v>
      </c>
      <c r="P501" s="168" t="s">
        <v>1719</v>
      </c>
      <c r="Q501" s="166">
        <v>700</v>
      </c>
      <c r="R501" s="166">
        <v>14050</v>
      </c>
      <c r="S501" s="170">
        <v>7370.3</v>
      </c>
      <c r="T501" s="166">
        <v>14056</v>
      </c>
      <c r="U501" s="170">
        <v>7370.3</v>
      </c>
      <c r="V501" s="170">
        <f t="shared" si="27"/>
        <v>0</v>
      </c>
      <c r="W501" s="171">
        <v>0</v>
      </c>
      <c r="X501" s="166">
        <v>54260</v>
      </c>
      <c r="Y501" s="170">
        <v>0</v>
      </c>
      <c r="Z501" s="168" t="s">
        <v>1053</v>
      </c>
      <c r="AA501" s="168"/>
      <c r="AB501" s="168" t="s">
        <v>1720</v>
      </c>
      <c r="AC501" s="168"/>
      <c r="AD501" s="168" t="s">
        <v>1058</v>
      </c>
      <c r="AE501" s="168" t="s">
        <v>1059</v>
      </c>
      <c r="AF501" s="166" t="s">
        <v>284</v>
      </c>
      <c r="AG501" s="216">
        <v>41820</v>
      </c>
      <c r="AH501" s="166" t="s">
        <v>1060</v>
      </c>
      <c r="AI501" s="168">
        <v>0</v>
      </c>
      <c r="AJ501" s="168">
        <v>3070.96</v>
      </c>
      <c r="AP501" s="206"/>
      <c r="AQ501" s="207"/>
      <c r="AR501" s="207"/>
      <c r="AS501" s="207"/>
      <c r="AT501" s="208"/>
      <c r="AU501" s="207"/>
      <c r="AV501" s="208"/>
    </row>
    <row r="502" spans="1:48" s="205" customFormat="1" ht="15">
      <c r="A502" s="145"/>
      <c r="B502" s="166">
        <v>2183</v>
      </c>
      <c r="C502" s="167">
        <v>114301</v>
      </c>
      <c r="D502" s="166" t="s">
        <v>1053</v>
      </c>
      <c r="E502" s="168" t="s">
        <v>1721</v>
      </c>
      <c r="F502" s="166">
        <v>55</v>
      </c>
      <c r="G502" s="168"/>
      <c r="H502" s="168"/>
      <c r="I502" s="168"/>
      <c r="J502" s="168">
        <v>0</v>
      </c>
      <c r="K502" s="168" t="s">
        <v>1718</v>
      </c>
      <c r="L502" s="168"/>
      <c r="M502" s="168"/>
      <c r="N502" s="169">
        <v>40750</v>
      </c>
      <c r="O502" s="169">
        <v>40750</v>
      </c>
      <c r="P502" s="168" t="s">
        <v>1719</v>
      </c>
      <c r="Q502" s="166">
        <v>700</v>
      </c>
      <c r="R502" s="166">
        <v>14050</v>
      </c>
      <c r="S502" s="170">
        <v>3921.9</v>
      </c>
      <c r="T502" s="166">
        <v>14056</v>
      </c>
      <c r="U502" s="170">
        <v>3921.9</v>
      </c>
      <c r="V502" s="170">
        <f t="shared" si="27"/>
        <v>0</v>
      </c>
      <c r="W502" s="171">
        <v>0</v>
      </c>
      <c r="X502" s="166">
        <v>54260</v>
      </c>
      <c r="Y502" s="170">
        <v>0</v>
      </c>
      <c r="Z502" s="168" t="s">
        <v>1053</v>
      </c>
      <c r="AA502" s="168"/>
      <c r="AB502" s="168" t="s">
        <v>1722</v>
      </c>
      <c r="AC502" s="168"/>
      <c r="AD502" s="168" t="s">
        <v>1058</v>
      </c>
      <c r="AE502" s="168" t="s">
        <v>1059</v>
      </c>
      <c r="AF502" s="166" t="s">
        <v>284</v>
      </c>
      <c r="AG502" s="216">
        <v>41820</v>
      </c>
      <c r="AH502" s="166" t="s">
        <v>1060</v>
      </c>
      <c r="AI502" s="168">
        <v>0</v>
      </c>
      <c r="AJ502" s="168">
        <v>1634.13</v>
      </c>
      <c r="AP502" s="206"/>
      <c r="AQ502" s="207"/>
      <c r="AR502" s="207"/>
      <c r="AS502" s="207"/>
      <c r="AT502" s="208"/>
      <c r="AU502" s="207"/>
      <c r="AV502" s="208"/>
    </row>
    <row r="503" spans="1:48" s="205" customFormat="1" ht="15">
      <c r="A503" s="145"/>
      <c r="B503" s="166">
        <v>2183</v>
      </c>
      <c r="C503" s="167">
        <v>114300</v>
      </c>
      <c r="D503" s="166" t="s">
        <v>1053</v>
      </c>
      <c r="E503" s="168" t="s">
        <v>1723</v>
      </c>
      <c r="F503" s="166">
        <v>178</v>
      </c>
      <c r="G503" s="168"/>
      <c r="H503" s="168"/>
      <c r="I503" s="168"/>
      <c r="J503" s="168">
        <v>0</v>
      </c>
      <c r="K503" s="168" t="s">
        <v>1718</v>
      </c>
      <c r="L503" s="168"/>
      <c r="M503" s="168"/>
      <c r="N503" s="169">
        <v>40750</v>
      </c>
      <c r="O503" s="169">
        <v>40750</v>
      </c>
      <c r="P503" s="168" t="s">
        <v>1719</v>
      </c>
      <c r="Q503" s="166">
        <v>700</v>
      </c>
      <c r="R503" s="166">
        <v>14050</v>
      </c>
      <c r="S503" s="170">
        <v>8660.43</v>
      </c>
      <c r="T503" s="166">
        <v>14056</v>
      </c>
      <c r="U503" s="170">
        <v>8660.43</v>
      </c>
      <c r="V503" s="170">
        <f t="shared" si="27"/>
        <v>0</v>
      </c>
      <c r="W503" s="171">
        <v>0</v>
      </c>
      <c r="X503" s="166">
        <v>54260</v>
      </c>
      <c r="Y503" s="170">
        <v>0</v>
      </c>
      <c r="Z503" s="168" t="s">
        <v>1053</v>
      </c>
      <c r="AA503" s="168"/>
      <c r="AB503" s="168" t="s">
        <v>1724</v>
      </c>
      <c r="AC503" s="168"/>
      <c r="AD503" s="168" t="s">
        <v>1058</v>
      </c>
      <c r="AE503" s="168" t="s">
        <v>1059</v>
      </c>
      <c r="AF503" s="166" t="s">
        <v>284</v>
      </c>
      <c r="AG503" s="216">
        <v>41820</v>
      </c>
      <c r="AH503" s="166" t="s">
        <v>1060</v>
      </c>
      <c r="AI503" s="168">
        <v>0</v>
      </c>
      <c r="AJ503" s="168">
        <v>3608.53</v>
      </c>
      <c r="AP503" s="206"/>
      <c r="AQ503" s="207"/>
      <c r="AR503" s="207"/>
      <c r="AS503" s="207"/>
      <c r="AT503" s="208"/>
      <c r="AU503" s="207"/>
      <c r="AV503" s="208"/>
    </row>
    <row r="504" spans="1:48" s="205" customFormat="1" ht="15">
      <c r="A504" s="145"/>
      <c r="B504" s="166">
        <v>2183</v>
      </c>
      <c r="C504" s="167">
        <v>114299</v>
      </c>
      <c r="D504" s="166" t="s">
        <v>1053</v>
      </c>
      <c r="E504" s="168" t="s">
        <v>1725</v>
      </c>
      <c r="F504" s="166">
        <v>0</v>
      </c>
      <c r="G504" s="168"/>
      <c r="H504" s="168"/>
      <c r="I504" s="168"/>
      <c r="J504" s="168">
        <v>0</v>
      </c>
      <c r="K504" s="168" t="s">
        <v>1261</v>
      </c>
      <c r="L504" s="168"/>
      <c r="M504" s="168"/>
      <c r="N504" s="169">
        <v>40724</v>
      </c>
      <c r="O504" s="169">
        <v>40724</v>
      </c>
      <c r="P504" s="168" t="s">
        <v>1726</v>
      </c>
      <c r="Q504" s="166">
        <v>300</v>
      </c>
      <c r="R504" s="166">
        <v>14110</v>
      </c>
      <c r="S504" s="170">
        <v>535.20000000000005</v>
      </c>
      <c r="T504" s="166">
        <v>14116</v>
      </c>
      <c r="U504" s="170">
        <v>535.20000000000005</v>
      </c>
      <c r="V504" s="170">
        <f t="shared" si="27"/>
        <v>0</v>
      </c>
      <c r="W504" s="171">
        <v>0</v>
      </c>
      <c r="X504" s="166">
        <v>70260</v>
      </c>
      <c r="Y504" s="170">
        <v>0</v>
      </c>
      <c r="Z504" s="168" t="s">
        <v>1053</v>
      </c>
      <c r="AA504" s="168"/>
      <c r="AB504" s="168" t="s">
        <v>1727</v>
      </c>
      <c r="AC504" s="168"/>
      <c r="AD504" s="168" t="s">
        <v>1058</v>
      </c>
      <c r="AE504" s="168" t="s">
        <v>1059</v>
      </c>
      <c r="AF504" s="166" t="s">
        <v>284</v>
      </c>
      <c r="AG504" s="216">
        <v>41820</v>
      </c>
      <c r="AH504" s="166" t="s">
        <v>1060</v>
      </c>
      <c r="AI504" s="168">
        <v>0</v>
      </c>
      <c r="AJ504" s="168">
        <v>535.20000000000005</v>
      </c>
      <c r="AP504" s="206"/>
      <c r="AQ504" s="207"/>
      <c r="AR504" s="207"/>
      <c r="AS504" s="207"/>
      <c r="AT504" s="208"/>
      <c r="AU504" s="207"/>
      <c r="AV504" s="208"/>
    </row>
    <row r="505" spans="1:48" s="205" customFormat="1" ht="15">
      <c r="A505" s="145"/>
      <c r="B505" s="166">
        <v>2183</v>
      </c>
      <c r="C505" s="167">
        <v>114298</v>
      </c>
      <c r="D505" s="166" t="s">
        <v>1053</v>
      </c>
      <c r="E505" s="168" t="s">
        <v>1728</v>
      </c>
      <c r="F505" s="166">
        <v>0</v>
      </c>
      <c r="G505" s="168"/>
      <c r="H505" s="168"/>
      <c r="I505" s="168"/>
      <c r="J505" s="168">
        <v>0</v>
      </c>
      <c r="K505" s="168" t="s">
        <v>1261</v>
      </c>
      <c r="L505" s="168"/>
      <c r="M505" s="168"/>
      <c r="N505" s="169">
        <v>40724</v>
      </c>
      <c r="O505" s="169">
        <v>40724</v>
      </c>
      <c r="P505" s="168" t="s">
        <v>1729</v>
      </c>
      <c r="Q505" s="166">
        <v>300</v>
      </c>
      <c r="R505" s="166">
        <v>14110</v>
      </c>
      <c r="S505" s="170">
        <v>535.20000000000005</v>
      </c>
      <c r="T505" s="166">
        <v>14116</v>
      </c>
      <c r="U505" s="170">
        <v>535.20000000000005</v>
      </c>
      <c r="V505" s="170">
        <f t="shared" si="27"/>
        <v>0</v>
      </c>
      <c r="W505" s="171">
        <v>0</v>
      </c>
      <c r="X505" s="166">
        <v>70260</v>
      </c>
      <c r="Y505" s="170">
        <v>0</v>
      </c>
      <c r="Z505" s="168" t="s">
        <v>1053</v>
      </c>
      <c r="AA505" s="168"/>
      <c r="AB505" s="168" t="s">
        <v>1730</v>
      </c>
      <c r="AC505" s="168"/>
      <c r="AD505" s="168" t="s">
        <v>1058</v>
      </c>
      <c r="AE505" s="168" t="s">
        <v>1059</v>
      </c>
      <c r="AF505" s="166" t="s">
        <v>284</v>
      </c>
      <c r="AG505" s="216">
        <v>41820</v>
      </c>
      <c r="AH505" s="166" t="s">
        <v>1060</v>
      </c>
      <c r="AI505" s="168">
        <v>0</v>
      </c>
      <c r="AJ505" s="168">
        <v>535.20000000000005</v>
      </c>
      <c r="AP505" s="206"/>
      <c r="AQ505" s="207"/>
      <c r="AR505" s="207"/>
      <c r="AS505" s="207"/>
      <c r="AT505" s="208"/>
      <c r="AU505" s="207"/>
      <c r="AV505" s="208"/>
    </row>
    <row r="506" spans="1:48" s="205" customFormat="1" ht="15">
      <c r="A506" s="145"/>
      <c r="B506" s="166">
        <v>2183</v>
      </c>
      <c r="C506" s="167">
        <v>114297</v>
      </c>
      <c r="D506" s="166" t="s">
        <v>1053</v>
      </c>
      <c r="E506" s="168" t="s">
        <v>1731</v>
      </c>
      <c r="F506" s="166">
        <v>212</v>
      </c>
      <c r="G506" s="168"/>
      <c r="H506" s="168"/>
      <c r="I506" s="168"/>
      <c r="J506" s="168">
        <v>0</v>
      </c>
      <c r="K506" s="168" t="s">
        <v>1718</v>
      </c>
      <c r="L506" s="168"/>
      <c r="M506" s="168"/>
      <c r="N506" s="169">
        <v>40725</v>
      </c>
      <c r="O506" s="169">
        <v>40725</v>
      </c>
      <c r="P506" s="168" t="s">
        <v>1719</v>
      </c>
      <c r="Q506" s="166">
        <v>700</v>
      </c>
      <c r="R506" s="166">
        <v>14050</v>
      </c>
      <c r="S506" s="170">
        <v>11660.46</v>
      </c>
      <c r="T506" s="166">
        <v>14056</v>
      </c>
      <c r="U506" s="170">
        <v>11660.46</v>
      </c>
      <c r="V506" s="170">
        <f t="shared" si="27"/>
        <v>0</v>
      </c>
      <c r="W506" s="171">
        <v>0</v>
      </c>
      <c r="X506" s="166">
        <v>54260</v>
      </c>
      <c r="Y506" s="170">
        <v>0</v>
      </c>
      <c r="Z506" s="168" t="s">
        <v>1053</v>
      </c>
      <c r="AA506" s="168"/>
      <c r="AB506" s="168" t="s">
        <v>1732</v>
      </c>
      <c r="AC506" s="168"/>
      <c r="AD506" s="168" t="s">
        <v>1058</v>
      </c>
      <c r="AE506" s="168" t="s">
        <v>1059</v>
      </c>
      <c r="AF506" s="166" t="s">
        <v>284</v>
      </c>
      <c r="AG506" s="216">
        <v>41820</v>
      </c>
      <c r="AH506" s="166" t="s">
        <v>1060</v>
      </c>
      <c r="AI506" s="168">
        <v>0</v>
      </c>
      <c r="AJ506" s="168">
        <v>4997.34</v>
      </c>
      <c r="AP506" s="206"/>
      <c r="AQ506" s="207"/>
      <c r="AR506" s="207"/>
      <c r="AS506" s="207"/>
      <c r="AT506" s="208"/>
      <c r="AU506" s="207"/>
      <c r="AV506" s="208"/>
    </row>
    <row r="507" spans="1:48" s="205" customFormat="1" ht="15">
      <c r="A507" s="145"/>
      <c r="B507" s="166">
        <v>2183</v>
      </c>
      <c r="C507" s="167">
        <v>114295</v>
      </c>
      <c r="D507" s="166" t="s">
        <v>1053</v>
      </c>
      <c r="E507" s="168" t="s">
        <v>1733</v>
      </c>
      <c r="F507" s="166">
        <v>3</v>
      </c>
      <c r="G507" s="168"/>
      <c r="H507" s="168"/>
      <c r="I507" s="168"/>
      <c r="J507" s="168">
        <v>0</v>
      </c>
      <c r="K507" s="168"/>
      <c r="L507" s="168"/>
      <c r="M507" s="168" t="s">
        <v>1434</v>
      </c>
      <c r="N507" s="169">
        <v>39755</v>
      </c>
      <c r="O507" s="169">
        <v>39755</v>
      </c>
      <c r="P507" s="168"/>
      <c r="Q507" s="166">
        <v>700</v>
      </c>
      <c r="R507" s="166">
        <v>14050</v>
      </c>
      <c r="S507" s="170">
        <v>13500</v>
      </c>
      <c r="T507" s="166">
        <v>14056</v>
      </c>
      <c r="U507" s="170">
        <v>13500</v>
      </c>
      <c r="V507" s="170">
        <f t="shared" si="27"/>
        <v>0</v>
      </c>
      <c r="W507" s="171">
        <v>0</v>
      </c>
      <c r="X507" s="166">
        <v>54260</v>
      </c>
      <c r="Y507" s="170">
        <v>0</v>
      </c>
      <c r="Z507" s="168" t="s">
        <v>1059</v>
      </c>
      <c r="AA507" s="168" t="s">
        <v>1140</v>
      </c>
      <c r="AB507" s="168"/>
      <c r="AC507" s="168"/>
      <c r="AD507" s="168" t="s">
        <v>1058</v>
      </c>
      <c r="AE507" s="168" t="s">
        <v>1059</v>
      </c>
      <c r="AF507" s="166" t="s">
        <v>284</v>
      </c>
      <c r="AG507" s="216">
        <v>41820</v>
      </c>
      <c r="AH507" s="166" t="s">
        <v>1060</v>
      </c>
      <c r="AI507" s="168">
        <v>0</v>
      </c>
      <c r="AJ507" s="168">
        <v>10928.57</v>
      </c>
      <c r="AP507" s="206"/>
      <c r="AQ507" s="207"/>
      <c r="AR507" s="207"/>
      <c r="AS507" s="207"/>
      <c r="AT507" s="208"/>
      <c r="AU507" s="207"/>
      <c r="AV507" s="208"/>
    </row>
    <row r="508" spans="1:48" s="205" customFormat="1" ht="15">
      <c r="A508" s="145"/>
      <c r="B508" s="166">
        <v>2183</v>
      </c>
      <c r="C508" s="167">
        <v>114292</v>
      </c>
      <c r="D508" s="166" t="s">
        <v>1053</v>
      </c>
      <c r="E508" s="168" t="s">
        <v>1734</v>
      </c>
      <c r="F508" s="166">
        <v>6</v>
      </c>
      <c r="G508" s="168"/>
      <c r="H508" s="168"/>
      <c r="I508" s="168"/>
      <c r="J508" s="168">
        <v>0</v>
      </c>
      <c r="K508" s="168"/>
      <c r="L508" s="168"/>
      <c r="M508" s="168" t="s">
        <v>1353</v>
      </c>
      <c r="N508" s="169">
        <v>39755</v>
      </c>
      <c r="O508" s="169">
        <v>39755</v>
      </c>
      <c r="P508" s="168"/>
      <c r="Q508" s="166">
        <v>700</v>
      </c>
      <c r="R508" s="166">
        <v>14050</v>
      </c>
      <c r="S508" s="170">
        <v>117000</v>
      </c>
      <c r="T508" s="166">
        <v>14056</v>
      </c>
      <c r="U508" s="170">
        <v>117000</v>
      </c>
      <c r="V508" s="170">
        <f t="shared" si="27"/>
        <v>0</v>
      </c>
      <c r="W508" s="171">
        <v>0</v>
      </c>
      <c r="X508" s="166">
        <v>54260</v>
      </c>
      <c r="Y508" s="170">
        <v>0</v>
      </c>
      <c r="Z508" s="168" t="s">
        <v>1059</v>
      </c>
      <c r="AA508" s="168" t="s">
        <v>1140</v>
      </c>
      <c r="AB508" s="168"/>
      <c r="AC508" s="168"/>
      <c r="AD508" s="168" t="s">
        <v>1058</v>
      </c>
      <c r="AE508" s="168" t="s">
        <v>1059</v>
      </c>
      <c r="AF508" s="166" t="s">
        <v>284</v>
      </c>
      <c r="AG508" s="216">
        <v>41820</v>
      </c>
      <c r="AH508" s="166" t="s">
        <v>1060</v>
      </c>
      <c r="AI508" s="168">
        <v>0</v>
      </c>
      <c r="AJ508" s="168">
        <v>94714.31</v>
      </c>
      <c r="AP508" s="206"/>
      <c r="AQ508" s="207"/>
      <c r="AR508" s="207"/>
      <c r="AS508" s="207"/>
      <c r="AT508" s="208"/>
      <c r="AU508" s="207"/>
      <c r="AV508" s="208"/>
    </row>
    <row r="509" spans="1:48" s="205" customFormat="1" ht="15">
      <c r="A509" s="145"/>
      <c r="B509" s="166">
        <v>2183</v>
      </c>
      <c r="C509" s="167">
        <v>114291</v>
      </c>
      <c r="D509" s="166" t="s">
        <v>1053</v>
      </c>
      <c r="E509" s="168" t="s">
        <v>1325</v>
      </c>
      <c r="F509" s="166">
        <v>39</v>
      </c>
      <c r="G509" s="168"/>
      <c r="H509" s="168"/>
      <c r="I509" s="168"/>
      <c r="J509" s="168">
        <v>0</v>
      </c>
      <c r="K509" s="168"/>
      <c r="L509" s="168"/>
      <c r="M509" s="168" t="s">
        <v>1207</v>
      </c>
      <c r="N509" s="169">
        <v>39755</v>
      </c>
      <c r="O509" s="169">
        <v>39755</v>
      </c>
      <c r="P509" s="168"/>
      <c r="Q509" s="166">
        <v>700</v>
      </c>
      <c r="R509" s="166">
        <v>14050</v>
      </c>
      <c r="S509" s="170">
        <v>1959.28</v>
      </c>
      <c r="T509" s="166">
        <v>14056</v>
      </c>
      <c r="U509" s="170">
        <v>1959.28</v>
      </c>
      <c r="V509" s="170">
        <f t="shared" si="27"/>
        <v>0</v>
      </c>
      <c r="W509" s="171">
        <v>0</v>
      </c>
      <c r="X509" s="166">
        <v>54260</v>
      </c>
      <c r="Y509" s="170">
        <v>0</v>
      </c>
      <c r="Z509" s="168" t="s">
        <v>1059</v>
      </c>
      <c r="AA509" s="168" t="s">
        <v>1140</v>
      </c>
      <c r="AB509" s="168"/>
      <c r="AC509" s="168"/>
      <c r="AD509" s="168" t="s">
        <v>1058</v>
      </c>
      <c r="AE509" s="168" t="s">
        <v>1059</v>
      </c>
      <c r="AF509" s="166" t="s">
        <v>284</v>
      </c>
      <c r="AG509" s="216">
        <v>44104</v>
      </c>
      <c r="AH509" s="166" t="s">
        <v>1060</v>
      </c>
      <c r="AI509" s="168">
        <v>8</v>
      </c>
      <c r="AJ509" s="168">
        <v>1959.28</v>
      </c>
      <c r="AP509" s="206"/>
      <c r="AQ509" s="207"/>
      <c r="AR509" s="207"/>
      <c r="AS509" s="207"/>
      <c r="AT509" s="208"/>
      <c r="AU509" s="207"/>
      <c r="AV509" s="208"/>
    </row>
    <row r="510" spans="1:48" s="205" customFormat="1" ht="15">
      <c r="A510" s="145"/>
      <c r="B510" s="166">
        <v>2183</v>
      </c>
      <c r="C510" s="167">
        <v>114290</v>
      </c>
      <c r="D510" s="166" t="s">
        <v>1053</v>
      </c>
      <c r="E510" s="168" t="s">
        <v>1735</v>
      </c>
      <c r="F510" s="166">
        <v>0</v>
      </c>
      <c r="G510" s="168"/>
      <c r="H510" s="168" t="s">
        <v>1736</v>
      </c>
      <c r="I510" s="168"/>
      <c r="J510" s="168">
        <v>2006</v>
      </c>
      <c r="K510" s="168" t="s">
        <v>1253</v>
      </c>
      <c r="L510" s="168" t="s">
        <v>1593</v>
      </c>
      <c r="M510" s="168" t="s">
        <v>1254</v>
      </c>
      <c r="N510" s="169">
        <v>40666</v>
      </c>
      <c r="O510" s="169">
        <v>40666</v>
      </c>
      <c r="P510" s="168" t="s">
        <v>1737</v>
      </c>
      <c r="Q510" s="166">
        <v>300</v>
      </c>
      <c r="R510" s="166">
        <v>14040</v>
      </c>
      <c r="S510" s="170">
        <v>22311.09</v>
      </c>
      <c r="T510" s="166">
        <v>14046</v>
      </c>
      <c r="U510" s="170">
        <v>22311.09</v>
      </c>
      <c r="V510" s="170">
        <f t="shared" si="27"/>
        <v>0</v>
      </c>
      <c r="W510" s="171">
        <v>0</v>
      </c>
      <c r="X510" s="166">
        <v>51260</v>
      </c>
      <c r="Y510" s="170">
        <v>0</v>
      </c>
      <c r="Z510" s="168" t="s">
        <v>1053</v>
      </c>
      <c r="AA510" s="168"/>
      <c r="AB510" s="168">
        <v>1503827</v>
      </c>
      <c r="AC510" s="168">
        <v>6047</v>
      </c>
      <c r="AD510" s="168" t="s">
        <v>1058</v>
      </c>
      <c r="AE510" s="168" t="s">
        <v>1059</v>
      </c>
      <c r="AF510" s="166" t="s">
        <v>284</v>
      </c>
      <c r="AG510" s="216">
        <v>41820</v>
      </c>
      <c r="AH510" s="166" t="s">
        <v>1060</v>
      </c>
      <c r="AI510" s="168">
        <v>0</v>
      </c>
      <c r="AJ510" s="168">
        <v>22311.09</v>
      </c>
      <c r="AP510" s="206"/>
      <c r="AQ510" s="207"/>
      <c r="AR510" s="207"/>
      <c r="AS510" s="207"/>
      <c r="AT510" s="208"/>
      <c r="AU510" s="207"/>
      <c r="AV510" s="208"/>
    </row>
    <row r="511" spans="1:48" s="205" customFormat="1" ht="15">
      <c r="A511" s="145"/>
      <c r="B511" s="166">
        <v>2183</v>
      </c>
      <c r="C511" s="167">
        <v>114288</v>
      </c>
      <c r="D511" s="166" t="s">
        <v>1053</v>
      </c>
      <c r="E511" s="168" t="s">
        <v>1738</v>
      </c>
      <c r="F511" s="166">
        <v>0</v>
      </c>
      <c r="G511" s="168"/>
      <c r="H511" s="168"/>
      <c r="I511" s="168"/>
      <c r="J511" s="168">
        <v>0</v>
      </c>
      <c r="K511" s="168" t="s">
        <v>790</v>
      </c>
      <c r="L511" s="168"/>
      <c r="M511" s="168"/>
      <c r="N511" s="169">
        <v>40025</v>
      </c>
      <c r="O511" s="169">
        <v>40025</v>
      </c>
      <c r="P511" s="168" t="s">
        <v>1739</v>
      </c>
      <c r="Q511" s="166">
        <v>500</v>
      </c>
      <c r="R511" s="166">
        <v>14070</v>
      </c>
      <c r="S511" s="170">
        <v>8065.49</v>
      </c>
      <c r="T511" s="166">
        <v>14076</v>
      </c>
      <c r="U511" s="170">
        <v>8065.49</v>
      </c>
      <c r="V511" s="170">
        <f t="shared" si="27"/>
        <v>0</v>
      </c>
      <c r="W511" s="171">
        <v>0</v>
      </c>
      <c r="X511" s="166">
        <v>51260</v>
      </c>
      <c r="Y511" s="170">
        <v>0</v>
      </c>
      <c r="Z511" s="168" t="s">
        <v>1053</v>
      </c>
      <c r="AA511" s="168"/>
      <c r="AB511" s="168" t="s">
        <v>1740</v>
      </c>
      <c r="AC511" s="168"/>
      <c r="AD511" s="168" t="s">
        <v>1058</v>
      </c>
      <c r="AE511" s="168" t="s">
        <v>1059</v>
      </c>
      <c r="AF511" s="166" t="s">
        <v>284</v>
      </c>
      <c r="AG511" s="216">
        <v>41820</v>
      </c>
      <c r="AH511" s="166" t="s">
        <v>1060</v>
      </c>
      <c r="AI511" s="168">
        <v>0</v>
      </c>
      <c r="AJ511" s="168">
        <v>7931.07</v>
      </c>
      <c r="AP511" s="206"/>
      <c r="AQ511" s="207"/>
      <c r="AR511" s="207"/>
      <c r="AS511" s="207"/>
      <c r="AT511" s="208"/>
      <c r="AU511" s="207"/>
      <c r="AV511" s="208"/>
    </row>
    <row r="512" spans="1:48" s="205" customFormat="1" ht="15">
      <c r="A512" s="145"/>
      <c r="B512" s="166">
        <v>2183</v>
      </c>
      <c r="C512" s="167">
        <v>114287</v>
      </c>
      <c r="D512" s="166" t="s">
        <v>1053</v>
      </c>
      <c r="E512" s="168" t="s">
        <v>1741</v>
      </c>
      <c r="F512" s="166">
        <v>0</v>
      </c>
      <c r="G512" s="168"/>
      <c r="H512" s="168"/>
      <c r="I512" s="168"/>
      <c r="J512" s="168">
        <v>0</v>
      </c>
      <c r="K512" s="168" t="s">
        <v>790</v>
      </c>
      <c r="L512" s="168"/>
      <c r="M512" s="168"/>
      <c r="N512" s="169">
        <v>39994</v>
      </c>
      <c r="O512" s="169">
        <v>39994</v>
      </c>
      <c r="P512" s="168" t="s">
        <v>1739</v>
      </c>
      <c r="Q512" s="166">
        <v>500</v>
      </c>
      <c r="R512" s="166">
        <v>14070</v>
      </c>
      <c r="S512" s="170">
        <v>25464.65</v>
      </c>
      <c r="T512" s="166">
        <v>14076</v>
      </c>
      <c r="U512" s="170">
        <v>25464.65</v>
      </c>
      <c r="V512" s="170">
        <f t="shared" si="27"/>
        <v>0</v>
      </c>
      <c r="W512" s="171">
        <v>0</v>
      </c>
      <c r="X512" s="166">
        <v>51260</v>
      </c>
      <c r="Y512" s="170">
        <v>0</v>
      </c>
      <c r="Z512" s="168" t="s">
        <v>1053</v>
      </c>
      <c r="AA512" s="168"/>
      <c r="AB512" s="168" t="s">
        <v>1742</v>
      </c>
      <c r="AC512" s="168"/>
      <c r="AD512" s="168" t="s">
        <v>1058</v>
      </c>
      <c r="AE512" s="168" t="s">
        <v>1059</v>
      </c>
      <c r="AF512" s="166" t="s">
        <v>284</v>
      </c>
      <c r="AG512" s="216">
        <v>41820</v>
      </c>
      <c r="AH512" s="166" t="s">
        <v>1060</v>
      </c>
      <c r="AI512" s="168">
        <v>0</v>
      </c>
      <c r="AJ512" s="168">
        <v>25464.65</v>
      </c>
      <c r="AP512" s="206"/>
      <c r="AQ512" s="207"/>
      <c r="AR512" s="207"/>
      <c r="AS512" s="207"/>
      <c r="AT512" s="208"/>
      <c r="AU512" s="207"/>
      <c r="AV512" s="208"/>
    </row>
    <row r="513" spans="1:48" s="205" customFormat="1" ht="15">
      <c r="A513" s="145"/>
      <c r="B513" s="166">
        <v>2183</v>
      </c>
      <c r="C513" s="167">
        <v>114286</v>
      </c>
      <c r="D513" s="166">
        <v>114285</v>
      </c>
      <c r="E513" s="168" t="s">
        <v>1743</v>
      </c>
      <c r="F513" s="166"/>
      <c r="G513" s="168"/>
      <c r="H513" s="168"/>
      <c r="I513" s="168"/>
      <c r="J513" s="168">
        <v>0</v>
      </c>
      <c r="K513" s="168" t="s">
        <v>1624</v>
      </c>
      <c r="L513" s="168"/>
      <c r="M513" s="168" t="s">
        <v>1303</v>
      </c>
      <c r="N513" s="169">
        <v>41590</v>
      </c>
      <c r="O513" s="169">
        <v>41590</v>
      </c>
      <c r="P513" s="168" t="s">
        <v>1744</v>
      </c>
      <c r="Q513" s="166">
        <v>300</v>
      </c>
      <c r="R513" s="166">
        <v>14040</v>
      </c>
      <c r="S513" s="170">
        <v>8837.86</v>
      </c>
      <c r="T513" s="166">
        <v>14046</v>
      </c>
      <c r="U513" s="170">
        <v>8837.86</v>
      </c>
      <c r="V513" s="170">
        <f t="shared" si="27"/>
        <v>0</v>
      </c>
      <c r="W513" s="171">
        <v>0</v>
      </c>
      <c r="X513" s="166">
        <v>51260</v>
      </c>
      <c r="Y513" s="170">
        <v>0</v>
      </c>
      <c r="Z513" s="168" t="s">
        <v>1053</v>
      </c>
      <c r="AA513" s="168"/>
      <c r="AB513" s="168">
        <v>127595</v>
      </c>
      <c r="AC513" s="168"/>
      <c r="AD513" s="168" t="s">
        <v>1058</v>
      </c>
      <c r="AE513" s="168" t="s">
        <v>1059</v>
      </c>
      <c r="AF513" s="166" t="s">
        <v>284</v>
      </c>
      <c r="AG513" s="216">
        <v>41820</v>
      </c>
      <c r="AH513" s="166" t="s">
        <v>1060</v>
      </c>
      <c r="AI513" s="168">
        <v>0</v>
      </c>
      <c r="AJ513" s="168">
        <v>1963.97</v>
      </c>
      <c r="AP513" s="206"/>
      <c r="AQ513" s="207"/>
      <c r="AR513" s="207"/>
      <c r="AS513" s="207"/>
      <c r="AT513" s="208"/>
      <c r="AU513" s="207"/>
      <c r="AV513" s="208"/>
    </row>
    <row r="514" spans="1:48" s="205" customFormat="1" ht="15">
      <c r="A514" s="145"/>
      <c r="B514" s="166">
        <v>2183</v>
      </c>
      <c r="C514" s="167">
        <v>114285</v>
      </c>
      <c r="D514" s="166" t="s">
        <v>1053</v>
      </c>
      <c r="E514" s="168" t="s">
        <v>1745</v>
      </c>
      <c r="F514" s="166">
        <v>0</v>
      </c>
      <c r="G514" s="168"/>
      <c r="H514" s="168" t="s">
        <v>1746</v>
      </c>
      <c r="I514" s="168"/>
      <c r="J514" s="168">
        <v>2008</v>
      </c>
      <c r="K514" s="168" t="s">
        <v>1716</v>
      </c>
      <c r="L514" s="168" t="s">
        <v>1747</v>
      </c>
      <c r="M514" s="168" t="s">
        <v>1232</v>
      </c>
      <c r="N514" s="169">
        <v>39755</v>
      </c>
      <c r="O514" s="169">
        <v>39755</v>
      </c>
      <c r="P514" s="168"/>
      <c r="Q514" s="166">
        <v>900</v>
      </c>
      <c r="R514" s="166">
        <v>14040</v>
      </c>
      <c r="S514" s="170">
        <v>106500</v>
      </c>
      <c r="T514" s="166">
        <v>14046</v>
      </c>
      <c r="U514" s="170">
        <v>106500</v>
      </c>
      <c r="V514" s="170">
        <f t="shared" si="27"/>
        <v>0</v>
      </c>
      <c r="W514" s="171">
        <v>0</v>
      </c>
      <c r="X514" s="166">
        <v>51260</v>
      </c>
      <c r="Y514" s="170">
        <v>0</v>
      </c>
      <c r="Z514" s="168" t="s">
        <v>1059</v>
      </c>
      <c r="AA514" s="168" t="s">
        <v>1140</v>
      </c>
      <c r="AB514" s="168"/>
      <c r="AC514" s="168">
        <v>4062</v>
      </c>
      <c r="AD514" s="168" t="s">
        <v>1058</v>
      </c>
      <c r="AE514" s="168" t="s">
        <v>1059</v>
      </c>
      <c r="AF514" s="166" t="s">
        <v>284</v>
      </c>
      <c r="AG514" s="216">
        <v>41820</v>
      </c>
      <c r="AH514" s="166" t="s">
        <v>1060</v>
      </c>
      <c r="AI514" s="168">
        <v>0</v>
      </c>
      <c r="AJ514" s="168">
        <v>67055.53</v>
      </c>
      <c r="AP514" s="206"/>
      <c r="AQ514" s="207"/>
      <c r="AR514" s="207"/>
      <c r="AS514" s="207"/>
      <c r="AT514" s="208"/>
      <c r="AU514" s="207"/>
      <c r="AV514" s="208"/>
    </row>
    <row r="515" spans="1:48" s="205" customFormat="1" ht="15">
      <c r="A515" s="145"/>
      <c r="B515" s="166">
        <v>2183</v>
      </c>
      <c r="C515" s="167">
        <v>114284</v>
      </c>
      <c r="D515" s="166">
        <v>114283</v>
      </c>
      <c r="E515" s="168" t="s">
        <v>1748</v>
      </c>
      <c r="F515" s="166"/>
      <c r="G515" s="168"/>
      <c r="H515" s="168"/>
      <c r="I515" s="168"/>
      <c r="J515" s="168">
        <v>0</v>
      </c>
      <c r="K515" s="168" t="s">
        <v>1624</v>
      </c>
      <c r="L515" s="168"/>
      <c r="M515" s="168" t="s">
        <v>1303</v>
      </c>
      <c r="N515" s="169">
        <v>41570</v>
      </c>
      <c r="O515" s="169">
        <v>41570</v>
      </c>
      <c r="P515" s="168" t="s">
        <v>1749</v>
      </c>
      <c r="Q515" s="166">
        <v>300</v>
      </c>
      <c r="R515" s="166">
        <v>14040</v>
      </c>
      <c r="S515" s="170">
        <v>8837.86</v>
      </c>
      <c r="T515" s="166">
        <v>14046</v>
      </c>
      <c r="U515" s="170">
        <v>8837.86</v>
      </c>
      <c r="V515" s="170">
        <f t="shared" si="27"/>
        <v>0</v>
      </c>
      <c r="W515" s="171">
        <v>0</v>
      </c>
      <c r="X515" s="166">
        <v>51260</v>
      </c>
      <c r="Y515" s="170">
        <v>0</v>
      </c>
      <c r="Z515" s="168" t="s">
        <v>1053</v>
      </c>
      <c r="AA515" s="168"/>
      <c r="AB515" s="168">
        <v>127594</v>
      </c>
      <c r="AC515" s="168"/>
      <c r="AD515" s="168" t="s">
        <v>1058</v>
      </c>
      <c r="AE515" s="168" t="s">
        <v>1059</v>
      </c>
      <c r="AF515" s="166" t="s">
        <v>284</v>
      </c>
      <c r="AG515" s="216">
        <v>41820</v>
      </c>
      <c r="AH515" s="166" t="s">
        <v>1060</v>
      </c>
      <c r="AI515" s="168">
        <v>0</v>
      </c>
      <c r="AJ515" s="168">
        <v>1963.97</v>
      </c>
      <c r="AP515" s="206"/>
      <c r="AQ515" s="207"/>
      <c r="AR515" s="207"/>
      <c r="AS515" s="207"/>
      <c r="AT515" s="208"/>
      <c r="AU515" s="207"/>
      <c r="AV515" s="208"/>
    </row>
    <row r="516" spans="1:48" s="205" customFormat="1" ht="15">
      <c r="A516" s="145"/>
      <c r="B516" s="166">
        <v>2183</v>
      </c>
      <c r="C516" s="167">
        <v>114283</v>
      </c>
      <c r="D516" s="166" t="s">
        <v>1053</v>
      </c>
      <c r="E516" s="168" t="s">
        <v>1750</v>
      </c>
      <c r="F516" s="166">
        <v>0</v>
      </c>
      <c r="G516" s="168"/>
      <c r="H516" s="168" t="s">
        <v>1751</v>
      </c>
      <c r="I516" s="168"/>
      <c r="J516" s="168">
        <v>2006</v>
      </c>
      <c r="K516" s="168" t="s">
        <v>1716</v>
      </c>
      <c r="L516" s="168" t="s">
        <v>1747</v>
      </c>
      <c r="M516" s="168" t="s">
        <v>1232</v>
      </c>
      <c r="N516" s="169">
        <v>39755</v>
      </c>
      <c r="O516" s="169">
        <v>39755</v>
      </c>
      <c r="P516" s="168"/>
      <c r="Q516" s="166">
        <v>700</v>
      </c>
      <c r="R516" s="166">
        <v>14040</v>
      </c>
      <c r="S516" s="170">
        <v>81500</v>
      </c>
      <c r="T516" s="166">
        <v>14046</v>
      </c>
      <c r="U516" s="170">
        <v>81500</v>
      </c>
      <c r="V516" s="170">
        <f t="shared" si="27"/>
        <v>0</v>
      </c>
      <c r="W516" s="171">
        <v>0</v>
      </c>
      <c r="X516" s="166">
        <v>51260</v>
      </c>
      <c r="Y516" s="170">
        <v>0</v>
      </c>
      <c r="Z516" s="168" t="s">
        <v>1059</v>
      </c>
      <c r="AA516" s="168" t="s">
        <v>1140</v>
      </c>
      <c r="AB516" s="168"/>
      <c r="AC516" s="168">
        <v>4049</v>
      </c>
      <c r="AD516" s="168" t="s">
        <v>1058</v>
      </c>
      <c r="AE516" s="168" t="s">
        <v>1059</v>
      </c>
      <c r="AF516" s="166" t="s">
        <v>284</v>
      </c>
      <c r="AG516" s="216">
        <v>41820</v>
      </c>
      <c r="AH516" s="166" t="s">
        <v>1060</v>
      </c>
      <c r="AI516" s="168">
        <v>0</v>
      </c>
      <c r="AJ516" s="168">
        <v>65976.210000000006</v>
      </c>
      <c r="AP516" s="206"/>
      <c r="AQ516" s="207"/>
      <c r="AR516" s="207"/>
      <c r="AS516" s="207"/>
      <c r="AT516" s="208"/>
      <c r="AU516" s="207"/>
      <c r="AV516" s="208"/>
    </row>
    <row r="517" spans="1:48" s="205" customFormat="1" ht="15">
      <c r="A517" s="145"/>
      <c r="B517" s="166">
        <v>2183</v>
      </c>
      <c r="C517" s="167">
        <v>114280</v>
      </c>
      <c r="D517" s="166" t="s">
        <v>1053</v>
      </c>
      <c r="E517" s="168" t="s">
        <v>1752</v>
      </c>
      <c r="F517" s="166">
        <v>0</v>
      </c>
      <c r="G517" s="168"/>
      <c r="H517" s="168" t="s">
        <v>1753</v>
      </c>
      <c r="I517" s="168"/>
      <c r="J517" s="168">
        <v>2002</v>
      </c>
      <c r="K517" s="168" t="s">
        <v>1463</v>
      </c>
      <c r="L517" s="168" t="s">
        <v>1413</v>
      </c>
      <c r="M517" s="168" t="s">
        <v>1198</v>
      </c>
      <c r="N517" s="169">
        <v>39755</v>
      </c>
      <c r="O517" s="169">
        <v>39755</v>
      </c>
      <c r="P517" s="168"/>
      <c r="Q517" s="166">
        <v>300</v>
      </c>
      <c r="R517" s="166">
        <v>14040</v>
      </c>
      <c r="S517" s="170">
        <v>53500</v>
      </c>
      <c r="T517" s="166">
        <v>14046</v>
      </c>
      <c r="U517" s="170">
        <v>53500</v>
      </c>
      <c r="V517" s="170">
        <f t="shared" si="27"/>
        <v>0</v>
      </c>
      <c r="W517" s="171">
        <v>0</v>
      </c>
      <c r="X517" s="166">
        <v>51260</v>
      </c>
      <c r="Y517" s="170">
        <v>0</v>
      </c>
      <c r="Z517" s="168" t="s">
        <v>1059</v>
      </c>
      <c r="AA517" s="168" t="s">
        <v>1140</v>
      </c>
      <c r="AB517" s="168"/>
      <c r="AC517" s="168">
        <v>1035</v>
      </c>
      <c r="AD517" s="168" t="s">
        <v>1058</v>
      </c>
      <c r="AE517" s="168" t="s">
        <v>1059</v>
      </c>
      <c r="AF517" s="166" t="s">
        <v>284</v>
      </c>
      <c r="AG517" s="216">
        <v>41820</v>
      </c>
      <c r="AH517" s="166" t="s">
        <v>1060</v>
      </c>
      <c r="AI517" s="168">
        <v>0</v>
      </c>
      <c r="AJ517" s="168">
        <v>53500</v>
      </c>
      <c r="AP517" s="206"/>
      <c r="AQ517" s="207"/>
      <c r="AR517" s="207"/>
      <c r="AS517" s="207"/>
      <c r="AT517" s="208"/>
      <c r="AU517" s="207"/>
      <c r="AV517" s="208"/>
    </row>
    <row r="518" spans="1:48" s="205" customFormat="1" ht="15">
      <c r="A518" s="145"/>
      <c r="B518" s="166">
        <v>2183</v>
      </c>
      <c r="C518" s="167">
        <v>114279</v>
      </c>
      <c r="D518" s="166">
        <v>114278</v>
      </c>
      <c r="E518" s="168" t="s">
        <v>1754</v>
      </c>
      <c r="F518" s="166">
        <v>0</v>
      </c>
      <c r="G518" s="168"/>
      <c r="H518" s="168">
        <v>264787</v>
      </c>
      <c r="I518" s="168"/>
      <c r="J518" s="168">
        <v>2000</v>
      </c>
      <c r="K518" s="168"/>
      <c r="L518" s="168"/>
      <c r="M518" s="168" t="s">
        <v>1108</v>
      </c>
      <c r="N518" s="169">
        <v>39965</v>
      </c>
      <c r="O518" s="169">
        <v>39965</v>
      </c>
      <c r="P518" s="168" t="s">
        <v>1755</v>
      </c>
      <c r="Q518" s="166">
        <v>300</v>
      </c>
      <c r="R518" s="166">
        <v>14040</v>
      </c>
      <c r="S518" s="170">
        <v>2915.87</v>
      </c>
      <c r="T518" s="166">
        <v>14046</v>
      </c>
      <c r="U518" s="170">
        <v>2915.87</v>
      </c>
      <c r="V518" s="170">
        <f t="shared" si="27"/>
        <v>0</v>
      </c>
      <c r="W518" s="171">
        <v>0</v>
      </c>
      <c r="X518" s="166">
        <v>51260</v>
      </c>
      <c r="Y518" s="170">
        <v>0</v>
      </c>
      <c r="Z518" s="168" t="s">
        <v>1053</v>
      </c>
      <c r="AA518" s="168"/>
      <c r="AB518" s="168">
        <v>958230</v>
      </c>
      <c r="AC518" s="168">
        <v>1029</v>
      </c>
      <c r="AD518" s="168" t="s">
        <v>1058</v>
      </c>
      <c r="AE518" s="168" t="s">
        <v>1059</v>
      </c>
      <c r="AF518" s="166" t="s">
        <v>284</v>
      </c>
      <c r="AG518" s="216">
        <v>41820</v>
      </c>
      <c r="AH518" s="166" t="s">
        <v>1060</v>
      </c>
      <c r="AI518" s="168">
        <v>0</v>
      </c>
      <c r="AJ518" s="168">
        <v>2915.87</v>
      </c>
      <c r="AP518" s="206"/>
      <c r="AQ518" s="207"/>
      <c r="AR518" s="207"/>
      <c r="AS518" s="207"/>
      <c r="AT518" s="208"/>
      <c r="AU518" s="207"/>
      <c r="AV518" s="208"/>
    </row>
    <row r="519" spans="1:48" s="205" customFormat="1" ht="15">
      <c r="A519" s="145"/>
      <c r="B519" s="166">
        <v>2183</v>
      </c>
      <c r="C519" s="167">
        <v>114278</v>
      </c>
      <c r="D519" s="166" t="s">
        <v>1053</v>
      </c>
      <c r="E519" s="168" t="s">
        <v>1756</v>
      </c>
      <c r="F519" s="166">
        <v>0</v>
      </c>
      <c r="G519" s="168"/>
      <c r="H519" s="168" t="s">
        <v>1757</v>
      </c>
      <c r="I519" s="168"/>
      <c r="J519" s="168">
        <v>2000</v>
      </c>
      <c r="K519" s="168" t="s">
        <v>1463</v>
      </c>
      <c r="L519" s="168" t="s">
        <v>1413</v>
      </c>
      <c r="M519" s="168" t="s">
        <v>1198</v>
      </c>
      <c r="N519" s="169">
        <v>39755</v>
      </c>
      <c r="O519" s="169">
        <v>39755</v>
      </c>
      <c r="P519" s="168"/>
      <c r="Q519" s="166">
        <v>300</v>
      </c>
      <c r="R519" s="166">
        <v>14040</v>
      </c>
      <c r="S519" s="170">
        <v>43500</v>
      </c>
      <c r="T519" s="166">
        <v>14046</v>
      </c>
      <c r="U519" s="170">
        <v>43500</v>
      </c>
      <c r="V519" s="170">
        <f t="shared" si="27"/>
        <v>0</v>
      </c>
      <c r="W519" s="171">
        <v>0</v>
      </c>
      <c r="X519" s="166">
        <v>51260</v>
      </c>
      <c r="Y519" s="170">
        <v>0</v>
      </c>
      <c r="Z519" s="168" t="s">
        <v>1059</v>
      </c>
      <c r="AA519" s="168" t="s">
        <v>1140</v>
      </c>
      <c r="AB519" s="168"/>
      <c r="AC519" s="168">
        <v>1029</v>
      </c>
      <c r="AD519" s="168" t="s">
        <v>1058</v>
      </c>
      <c r="AE519" s="168" t="s">
        <v>1059</v>
      </c>
      <c r="AF519" s="166" t="s">
        <v>284</v>
      </c>
      <c r="AG519" s="216">
        <v>41820</v>
      </c>
      <c r="AH519" s="166" t="s">
        <v>1060</v>
      </c>
      <c r="AI519" s="168">
        <v>0</v>
      </c>
      <c r="AJ519" s="168">
        <v>43500</v>
      </c>
      <c r="AP519" s="206"/>
      <c r="AQ519" s="207"/>
      <c r="AR519" s="207"/>
      <c r="AS519" s="207"/>
      <c r="AT519" s="208"/>
      <c r="AU519" s="207"/>
      <c r="AV519" s="208"/>
    </row>
    <row r="520" spans="1:48" s="205" customFormat="1" ht="15">
      <c r="A520" s="145"/>
      <c r="B520" s="166">
        <v>2183</v>
      </c>
      <c r="C520" s="167">
        <v>114276</v>
      </c>
      <c r="D520" s="166" t="s">
        <v>1053</v>
      </c>
      <c r="E520" s="168" t="s">
        <v>1758</v>
      </c>
      <c r="F520" s="166">
        <v>0</v>
      </c>
      <c r="G520" s="168"/>
      <c r="H520" s="168"/>
      <c r="I520" s="168"/>
      <c r="J520" s="168">
        <v>0</v>
      </c>
      <c r="K520" s="168"/>
      <c r="L520" s="168"/>
      <c r="M520" s="168" t="s">
        <v>1108</v>
      </c>
      <c r="N520" s="169">
        <v>39936</v>
      </c>
      <c r="O520" s="169">
        <v>39936</v>
      </c>
      <c r="P520" s="168" t="s">
        <v>1759</v>
      </c>
      <c r="Q520" s="166">
        <v>300</v>
      </c>
      <c r="R520" s="166">
        <v>14030</v>
      </c>
      <c r="S520" s="170">
        <v>34320.639999999999</v>
      </c>
      <c r="T520" s="166">
        <v>14036</v>
      </c>
      <c r="U520" s="170">
        <v>34320.639999999999</v>
      </c>
      <c r="V520" s="170">
        <f t="shared" si="27"/>
        <v>0</v>
      </c>
      <c r="W520" s="171">
        <v>0</v>
      </c>
      <c r="X520" s="166">
        <v>51260</v>
      </c>
      <c r="Y520" s="170">
        <v>0</v>
      </c>
      <c r="Z520" s="168" t="s">
        <v>1053</v>
      </c>
      <c r="AA520" s="168"/>
      <c r="AB520" s="168" t="s">
        <v>1760</v>
      </c>
      <c r="AC520" s="168"/>
      <c r="AD520" s="168" t="s">
        <v>1058</v>
      </c>
      <c r="AE520" s="168" t="s">
        <v>1059</v>
      </c>
      <c r="AF520" s="166" t="s">
        <v>284</v>
      </c>
      <c r="AG520" s="216">
        <v>41820</v>
      </c>
      <c r="AH520" s="166" t="s">
        <v>1060</v>
      </c>
      <c r="AI520" s="168">
        <v>0</v>
      </c>
      <c r="AJ520" s="168">
        <v>34320.639999999999</v>
      </c>
      <c r="AP520" s="206"/>
      <c r="AQ520" s="207"/>
      <c r="AR520" s="207"/>
      <c r="AS520" s="207"/>
      <c r="AT520" s="208"/>
      <c r="AU520" s="207"/>
      <c r="AV520" s="208"/>
    </row>
    <row r="521" spans="1:48" s="205" customFormat="1" ht="15">
      <c r="A521" s="145"/>
      <c r="B521" s="166">
        <v>2183</v>
      </c>
      <c r="C521" s="167">
        <v>114273</v>
      </c>
      <c r="D521" s="166" t="s">
        <v>1053</v>
      </c>
      <c r="E521" s="168" t="s">
        <v>1761</v>
      </c>
      <c r="F521" s="166">
        <v>97</v>
      </c>
      <c r="G521" s="168"/>
      <c r="H521" s="168"/>
      <c r="I521" s="168"/>
      <c r="J521" s="168">
        <v>0</v>
      </c>
      <c r="K521" s="168"/>
      <c r="L521" s="168"/>
      <c r="M521" s="168"/>
      <c r="N521" s="169">
        <v>39755</v>
      </c>
      <c r="O521" s="169">
        <v>39755</v>
      </c>
      <c r="P521" s="168"/>
      <c r="Q521" s="166">
        <v>700</v>
      </c>
      <c r="R521" s="166">
        <v>14050</v>
      </c>
      <c r="S521" s="170">
        <v>9700</v>
      </c>
      <c r="T521" s="166">
        <v>14056</v>
      </c>
      <c r="U521" s="170">
        <v>9700</v>
      </c>
      <c r="V521" s="170">
        <f t="shared" si="27"/>
        <v>0</v>
      </c>
      <c r="W521" s="171">
        <v>0</v>
      </c>
      <c r="X521" s="166">
        <v>54260</v>
      </c>
      <c r="Y521" s="170">
        <v>0</v>
      </c>
      <c r="Z521" s="168" t="s">
        <v>1059</v>
      </c>
      <c r="AA521" s="168" t="s">
        <v>1140</v>
      </c>
      <c r="AB521" s="168"/>
      <c r="AC521" s="168"/>
      <c r="AD521" s="168" t="s">
        <v>1058</v>
      </c>
      <c r="AE521" s="168" t="s">
        <v>1059</v>
      </c>
      <c r="AF521" s="166" t="s">
        <v>284</v>
      </c>
      <c r="AG521" s="216">
        <v>44347</v>
      </c>
      <c r="AH521" s="166" t="s">
        <v>1060</v>
      </c>
      <c r="AI521" s="168">
        <v>10</v>
      </c>
      <c r="AJ521" s="168">
        <v>9700</v>
      </c>
      <c r="AP521" s="206"/>
      <c r="AQ521" s="207"/>
      <c r="AR521" s="207"/>
      <c r="AS521" s="207"/>
      <c r="AT521" s="208"/>
      <c r="AU521" s="207"/>
      <c r="AV521" s="208"/>
    </row>
    <row r="522" spans="1:48" s="205" customFormat="1" ht="15">
      <c r="A522" s="145"/>
      <c r="B522" s="166">
        <v>2183</v>
      </c>
      <c r="C522" s="167">
        <v>114272</v>
      </c>
      <c r="D522" s="166" t="s">
        <v>1053</v>
      </c>
      <c r="E522" s="168" t="s">
        <v>1762</v>
      </c>
      <c r="F522" s="166">
        <v>0</v>
      </c>
      <c r="G522" s="168"/>
      <c r="H522" s="168"/>
      <c r="I522" s="168"/>
      <c r="J522" s="168">
        <v>0</v>
      </c>
      <c r="K522" s="168"/>
      <c r="L522" s="168"/>
      <c r="M522" s="168"/>
      <c r="N522" s="169">
        <v>39755</v>
      </c>
      <c r="O522" s="169">
        <v>39755</v>
      </c>
      <c r="P522" s="168"/>
      <c r="Q522" s="166">
        <v>1000</v>
      </c>
      <c r="R522" s="166">
        <v>15220</v>
      </c>
      <c r="S522" s="170">
        <v>1010555.08</v>
      </c>
      <c r="T522" s="166">
        <v>15226</v>
      </c>
      <c r="U522" s="170">
        <v>1010555.08</v>
      </c>
      <c r="V522" s="170">
        <f t="shared" si="27"/>
        <v>0</v>
      </c>
      <c r="W522" s="171">
        <v>0</v>
      </c>
      <c r="X522" s="166">
        <v>70264</v>
      </c>
      <c r="Y522" s="170">
        <v>0</v>
      </c>
      <c r="Z522" s="168" t="s">
        <v>1059</v>
      </c>
      <c r="AA522" s="168" t="s">
        <v>1140</v>
      </c>
      <c r="AB522" s="168"/>
      <c r="AC522" s="168"/>
      <c r="AD522" s="168" t="s">
        <v>1058</v>
      </c>
      <c r="AE522" s="168" t="s">
        <v>1059</v>
      </c>
      <c r="AF522" s="166" t="s">
        <v>284</v>
      </c>
      <c r="AG522" s="216">
        <v>41820</v>
      </c>
      <c r="AH522" s="166" t="s">
        <v>1060</v>
      </c>
      <c r="AI522" s="168">
        <v>0</v>
      </c>
      <c r="AJ522" s="168">
        <v>572647.9</v>
      </c>
      <c r="AP522" s="206"/>
      <c r="AQ522" s="207"/>
      <c r="AR522" s="207"/>
      <c r="AS522" s="207"/>
      <c r="AT522" s="208"/>
      <c r="AU522" s="207"/>
      <c r="AV522" s="208"/>
    </row>
    <row r="523" spans="1:48" s="205" customFormat="1" ht="15">
      <c r="A523" s="145"/>
      <c r="B523" s="166">
        <v>2183</v>
      </c>
      <c r="C523" s="167">
        <v>114271</v>
      </c>
      <c r="D523" s="166" t="s">
        <v>1053</v>
      </c>
      <c r="E523" s="168" t="s">
        <v>1745</v>
      </c>
      <c r="F523" s="166">
        <v>0</v>
      </c>
      <c r="G523" s="168"/>
      <c r="H523" s="168" t="s">
        <v>1763</v>
      </c>
      <c r="I523" s="168"/>
      <c r="J523" s="168">
        <v>2008</v>
      </c>
      <c r="K523" s="168" t="s">
        <v>1716</v>
      </c>
      <c r="L523" s="168" t="s">
        <v>1747</v>
      </c>
      <c r="M523" s="168" t="s">
        <v>1232</v>
      </c>
      <c r="N523" s="169">
        <v>39755</v>
      </c>
      <c r="O523" s="169">
        <v>39755</v>
      </c>
      <c r="P523" s="168"/>
      <c r="Q523" s="166">
        <v>900</v>
      </c>
      <c r="R523" s="166">
        <v>14040</v>
      </c>
      <c r="S523" s="170">
        <v>106500</v>
      </c>
      <c r="T523" s="166">
        <v>14046</v>
      </c>
      <c r="U523" s="170">
        <v>106500</v>
      </c>
      <c r="V523" s="170">
        <f t="shared" si="27"/>
        <v>0</v>
      </c>
      <c r="W523" s="171">
        <v>0</v>
      </c>
      <c r="X523" s="166">
        <v>51260</v>
      </c>
      <c r="Y523" s="170">
        <v>0</v>
      </c>
      <c r="Z523" s="168" t="s">
        <v>1059</v>
      </c>
      <c r="AA523" s="168" t="s">
        <v>1140</v>
      </c>
      <c r="AB523" s="168"/>
      <c r="AC523" s="168">
        <v>4059</v>
      </c>
      <c r="AD523" s="168" t="s">
        <v>1058</v>
      </c>
      <c r="AE523" s="168" t="s">
        <v>1059</v>
      </c>
      <c r="AF523" s="166" t="s">
        <v>284</v>
      </c>
      <c r="AG523" s="216">
        <v>41820</v>
      </c>
      <c r="AH523" s="166" t="s">
        <v>1060</v>
      </c>
      <c r="AI523" s="168">
        <v>0</v>
      </c>
      <c r="AJ523" s="168">
        <v>67055.520000000004</v>
      </c>
      <c r="AP523" s="206"/>
      <c r="AQ523" s="207"/>
      <c r="AR523" s="207"/>
      <c r="AS523" s="207"/>
      <c r="AT523" s="208"/>
      <c r="AU523" s="207"/>
      <c r="AV523" s="208"/>
    </row>
    <row r="524" spans="1:48" s="205" customFormat="1" ht="15">
      <c r="A524" s="145"/>
      <c r="B524" s="166">
        <v>2183</v>
      </c>
      <c r="C524" s="167">
        <v>114269</v>
      </c>
      <c r="D524" s="166" t="s">
        <v>1053</v>
      </c>
      <c r="E524" s="168" t="s">
        <v>1764</v>
      </c>
      <c r="F524" s="166">
        <v>0</v>
      </c>
      <c r="G524" s="168"/>
      <c r="H524" s="168" t="s">
        <v>1765</v>
      </c>
      <c r="I524" s="168"/>
      <c r="J524" s="168">
        <v>2004</v>
      </c>
      <c r="K524" s="168" t="s">
        <v>1463</v>
      </c>
      <c r="L524" s="168" t="s">
        <v>1309</v>
      </c>
      <c r="M524" s="168" t="s">
        <v>1244</v>
      </c>
      <c r="N524" s="169">
        <v>39755</v>
      </c>
      <c r="O524" s="169">
        <v>39755</v>
      </c>
      <c r="P524" s="168"/>
      <c r="Q524" s="166">
        <v>500</v>
      </c>
      <c r="R524" s="166">
        <v>14040</v>
      </c>
      <c r="S524" s="170">
        <v>46500</v>
      </c>
      <c r="T524" s="166">
        <v>14046</v>
      </c>
      <c r="U524" s="170">
        <v>46500</v>
      </c>
      <c r="V524" s="170">
        <f t="shared" si="27"/>
        <v>0</v>
      </c>
      <c r="W524" s="171">
        <v>0</v>
      </c>
      <c r="X524" s="166">
        <v>51260</v>
      </c>
      <c r="Y524" s="170">
        <v>0</v>
      </c>
      <c r="Z524" s="168" t="s">
        <v>1059</v>
      </c>
      <c r="AA524" s="168" t="s">
        <v>1140</v>
      </c>
      <c r="AB524" s="168"/>
      <c r="AC524" s="168">
        <v>4518</v>
      </c>
      <c r="AD524" s="168" t="s">
        <v>1058</v>
      </c>
      <c r="AE524" s="168" t="s">
        <v>1059</v>
      </c>
      <c r="AF524" s="166" t="s">
        <v>284</v>
      </c>
      <c r="AG524" s="216">
        <v>41820</v>
      </c>
      <c r="AH524" s="166" t="s">
        <v>1060</v>
      </c>
      <c r="AI524" s="168">
        <v>0</v>
      </c>
      <c r="AJ524" s="168">
        <v>46500</v>
      </c>
      <c r="AP524" s="206"/>
      <c r="AQ524" s="207"/>
      <c r="AR524" s="207"/>
      <c r="AS524" s="207"/>
      <c r="AT524" s="208"/>
      <c r="AU524" s="207"/>
      <c r="AV524" s="208"/>
    </row>
    <row r="525" spans="1:48" s="205" customFormat="1" ht="15">
      <c r="A525" s="145"/>
      <c r="B525" s="166">
        <v>2183</v>
      </c>
      <c r="C525" s="167">
        <v>114268</v>
      </c>
      <c r="D525" s="166" t="s">
        <v>1053</v>
      </c>
      <c r="E525" s="168" t="s">
        <v>1752</v>
      </c>
      <c r="F525" s="166">
        <v>0</v>
      </c>
      <c r="G525" s="168"/>
      <c r="H525" s="168" t="s">
        <v>1766</v>
      </c>
      <c r="I525" s="168"/>
      <c r="J525" s="168">
        <v>2002</v>
      </c>
      <c r="K525" s="168" t="s">
        <v>1463</v>
      </c>
      <c r="L525" s="168" t="s">
        <v>1413</v>
      </c>
      <c r="M525" s="168" t="s">
        <v>1198</v>
      </c>
      <c r="N525" s="169">
        <v>39755</v>
      </c>
      <c r="O525" s="169">
        <v>39755</v>
      </c>
      <c r="P525" s="168"/>
      <c r="Q525" s="166">
        <v>300</v>
      </c>
      <c r="R525" s="166">
        <v>14040</v>
      </c>
      <c r="S525" s="170">
        <v>53500</v>
      </c>
      <c r="T525" s="166">
        <v>14046</v>
      </c>
      <c r="U525" s="170">
        <v>53500</v>
      </c>
      <c r="V525" s="170">
        <f t="shared" si="27"/>
        <v>0</v>
      </c>
      <c r="W525" s="171">
        <v>0</v>
      </c>
      <c r="X525" s="166">
        <v>51260</v>
      </c>
      <c r="Y525" s="170">
        <v>0</v>
      </c>
      <c r="Z525" s="168" t="s">
        <v>1059</v>
      </c>
      <c r="AA525" s="168" t="s">
        <v>1140</v>
      </c>
      <c r="AB525" s="168"/>
      <c r="AC525" s="168">
        <v>1036</v>
      </c>
      <c r="AD525" s="168" t="s">
        <v>1058</v>
      </c>
      <c r="AE525" s="168" t="s">
        <v>1059</v>
      </c>
      <c r="AF525" s="166" t="s">
        <v>284</v>
      </c>
      <c r="AG525" s="216">
        <v>41820</v>
      </c>
      <c r="AH525" s="166" t="s">
        <v>1060</v>
      </c>
      <c r="AI525" s="168">
        <v>0</v>
      </c>
      <c r="AJ525" s="168">
        <v>53500</v>
      </c>
      <c r="AP525" s="206"/>
      <c r="AQ525" s="207"/>
      <c r="AR525" s="207"/>
      <c r="AS525" s="207"/>
      <c r="AT525" s="208"/>
      <c r="AU525" s="207"/>
      <c r="AV525" s="208"/>
    </row>
    <row r="526" spans="1:48" s="205" customFormat="1" ht="15">
      <c r="A526" s="145"/>
      <c r="B526" s="166">
        <v>2183</v>
      </c>
      <c r="C526" s="167">
        <v>114266</v>
      </c>
      <c r="D526" s="166" t="s">
        <v>1053</v>
      </c>
      <c r="E526" s="168" t="s">
        <v>1767</v>
      </c>
      <c r="F526" s="166">
        <v>0</v>
      </c>
      <c r="G526" s="168"/>
      <c r="H526" s="168" t="s">
        <v>1768</v>
      </c>
      <c r="I526" s="168"/>
      <c r="J526" s="168">
        <v>1996</v>
      </c>
      <c r="K526" s="168" t="s">
        <v>1716</v>
      </c>
      <c r="L526" s="168" t="s">
        <v>1705</v>
      </c>
      <c r="M526" s="168" t="s">
        <v>1198</v>
      </c>
      <c r="N526" s="169">
        <v>39755</v>
      </c>
      <c r="O526" s="169">
        <v>39755</v>
      </c>
      <c r="P526" s="168"/>
      <c r="Q526" s="166">
        <v>300</v>
      </c>
      <c r="R526" s="166">
        <v>14040</v>
      </c>
      <c r="S526" s="170">
        <v>2500</v>
      </c>
      <c r="T526" s="166">
        <v>14046</v>
      </c>
      <c r="U526" s="170">
        <v>2500</v>
      </c>
      <c r="V526" s="170">
        <f t="shared" ref="V526:V589" si="28">S526-U526</f>
        <v>0</v>
      </c>
      <c r="W526" s="171">
        <v>0</v>
      </c>
      <c r="X526" s="166">
        <v>51260</v>
      </c>
      <c r="Y526" s="170">
        <v>0</v>
      </c>
      <c r="Z526" s="168" t="s">
        <v>1059</v>
      </c>
      <c r="AA526" s="168" t="s">
        <v>1140</v>
      </c>
      <c r="AB526" s="168"/>
      <c r="AC526" s="168">
        <v>1003</v>
      </c>
      <c r="AD526" s="168" t="s">
        <v>1058</v>
      </c>
      <c r="AE526" s="168" t="s">
        <v>1059</v>
      </c>
      <c r="AF526" s="166" t="s">
        <v>284</v>
      </c>
      <c r="AG526" s="216">
        <v>41820</v>
      </c>
      <c r="AH526" s="166" t="s">
        <v>1060</v>
      </c>
      <c r="AI526" s="168">
        <v>0</v>
      </c>
      <c r="AJ526" s="168">
        <v>2500</v>
      </c>
      <c r="AP526" s="206"/>
      <c r="AQ526" s="207"/>
      <c r="AR526" s="207"/>
      <c r="AS526" s="207"/>
      <c r="AT526" s="208"/>
      <c r="AU526" s="207"/>
      <c r="AV526" s="208"/>
    </row>
    <row r="527" spans="1:48" s="205" customFormat="1" ht="15">
      <c r="A527" s="145"/>
      <c r="B527" s="166">
        <v>2183</v>
      </c>
      <c r="C527" s="167">
        <v>113498</v>
      </c>
      <c r="D527" s="166" t="s">
        <v>1053</v>
      </c>
      <c r="E527" s="168" t="s">
        <v>1769</v>
      </c>
      <c r="F527" s="166">
        <v>486</v>
      </c>
      <c r="G527" s="168"/>
      <c r="H527" s="168"/>
      <c r="I527" s="168"/>
      <c r="J527" s="168">
        <v>0</v>
      </c>
      <c r="K527" s="168" t="s">
        <v>1718</v>
      </c>
      <c r="L527" s="168"/>
      <c r="M527" s="168"/>
      <c r="N527" s="169">
        <v>41792</v>
      </c>
      <c r="O527" s="169">
        <v>41792</v>
      </c>
      <c r="P527" s="168" t="s">
        <v>1694</v>
      </c>
      <c r="Q527" s="166">
        <v>700</v>
      </c>
      <c r="R527" s="166">
        <v>14050</v>
      </c>
      <c r="S527" s="170">
        <v>28222.41</v>
      </c>
      <c r="T527" s="166">
        <v>14056</v>
      </c>
      <c r="U527" s="170">
        <v>28222.41</v>
      </c>
      <c r="V527" s="170">
        <f t="shared" si="28"/>
        <v>0</v>
      </c>
      <c r="W527" s="171">
        <v>1679.98</v>
      </c>
      <c r="X527" s="166">
        <v>54260</v>
      </c>
      <c r="Y527" s="170">
        <v>0</v>
      </c>
      <c r="Z527" s="168" t="s">
        <v>1053</v>
      </c>
      <c r="AA527" s="168"/>
      <c r="AB527" s="168" t="s">
        <v>1770</v>
      </c>
      <c r="AC527" s="168"/>
      <c r="AD527" s="168" t="s">
        <v>1058</v>
      </c>
      <c r="AE527" s="168" t="s">
        <v>1059</v>
      </c>
      <c r="AF527" s="166" t="s">
        <v>284</v>
      </c>
      <c r="AG527" s="168"/>
      <c r="AH527" s="166" t="s">
        <v>1060</v>
      </c>
      <c r="AI527" s="168">
        <v>0</v>
      </c>
      <c r="AJ527" s="168">
        <v>0</v>
      </c>
      <c r="AP527" s="206"/>
      <c r="AQ527" s="207"/>
      <c r="AR527" s="207"/>
      <c r="AS527" s="207"/>
      <c r="AT527" s="208"/>
      <c r="AU527" s="207"/>
      <c r="AV527" s="208"/>
    </row>
    <row r="528" spans="1:48" s="205" customFormat="1" ht="15">
      <c r="A528" s="145"/>
      <c r="B528" s="166">
        <v>2183</v>
      </c>
      <c r="C528" s="167">
        <v>113497</v>
      </c>
      <c r="D528" s="166" t="s">
        <v>1053</v>
      </c>
      <c r="E528" s="168" t="s">
        <v>1769</v>
      </c>
      <c r="F528" s="166">
        <v>486</v>
      </c>
      <c r="G528" s="168"/>
      <c r="H528" s="168"/>
      <c r="I528" s="168"/>
      <c r="J528" s="168">
        <v>0</v>
      </c>
      <c r="K528" s="168" t="s">
        <v>1718</v>
      </c>
      <c r="L528" s="168"/>
      <c r="M528" s="168"/>
      <c r="N528" s="169">
        <v>41792</v>
      </c>
      <c r="O528" s="169">
        <v>41792</v>
      </c>
      <c r="P528" s="168" t="s">
        <v>1694</v>
      </c>
      <c r="Q528" s="166">
        <v>700</v>
      </c>
      <c r="R528" s="166">
        <v>14050</v>
      </c>
      <c r="S528" s="170">
        <v>28222.41</v>
      </c>
      <c r="T528" s="166">
        <v>14056</v>
      </c>
      <c r="U528" s="170">
        <v>28222.41</v>
      </c>
      <c r="V528" s="170">
        <f t="shared" si="28"/>
        <v>0</v>
      </c>
      <c r="W528" s="171">
        <v>1679.98</v>
      </c>
      <c r="X528" s="166">
        <v>54260</v>
      </c>
      <c r="Y528" s="170">
        <v>0</v>
      </c>
      <c r="Z528" s="168" t="s">
        <v>1053</v>
      </c>
      <c r="AA528" s="168"/>
      <c r="AB528" s="168" t="s">
        <v>1771</v>
      </c>
      <c r="AC528" s="168"/>
      <c r="AD528" s="168" t="s">
        <v>1058</v>
      </c>
      <c r="AE528" s="168" t="s">
        <v>1059</v>
      </c>
      <c r="AF528" s="166" t="s">
        <v>284</v>
      </c>
      <c r="AG528" s="168"/>
      <c r="AH528" s="166" t="s">
        <v>1060</v>
      </c>
      <c r="AI528" s="168">
        <v>0</v>
      </c>
      <c r="AJ528" s="168">
        <v>0</v>
      </c>
      <c r="AP528" s="206"/>
      <c r="AQ528" s="207"/>
      <c r="AR528" s="207"/>
      <c r="AS528" s="207"/>
      <c r="AT528" s="208"/>
      <c r="AU528" s="207"/>
      <c r="AV528" s="208"/>
    </row>
    <row r="529" spans="1:48" s="205" customFormat="1" ht="15">
      <c r="A529" s="145"/>
      <c r="B529" s="166">
        <v>2183</v>
      </c>
      <c r="C529" s="167">
        <v>113272</v>
      </c>
      <c r="D529" s="166" t="s">
        <v>1053</v>
      </c>
      <c r="E529" s="168" t="s">
        <v>502</v>
      </c>
      <c r="F529" s="166">
        <v>2</v>
      </c>
      <c r="G529" s="168"/>
      <c r="H529" s="168"/>
      <c r="I529" s="168"/>
      <c r="J529" s="168">
        <v>0</v>
      </c>
      <c r="K529" s="168" t="s">
        <v>1261</v>
      </c>
      <c r="L529" s="168"/>
      <c r="M529" s="168"/>
      <c r="N529" s="169">
        <v>41749</v>
      </c>
      <c r="O529" s="169">
        <v>41749</v>
      </c>
      <c r="P529" s="168" t="s">
        <v>1772</v>
      </c>
      <c r="Q529" s="166">
        <v>300</v>
      </c>
      <c r="R529" s="166">
        <v>14110</v>
      </c>
      <c r="S529" s="170">
        <v>656.58</v>
      </c>
      <c r="T529" s="166">
        <v>14116</v>
      </c>
      <c r="U529" s="170">
        <v>656.58</v>
      </c>
      <c r="V529" s="170">
        <f t="shared" si="28"/>
        <v>0</v>
      </c>
      <c r="W529" s="171">
        <v>0</v>
      </c>
      <c r="X529" s="166">
        <v>70260</v>
      </c>
      <c r="Y529" s="170">
        <v>0</v>
      </c>
      <c r="Z529" s="168" t="s">
        <v>1053</v>
      </c>
      <c r="AA529" s="168"/>
      <c r="AB529" s="168" t="s">
        <v>1773</v>
      </c>
      <c r="AC529" s="168"/>
      <c r="AD529" s="168" t="s">
        <v>1058</v>
      </c>
      <c r="AE529" s="168" t="s">
        <v>1059</v>
      </c>
      <c r="AF529" s="166" t="s">
        <v>284</v>
      </c>
      <c r="AG529" s="168"/>
      <c r="AH529" s="166" t="s">
        <v>1060</v>
      </c>
      <c r="AI529" s="168">
        <v>0</v>
      </c>
      <c r="AJ529" s="168">
        <v>0</v>
      </c>
      <c r="AP529" s="206"/>
      <c r="AQ529" s="207"/>
      <c r="AR529" s="207"/>
      <c r="AS529" s="207"/>
      <c r="AT529" s="208"/>
      <c r="AU529" s="207"/>
      <c r="AV529" s="208"/>
    </row>
    <row r="530" spans="1:48" s="205" customFormat="1" ht="15">
      <c r="A530" s="145"/>
      <c r="B530" s="166">
        <v>2183</v>
      </c>
      <c r="C530" s="167">
        <v>112465</v>
      </c>
      <c r="D530" s="166" t="s">
        <v>1053</v>
      </c>
      <c r="E530" s="168" t="s">
        <v>1774</v>
      </c>
      <c r="F530" s="166">
        <v>210</v>
      </c>
      <c r="G530" s="168"/>
      <c r="H530" s="168"/>
      <c r="I530" s="168"/>
      <c r="J530" s="168">
        <v>0</v>
      </c>
      <c r="K530" s="168" t="s">
        <v>1718</v>
      </c>
      <c r="L530" s="168"/>
      <c r="M530" s="168"/>
      <c r="N530" s="169">
        <v>41719</v>
      </c>
      <c r="O530" s="169">
        <v>41719</v>
      </c>
      <c r="P530" s="168" t="s">
        <v>1775</v>
      </c>
      <c r="Q530" s="166">
        <v>700</v>
      </c>
      <c r="R530" s="166">
        <v>14050</v>
      </c>
      <c r="S530" s="170">
        <v>9383.1</v>
      </c>
      <c r="T530" s="166">
        <v>14056</v>
      </c>
      <c r="U530" s="170">
        <v>9383.1</v>
      </c>
      <c r="V530" s="170">
        <f t="shared" si="28"/>
        <v>0</v>
      </c>
      <c r="W530" s="171">
        <v>335.13</v>
      </c>
      <c r="X530" s="166">
        <v>54260</v>
      </c>
      <c r="Y530" s="170">
        <v>0</v>
      </c>
      <c r="Z530" s="168" t="s">
        <v>1053</v>
      </c>
      <c r="AA530" s="168"/>
      <c r="AB530" s="168" t="s">
        <v>1776</v>
      </c>
      <c r="AC530" s="168"/>
      <c r="AD530" s="168" t="s">
        <v>1058</v>
      </c>
      <c r="AE530" s="168" t="s">
        <v>1059</v>
      </c>
      <c r="AF530" s="166" t="s">
        <v>284</v>
      </c>
      <c r="AG530" s="168"/>
      <c r="AH530" s="166" t="s">
        <v>1060</v>
      </c>
      <c r="AI530" s="168">
        <v>0</v>
      </c>
      <c r="AJ530" s="168">
        <v>0</v>
      </c>
      <c r="AP530" s="206"/>
      <c r="AQ530" s="207"/>
      <c r="AR530" s="207"/>
      <c r="AS530" s="207"/>
      <c r="AT530" s="208"/>
      <c r="AU530" s="207"/>
      <c r="AV530" s="208"/>
    </row>
    <row r="531" spans="1:48" s="205" customFormat="1" ht="15">
      <c r="A531" s="145"/>
      <c r="B531" s="166">
        <v>2183</v>
      </c>
      <c r="C531" s="167">
        <v>112464</v>
      </c>
      <c r="D531" s="166" t="s">
        <v>1053</v>
      </c>
      <c r="E531" s="168" t="s">
        <v>1777</v>
      </c>
      <c r="F531" s="166">
        <v>810</v>
      </c>
      <c r="G531" s="168"/>
      <c r="H531" s="168"/>
      <c r="I531" s="168"/>
      <c r="J531" s="168">
        <v>0</v>
      </c>
      <c r="K531" s="168" t="s">
        <v>1718</v>
      </c>
      <c r="L531" s="168"/>
      <c r="M531" s="168"/>
      <c r="N531" s="169">
        <v>41719</v>
      </c>
      <c r="O531" s="169">
        <v>41719</v>
      </c>
      <c r="P531" s="168" t="s">
        <v>1775</v>
      </c>
      <c r="Q531" s="166">
        <v>700</v>
      </c>
      <c r="R531" s="166">
        <v>14050</v>
      </c>
      <c r="S531" s="170">
        <v>30408.07</v>
      </c>
      <c r="T531" s="166">
        <v>14056</v>
      </c>
      <c r="U531" s="170">
        <v>30408.07</v>
      </c>
      <c r="V531" s="170">
        <f t="shared" si="28"/>
        <v>0</v>
      </c>
      <c r="W531" s="171">
        <v>1086</v>
      </c>
      <c r="X531" s="166">
        <v>54260</v>
      </c>
      <c r="Y531" s="170">
        <v>0</v>
      </c>
      <c r="Z531" s="168" t="s">
        <v>1053</v>
      </c>
      <c r="AA531" s="168"/>
      <c r="AB531" s="168" t="s">
        <v>1776</v>
      </c>
      <c r="AC531" s="168"/>
      <c r="AD531" s="168" t="s">
        <v>1058</v>
      </c>
      <c r="AE531" s="168" t="s">
        <v>1059</v>
      </c>
      <c r="AF531" s="166" t="s">
        <v>284</v>
      </c>
      <c r="AG531" s="168"/>
      <c r="AH531" s="166" t="s">
        <v>1060</v>
      </c>
      <c r="AI531" s="168">
        <v>0</v>
      </c>
      <c r="AJ531" s="168">
        <v>0</v>
      </c>
      <c r="AP531" s="206"/>
      <c r="AQ531" s="207"/>
      <c r="AR531" s="207"/>
      <c r="AS531" s="207"/>
      <c r="AT531" s="208"/>
      <c r="AU531" s="207"/>
      <c r="AV531" s="208"/>
    </row>
    <row r="532" spans="1:48" s="205" customFormat="1" ht="15">
      <c r="A532" s="145"/>
      <c r="B532" s="166">
        <v>2183</v>
      </c>
      <c r="C532" s="167">
        <v>112463</v>
      </c>
      <c r="D532" s="166" t="s">
        <v>1053</v>
      </c>
      <c r="E532" s="168" t="s">
        <v>1778</v>
      </c>
      <c r="F532" s="166">
        <v>324</v>
      </c>
      <c r="G532" s="168"/>
      <c r="H532" s="168"/>
      <c r="I532" s="168"/>
      <c r="J532" s="168">
        <v>0</v>
      </c>
      <c r="K532" s="168" t="s">
        <v>1718</v>
      </c>
      <c r="L532" s="168"/>
      <c r="M532" s="168"/>
      <c r="N532" s="169">
        <v>41719</v>
      </c>
      <c r="O532" s="169">
        <v>41719</v>
      </c>
      <c r="P532" s="168" t="s">
        <v>1775</v>
      </c>
      <c r="Q532" s="166">
        <v>700</v>
      </c>
      <c r="R532" s="166">
        <v>14050</v>
      </c>
      <c r="S532" s="170">
        <v>16748.46</v>
      </c>
      <c r="T532" s="166">
        <v>14056</v>
      </c>
      <c r="U532" s="170">
        <v>16748.46</v>
      </c>
      <c r="V532" s="170">
        <f t="shared" si="28"/>
        <v>0</v>
      </c>
      <c r="W532" s="171">
        <v>598.14</v>
      </c>
      <c r="X532" s="166">
        <v>54260</v>
      </c>
      <c r="Y532" s="170">
        <v>0</v>
      </c>
      <c r="Z532" s="168" t="s">
        <v>1053</v>
      </c>
      <c r="AA532" s="168"/>
      <c r="AB532" s="168" t="s">
        <v>1776</v>
      </c>
      <c r="AC532" s="168"/>
      <c r="AD532" s="168" t="s">
        <v>1058</v>
      </c>
      <c r="AE532" s="168" t="s">
        <v>1059</v>
      </c>
      <c r="AF532" s="166" t="s">
        <v>284</v>
      </c>
      <c r="AG532" s="168"/>
      <c r="AH532" s="166" t="s">
        <v>1060</v>
      </c>
      <c r="AI532" s="168">
        <v>0</v>
      </c>
      <c r="AJ532" s="168">
        <v>0</v>
      </c>
      <c r="AP532" s="206"/>
      <c r="AQ532" s="207"/>
      <c r="AR532" s="207"/>
      <c r="AS532" s="207"/>
      <c r="AT532" s="208"/>
      <c r="AU532" s="207"/>
      <c r="AV532" s="208"/>
    </row>
    <row r="533" spans="1:48" s="205" customFormat="1" ht="15">
      <c r="A533" s="145"/>
      <c r="B533" s="166">
        <v>2183</v>
      </c>
      <c r="C533" s="167">
        <v>112462</v>
      </c>
      <c r="D533" s="166" t="s">
        <v>1053</v>
      </c>
      <c r="E533" s="168" t="s">
        <v>1779</v>
      </c>
      <c r="F533" s="166">
        <v>243</v>
      </c>
      <c r="G533" s="168"/>
      <c r="H533" s="168"/>
      <c r="I533" s="168"/>
      <c r="J533" s="168">
        <v>0</v>
      </c>
      <c r="K533" s="168" t="s">
        <v>1718</v>
      </c>
      <c r="L533" s="168"/>
      <c r="M533" s="168"/>
      <c r="N533" s="169">
        <v>41719</v>
      </c>
      <c r="O533" s="169">
        <v>41719</v>
      </c>
      <c r="P533" s="168" t="s">
        <v>1775</v>
      </c>
      <c r="Q533" s="166">
        <v>700</v>
      </c>
      <c r="R533" s="166">
        <v>14050</v>
      </c>
      <c r="S533" s="170">
        <v>14855.45</v>
      </c>
      <c r="T533" s="166">
        <v>14056</v>
      </c>
      <c r="U533" s="170">
        <v>14855.45</v>
      </c>
      <c r="V533" s="170">
        <f t="shared" si="28"/>
        <v>0</v>
      </c>
      <c r="W533" s="171">
        <v>530.53</v>
      </c>
      <c r="X533" s="166">
        <v>54260</v>
      </c>
      <c r="Y533" s="170">
        <v>0</v>
      </c>
      <c r="Z533" s="168" t="s">
        <v>1053</v>
      </c>
      <c r="AA533" s="168"/>
      <c r="AB533" s="168" t="s">
        <v>1776</v>
      </c>
      <c r="AC533" s="168"/>
      <c r="AD533" s="168" t="s">
        <v>1058</v>
      </c>
      <c r="AE533" s="168" t="s">
        <v>1059</v>
      </c>
      <c r="AF533" s="166" t="s">
        <v>284</v>
      </c>
      <c r="AG533" s="168"/>
      <c r="AH533" s="166" t="s">
        <v>1060</v>
      </c>
      <c r="AI533" s="168">
        <v>0</v>
      </c>
      <c r="AJ533" s="168">
        <v>0</v>
      </c>
      <c r="AP533" s="206"/>
      <c r="AQ533" s="207"/>
      <c r="AR533" s="207"/>
      <c r="AS533" s="207"/>
      <c r="AT533" s="208"/>
      <c r="AU533" s="207"/>
      <c r="AV533" s="208"/>
    </row>
    <row r="534" spans="1:48" s="205" customFormat="1" ht="15">
      <c r="A534" s="145"/>
      <c r="B534" s="166">
        <v>2183</v>
      </c>
      <c r="C534" s="167">
        <v>112461</v>
      </c>
      <c r="D534" s="166" t="s">
        <v>1053</v>
      </c>
      <c r="E534" s="168" t="s">
        <v>1779</v>
      </c>
      <c r="F534" s="166">
        <v>486</v>
      </c>
      <c r="G534" s="168"/>
      <c r="H534" s="168"/>
      <c r="I534" s="168"/>
      <c r="J534" s="168">
        <v>0</v>
      </c>
      <c r="K534" s="168" t="s">
        <v>1718</v>
      </c>
      <c r="L534" s="168"/>
      <c r="M534" s="168"/>
      <c r="N534" s="169">
        <v>41719</v>
      </c>
      <c r="O534" s="169">
        <v>41719</v>
      </c>
      <c r="P534" s="168" t="s">
        <v>1775</v>
      </c>
      <c r="Q534" s="166">
        <v>700</v>
      </c>
      <c r="R534" s="166">
        <v>14050</v>
      </c>
      <c r="S534" s="170">
        <v>27064.05</v>
      </c>
      <c r="T534" s="166">
        <v>14056</v>
      </c>
      <c r="U534" s="170">
        <v>27064.05</v>
      </c>
      <c r="V534" s="170">
        <f t="shared" si="28"/>
        <v>0</v>
      </c>
      <c r="W534" s="171">
        <v>966.59</v>
      </c>
      <c r="X534" s="166">
        <v>54260</v>
      </c>
      <c r="Y534" s="170">
        <v>0</v>
      </c>
      <c r="Z534" s="168" t="s">
        <v>1053</v>
      </c>
      <c r="AA534" s="168"/>
      <c r="AB534" s="168" t="s">
        <v>1776</v>
      </c>
      <c r="AC534" s="168"/>
      <c r="AD534" s="168" t="s">
        <v>1058</v>
      </c>
      <c r="AE534" s="168" t="s">
        <v>1059</v>
      </c>
      <c r="AF534" s="166" t="s">
        <v>284</v>
      </c>
      <c r="AG534" s="168"/>
      <c r="AH534" s="166" t="s">
        <v>1060</v>
      </c>
      <c r="AI534" s="168">
        <v>0</v>
      </c>
      <c r="AJ534" s="168">
        <v>0</v>
      </c>
      <c r="AP534" s="206"/>
      <c r="AQ534" s="207"/>
      <c r="AR534" s="207"/>
      <c r="AS534" s="207"/>
      <c r="AT534" s="208"/>
      <c r="AU534" s="207"/>
      <c r="AV534" s="208"/>
    </row>
    <row r="535" spans="1:48" s="205" customFormat="1" ht="15">
      <c r="A535" s="145"/>
      <c r="B535" s="166">
        <v>2183</v>
      </c>
      <c r="C535" s="167">
        <v>111304</v>
      </c>
      <c r="D535" s="166">
        <v>111303</v>
      </c>
      <c r="E535" s="168" t="s">
        <v>1780</v>
      </c>
      <c r="F535" s="166"/>
      <c r="G535" s="168"/>
      <c r="H535" s="168"/>
      <c r="I535" s="168"/>
      <c r="J535" s="168">
        <v>0</v>
      </c>
      <c r="K535" s="168" t="s">
        <v>1781</v>
      </c>
      <c r="L535" s="168"/>
      <c r="M535" s="168" t="s">
        <v>1303</v>
      </c>
      <c r="N535" s="169">
        <v>41640</v>
      </c>
      <c r="O535" s="169">
        <v>41640</v>
      </c>
      <c r="P535" s="168" t="s">
        <v>1782</v>
      </c>
      <c r="Q535" s="166">
        <v>1000</v>
      </c>
      <c r="R535" s="166">
        <v>14040</v>
      </c>
      <c r="S535" s="170">
        <v>904.93</v>
      </c>
      <c r="T535" s="166">
        <v>14046</v>
      </c>
      <c r="U535" s="170">
        <v>716.38</v>
      </c>
      <c r="V535" s="170">
        <f t="shared" si="28"/>
        <v>188.54999999999995</v>
      </c>
      <c r="W535" s="171">
        <v>82.95</v>
      </c>
      <c r="X535" s="166">
        <v>51260</v>
      </c>
      <c r="Y535" s="170">
        <v>7.54</v>
      </c>
      <c r="Z535" s="168" t="s">
        <v>1053</v>
      </c>
      <c r="AA535" s="168"/>
      <c r="AB535" s="168">
        <v>1212</v>
      </c>
      <c r="AC535" s="168"/>
      <c r="AD535" s="168" t="s">
        <v>1058</v>
      </c>
      <c r="AE535" s="168" t="s">
        <v>1059</v>
      </c>
      <c r="AF535" s="166" t="s">
        <v>284</v>
      </c>
      <c r="AG535" s="216">
        <v>41698</v>
      </c>
      <c r="AH535" s="166" t="s">
        <v>1060</v>
      </c>
      <c r="AI535" s="168">
        <v>0</v>
      </c>
      <c r="AJ535" s="168">
        <v>15.08</v>
      </c>
      <c r="AP535" s="206"/>
      <c r="AQ535" s="207"/>
      <c r="AR535" s="207"/>
      <c r="AS535" s="207"/>
      <c r="AT535" s="208"/>
      <c r="AU535" s="207"/>
      <c r="AV535" s="208"/>
    </row>
    <row r="536" spans="1:48" s="205" customFormat="1" ht="15">
      <c r="A536" s="145"/>
      <c r="B536" s="166">
        <v>2183</v>
      </c>
      <c r="C536" s="167">
        <v>111303</v>
      </c>
      <c r="D536" s="166" t="s">
        <v>1053</v>
      </c>
      <c r="E536" s="168" t="s">
        <v>1783</v>
      </c>
      <c r="F536" s="166"/>
      <c r="G536" s="168"/>
      <c r="H536" s="168" t="s">
        <v>1784</v>
      </c>
      <c r="I536" s="168"/>
      <c r="J536" s="168">
        <v>2014</v>
      </c>
      <c r="K536" s="168" t="s">
        <v>1669</v>
      </c>
      <c r="L536" s="168" t="s">
        <v>1670</v>
      </c>
      <c r="M536" s="168" t="s">
        <v>1152</v>
      </c>
      <c r="N536" s="169">
        <v>41639</v>
      </c>
      <c r="O536" s="169">
        <v>41639</v>
      </c>
      <c r="P536" s="168" t="s">
        <v>1782</v>
      </c>
      <c r="Q536" s="166">
        <v>1000</v>
      </c>
      <c r="R536" s="166">
        <v>14040</v>
      </c>
      <c r="S536" s="170">
        <v>323070.82</v>
      </c>
      <c r="T536" s="166">
        <v>14046</v>
      </c>
      <c r="U536" s="170">
        <v>255764.38</v>
      </c>
      <c r="V536" s="170">
        <f t="shared" si="28"/>
        <v>67306.44</v>
      </c>
      <c r="W536" s="171">
        <v>29614.82</v>
      </c>
      <c r="X536" s="166">
        <v>51260</v>
      </c>
      <c r="Y536" s="170">
        <v>2692.25</v>
      </c>
      <c r="Z536" s="168" t="s">
        <v>1053</v>
      </c>
      <c r="AA536" s="168"/>
      <c r="AB536" s="168"/>
      <c r="AC536" s="168">
        <v>3542</v>
      </c>
      <c r="AD536" s="168" t="s">
        <v>1058</v>
      </c>
      <c r="AE536" s="168" t="s">
        <v>1059</v>
      </c>
      <c r="AF536" s="166" t="s">
        <v>284</v>
      </c>
      <c r="AG536" s="216">
        <v>41698</v>
      </c>
      <c r="AH536" s="166" t="s">
        <v>1060</v>
      </c>
      <c r="AI536" s="168">
        <v>0</v>
      </c>
      <c r="AJ536" s="168">
        <v>5384.51</v>
      </c>
      <c r="AP536" s="206"/>
      <c r="AQ536" s="207"/>
      <c r="AR536" s="207"/>
      <c r="AS536" s="207"/>
      <c r="AT536" s="208"/>
      <c r="AU536" s="207"/>
      <c r="AV536" s="208"/>
    </row>
    <row r="537" spans="1:48" s="205" customFormat="1" ht="15">
      <c r="A537" s="145"/>
      <c r="B537" s="166">
        <v>2183</v>
      </c>
      <c r="C537" s="167">
        <v>110576</v>
      </c>
      <c r="D537" s="166" t="s">
        <v>1053</v>
      </c>
      <c r="E537" s="168" t="s">
        <v>1785</v>
      </c>
      <c r="F537" s="166"/>
      <c r="G537" s="168"/>
      <c r="H537" s="168" t="s">
        <v>1786</v>
      </c>
      <c r="I537" s="168"/>
      <c r="J537" s="168">
        <v>2014</v>
      </c>
      <c r="K537" s="168" t="s">
        <v>1787</v>
      </c>
      <c r="L537" s="168" t="s">
        <v>1788</v>
      </c>
      <c r="M537" s="168" t="s">
        <v>1789</v>
      </c>
      <c r="N537" s="169">
        <v>41640</v>
      </c>
      <c r="O537" s="169">
        <v>41640</v>
      </c>
      <c r="P537" s="168" t="s">
        <v>1790</v>
      </c>
      <c r="Q537" s="166">
        <v>1000</v>
      </c>
      <c r="R537" s="166">
        <v>14040</v>
      </c>
      <c r="S537" s="170">
        <v>98824.34</v>
      </c>
      <c r="T537" s="166">
        <v>14046</v>
      </c>
      <c r="U537" s="170">
        <v>78235.899999999994</v>
      </c>
      <c r="V537" s="170">
        <f t="shared" si="28"/>
        <v>20588.440000000002</v>
      </c>
      <c r="W537" s="171">
        <v>9058.89</v>
      </c>
      <c r="X537" s="166">
        <v>51260</v>
      </c>
      <c r="Y537" s="170">
        <v>823.53</v>
      </c>
      <c r="Z537" s="168" t="s">
        <v>1053</v>
      </c>
      <c r="AA537" s="168"/>
      <c r="AB537" s="168"/>
      <c r="AC537" s="168">
        <v>9228</v>
      </c>
      <c r="AD537" s="168" t="s">
        <v>1058</v>
      </c>
      <c r="AE537" s="168" t="s">
        <v>1059</v>
      </c>
      <c r="AF537" s="166" t="s">
        <v>284</v>
      </c>
      <c r="AG537" s="168"/>
      <c r="AH537" s="166" t="s">
        <v>1060</v>
      </c>
      <c r="AI537" s="168">
        <v>0</v>
      </c>
      <c r="AJ537" s="168">
        <v>0</v>
      </c>
      <c r="AP537" s="206"/>
      <c r="AQ537" s="207"/>
      <c r="AR537" s="207"/>
      <c r="AS537" s="207"/>
      <c r="AT537" s="208"/>
      <c r="AU537" s="207"/>
      <c r="AV537" s="208"/>
    </row>
    <row r="538" spans="1:48" s="205" customFormat="1" ht="15">
      <c r="A538" s="145"/>
      <c r="B538" s="166">
        <v>2183</v>
      </c>
      <c r="C538" s="167">
        <v>109992</v>
      </c>
      <c r="D538" s="166">
        <v>61120</v>
      </c>
      <c r="E538" s="168" t="s">
        <v>1791</v>
      </c>
      <c r="F538" s="166"/>
      <c r="G538" s="168"/>
      <c r="H538" s="168"/>
      <c r="I538" s="168"/>
      <c r="J538" s="168">
        <v>0</v>
      </c>
      <c r="K538" s="168" t="s">
        <v>1792</v>
      </c>
      <c r="L538" s="168"/>
      <c r="M538" s="168" t="s">
        <v>1303</v>
      </c>
      <c r="N538" s="169">
        <v>41639</v>
      </c>
      <c r="O538" s="169">
        <v>41639</v>
      </c>
      <c r="P538" s="168" t="s">
        <v>1793</v>
      </c>
      <c r="Q538" s="166">
        <v>300</v>
      </c>
      <c r="R538" s="166">
        <v>14040</v>
      </c>
      <c r="S538" s="170">
        <v>24943.74</v>
      </c>
      <c r="T538" s="166">
        <v>14046</v>
      </c>
      <c r="U538" s="170">
        <v>24943.74</v>
      </c>
      <c r="V538" s="170">
        <f t="shared" si="28"/>
        <v>0</v>
      </c>
      <c r="W538" s="171">
        <v>0</v>
      </c>
      <c r="X538" s="166">
        <v>51260</v>
      </c>
      <c r="Y538" s="170">
        <v>0</v>
      </c>
      <c r="Z538" s="168" t="s">
        <v>1053</v>
      </c>
      <c r="AA538" s="168"/>
      <c r="AB538" s="168" t="s">
        <v>1794</v>
      </c>
      <c r="AC538" s="168"/>
      <c r="AD538" s="168" t="s">
        <v>1058</v>
      </c>
      <c r="AE538" s="168" t="s">
        <v>1059</v>
      </c>
      <c r="AF538" s="166" t="s">
        <v>284</v>
      </c>
      <c r="AG538" s="168"/>
      <c r="AH538" s="166" t="s">
        <v>1060</v>
      </c>
      <c r="AI538" s="168">
        <v>0</v>
      </c>
      <c r="AJ538" s="168">
        <v>0</v>
      </c>
      <c r="AP538" s="206"/>
      <c r="AQ538" s="207"/>
      <c r="AR538" s="207"/>
      <c r="AS538" s="207"/>
      <c r="AT538" s="208"/>
      <c r="AU538" s="207"/>
      <c r="AV538" s="208"/>
    </row>
    <row r="539" spans="1:48" s="205" customFormat="1" ht="15">
      <c r="A539" s="145"/>
      <c r="B539" s="166">
        <v>2183</v>
      </c>
      <c r="C539" s="167">
        <v>109582</v>
      </c>
      <c r="D539" s="166" t="s">
        <v>1053</v>
      </c>
      <c r="E539" s="168" t="s">
        <v>1795</v>
      </c>
      <c r="F539" s="166"/>
      <c r="G539" s="168"/>
      <c r="H539" s="168"/>
      <c r="I539" s="168"/>
      <c r="J539" s="168">
        <v>0</v>
      </c>
      <c r="K539" s="168"/>
      <c r="L539" s="168"/>
      <c r="M539" s="168"/>
      <c r="N539" s="169">
        <v>41626</v>
      </c>
      <c r="O539" s="169">
        <v>41626</v>
      </c>
      <c r="P539" s="168" t="s">
        <v>1796</v>
      </c>
      <c r="Q539" s="166">
        <v>300</v>
      </c>
      <c r="R539" s="166">
        <v>14110</v>
      </c>
      <c r="S539" s="170">
        <v>134875</v>
      </c>
      <c r="T539" s="166">
        <v>14116</v>
      </c>
      <c r="U539" s="170">
        <v>134875</v>
      </c>
      <c r="V539" s="170">
        <f t="shared" si="28"/>
        <v>0</v>
      </c>
      <c r="W539" s="171">
        <v>0</v>
      </c>
      <c r="X539" s="166">
        <v>70260</v>
      </c>
      <c r="Y539" s="170">
        <v>0</v>
      </c>
      <c r="Z539" s="168" t="s">
        <v>1053</v>
      </c>
      <c r="AA539" s="168"/>
      <c r="AB539" s="168"/>
      <c r="AC539" s="168"/>
      <c r="AD539" s="168" t="s">
        <v>1058</v>
      </c>
      <c r="AE539" s="168" t="s">
        <v>1059</v>
      </c>
      <c r="AF539" s="166" t="s">
        <v>284</v>
      </c>
      <c r="AG539" s="168"/>
      <c r="AH539" s="166" t="s">
        <v>1060</v>
      </c>
      <c r="AI539" s="168">
        <v>0</v>
      </c>
      <c r="AJ539" s="168">
        <v>0</v>
      </c>
      <c r="AP539" s="206"/>
      <c r="AQ539" s="207"/>
      <c r="AR539" s="207"/>
      <c r="AS539" s="207"/>
      <c r="AT539" s="208"/>
      <c r="AU539" s="207"/>
      <c r="AV539" s="208"/>
    </row>
    <row r="540" spans="1:48" s="205" customFormat="1" ht="15">
      <c r="A540" s="145"/>
      <c r="B540" s="166">
        <v>2183</v>
      </c>
      <c r="C540" s="167">
        <v>109519</v>
      </c>
      <c r="D540" s="166" t="s">
        <v>1053</v>
      </c>
      <c r="E540" s="168" t="s">
        <v>1783</v>
      </c>
      <c r="F540" s="166"/>
      <c r="G540" s="168"/>
      <c r="H540" s="168" t="s">
        <v>1797</v>
      </c>
      <c r="I540" s="168"/>
      <c r="J540" s="168">
        <v>2014</v>
      </c>
      <c r="K540" s="168" t="s">
        <v>1196</v>
      </c>
      <c r="L540" s="168" t="s">
        <v>1584</v>
      </c>
      <c r="M540" s="168" t="s">
        <v>1152</v>
      </c>
      <c r="N540" s="169">
        <v>41639</v>
      </c>
      <c r="O540" s="169">
        <v>41639</v>
      </c>
      <c r="P540" s="168" t="s">
        <v>1798</v>
      </c>
      <c r="Q540" s="166">
        <v>1000</v>
      </c>
      <c r="R540" s="166">
        <v>14040</v>
      </c>
      <c r="S540" s="170">
        <v>332641.82</v>
      </c>
      <c r="T540" s="166">
        <v>14046</v>
      </c>
      <c r="U540" s="170">
        <v>263341.43</v>
      </c>
      <c r="V540" s="170">
        <f t="shared" si="28"/>
        <v>69300.390000000014</v>
      </c>
      <c r="W540" s="171">
        <v>30492.17</v>
      </c>
      <c r="X540" s="166">
        <v>51260</v>
      </c>
      <c r="Y540" s="170">
        <v>2772.02</v>
      </c>
      <c r="Z540" s="168" t="s">
        <v>1053</v>
      </c>
      <c r="AA540" s="168"/>
      <c r="AB540" s="168"/>
      <c r="AC540" s="168">
        <v>3541</v>
      </c>
      <c r="AD540" s="168" t="s">
        <v>1058</v>
      </c>
      <c r="AE540" s="168" t="s">
        <v>1059</v>
      </c>
      <c r="AF540" s="166" t="s">
        <v>284</v>
      </c>
      <c r="AG540" s="168"/>
      <c r="AH540" s="166" t="s">
        <v>1060</v>
      </c>
      <c r="AI540" s="168">
        <v>0</v>
      </c>
      <c r="AJ540" s="168">
        <v>0</v>
      </c>
      <c r="AP540" s="206"/>
      <c r="AQ540" s="207"/>
      <c r="AR540" s="207"/>
      <c r="AS540" s="207"/>
      <c r="AT540" s="208"/>
      <c r="AU540" s="207"/>
      <c r="AV540" s="208"/>
    </row>
    <row r="541" spans="1:48" s="205" customFormat="1" ht="15">
      <c r="A541" s="145"/>
      <c r="B541" s="166">
        <v>2183</v>
      </c>
      <c r="C541" s="167">
        <v>109518</v>
      </c>
      <c r="D541" s="166" t="s">
        <v>1053</v>
      </c>
      <c r="E541" s="168" t="s">
        <v>1799</v>
      </c>
      <c r="F541" s="166"/>
      <c r="G541" s="168"/>
      <c r="H541" s="168" t="s">
        <v>1800</v>
      </c>
      <c r="I541" s="168"/>
      <c r="J541" s="168">
        <v>2013</v>
      </c>
      <c r="K541" s="168" t="s">
        <v>1196</v>
      </c>
      <c r="L541" s="168" t="s">
        <v>1584</v>
      </c>
      <c r="M541" s="168" t="s">
        <v>1152</v>
      </c>
      <c r="N541" s="169">
        <v>41639</v>
      </c>
      <c r="O541" s="169">
        <v>41639</v>
      </c>
      <c r="P541" s="168" t="s">
        <v>1801</v>
      </c>
      <c r="Q541" s="166">
        <v>900</v>
      </c>
      <c r="R541" s="166">
        <v>14040</v>
      </c>
      <c r="S541" s="170">
        <v>334095.67</v>
      </c>
      <c r="T541" s="166">
        <v>14046</v>
      </c>
      <c r="U541" s="170">
        <v>293880.44</v>
      </c>
      <c r="V541" s="170">
        <f t="shared" si="28"/>
        <v>40215.229999999981</v>
      </c>
      <c r="W541" s="171">
        <v>34028.26</v>
      </c>
      <c r="X541" s="166">
        <v>51260</v>
      </c>
      <c r="Y541" s="170">
        <v>3093.48</v>
      </c>
      <c r="Z541" s="168" t="s">
        <v>1053</v>
      </c>
      <c r="AA541" s="168"/>
      <c r="AB541" s="168"/>
      <c r="AC541" s="168">
        <v>3540</v>
      </c>
      <c r="AD541" s="168" t="s">
        <v>1058</v>
      </c>
      <c r="AE541" s="168" t="s">
        <v>1059</v>
      </c>
      <c r="AF541" s="166" t="s">
        <v>284</v>
      </c>
      <c r="AG541" s="168"/>
      <c r="AH541" s="166" t="s">
        <v>1060</v>
      </c>
      <c r="AI541" s="168">
        <v>0</v>
      </c>
      <c r="AJ541" s="168">
        <v>0</v>
      </c>
      <c r="AP541" s="206"/>
      <c r="AQ541" s="207"/>
      <c r="AR541" s="207"/>
      <c r="AS541" s="207"/>
      <c r="AT541" s="208"/>
      <c r="AU541" s="207"/>
      <c r="AV541" s="208"/>
    </row>
    <row r="542" spans="1:48" s="205" customFormat="1" ht="15">
      <c r="A542" s="145"/>
      <c r="B542" s="166">
        <v>2183</v>
      </c>
      <c r="C542" s="167">
        <v>109517</v>
      </c>
      <c r="D542" s="166" t="s">
        <v>1053</v>
      </c>
      <c r="E542" s="168" t="s">
        <v>1799</v>
      </c>
      <c r="F542" s="166"/>
      <c r="G542" s="168"/>
      <c r="H542" s="168" t="s">
        <v>1802</v>
      </c>
      <c r="I542" s="168"/>
      <c r="J542" s="168">
        <v>2013</v>
      </c>
      <c r="K542" s="168" t="s">
        <v>1196</v>
      </c>
      <c r="L542" s="168" t="s">
        <v>1584</v>
      </c>
      <c r="M542" s="168" t="s">
        <v>1152</v>
      </c>
      <c r="N542" s="169">
        <v>41639</v>
      </c>
      <c r="O542" s="169">
        <v>41639</v>
      </c>
      <c r="P542" s="168" t="s">
        <v>1803</v>
      </c>
      <c r="Q542" s="166">
        <v>900</v>
      </c>
      <c r="R542" s="166">
        <v>14040</v>
      </c>
      <c r="S542" s="170">
        <v>331758.37</v>
      </c>
      <c r="T542" s="166">
        <v>14046</v>
      </c>
      <c r="U542" s="170">
        <v>291824.48</v>
      </c>
      <c r="V542" s="170">
        <f t="shared" si="28"/>
        <v>39933.890000000014</v>
      </c>
      <c r="W542" s="171">
        <v>33790.199999999997</v>
      </c>
      <c r="X542" s="166">
        <v>51260</v>
      </c>
      <c r="Y542" s="170">
        <v>3071.83</v>
      </c>
      <c r="Z542" s="168" t="s">
        <v>1053</v>
      </c>
      <c r="AA542" s="168"/>
      <c r="AB542" s="168"/>
      <c r="AC542" s="168">
        <v>3539</v>
      </c>
      <c r="AD542" s="168" t="s">
        <v>1058</v>
      </c>
      <c r="AE542" s="168" t="s">
        <v>1059</v>
      </c>
      <c r="AF542" s="166" t="s">
        <v>284</v>
      </c>
      <c r="AG542" s="168"/>
      <c r="AH542" s="166" t="s">
        <v>1060</v>
      </c>
      <c r="AI542" s="168">
        <v>0</v>
      </c>
      <c r="AJ542" s="168">
        <v>0</v>
      </c>
      <c r="AP542" s="206"/>
      <c r="AQ542" s="207"/>
      <c r="AR542" s="207"/>
      <c r="AS542" s="207"/>
      <c r="AT542" s="208"/>
      <c r="AU542" s="207"/>
      <c r="AV542" s="208"/>
    </row>
    <row r="543" spans="1:48" s="205" customFormat="1" ht="15">
      <c r="A543" s="145"/>
      <c r="B543" s="166">
        <v>2183</v>
      </c>
      <c r="C543" s="167">
        <v>109344</v>
      </c>
      <c r="D543" s="166" t="s">
        <v>1053</v>
      </c>
      <c r="E543" s="168" t="s">
        <v>615</v>
      </c>
      <c r="F543" s="166">
        <v>1080</v>
      </c>
      <c r="G543" s="168"/>
      <c r="H543" s="168"/>
      <c r="I543" s="168"/>
      <c r="J543" s="168">
        <v>0</v>
      </c>
      <c r="K543" s="168" t="s">
        <v>1718</v>
      </c>
      <c r="L543" s="168"/>
      <c r="M543" s="168"/>
      <c r="N543" s="169">
        <v>41583</v>
      </c>
      <c r="O543" s="169">
        <v>41583</v>
      </c>
      <c r="P543" s="168" t="s">
        <v>1804</v>
      </c>
      <c r="Q543" s="166">
        <v>700</v>
      </c>
      <c r="R543" s="166">
        <v>14050</v>
      </c>
      <c r="S543" s="170">
        <v>38869.17</v>
      </c>
      <c r="T543" s="166">
        <v>14056</v>
      </c>
      <c r="U543" s="170">
        <v>38869.17</v>
      </c>
      <c r="V543" s="170">
        <f t="shared" si="28"/>
        <v>0</v>
      </c>
      <c r="W543" s="171">
        <v>0</v>
      </c>
      <c r="X543" s="166">
        <v>54260</v>
      </c>
      <c r="Y543" s="170">
        <v>0</v>
      </c>
      <c r="Z543" s="168" t="s">
        <v>1053</v>
      </c>
      <c r="AA543" s="168"/>
      <c r="AB543" s="168" t="s">
        <v>1805</v>
      </c>
      <c r="AC543" s="168"/>
      <c r="AD543" s="168" t="s">
        <v>1058</v>
      </c>
      <c r="AE543" s="168" t="s">
        <v>1059</v>
      </c>
      <c r="AF543" s="166" t="s">
        <v>284</v>
      </c>
      <c r="AG543" s="168"/>
      <c r="AH543" s="166" t="s">
        <v>1060</v>
      </c>
      <c r="AI543" s="168">
        <v>0</v>
      </c>
      <c r="AJ543" s="168">
        <v>0</v>
      </c>
      <c r="AP543" s="206"/>
      <c r="AQ543" s="207"/>
      <c r="AR543" s="207"/>
      <c r="AS543" s="207"/>
      <c r="AT543" s="208"/>
      <c r="AU543" s="207"/>
      <c r="AV543" s="208"/>
    </row>
    <row r="544" spans="1:48" s="205" customFormat="1" ht="15">
      <c r="A544" s="145"/>
      <c r="B544" s="166">
        <v>2183</v>
      </c>
      <c r="C544" s="167">
        <v>109343</v>
      </c>
      <c r="D544" s="166" t="s">
        <v>1053</v>
      </c>
      <c r="E544" s="168" t="s">
        <v>1806</v>
      </c>
      <c r="F544" s="166">
        <v>1</v>
      </c>
      <c r="G544" s="168"/>
      <c r="H544" s="168"/>
      <c r="I544" s="168"/>
      <c r="J544" s="168">
        <v>0</v>
      </c>
      <c r="K544" s="168" t="s">
        <v>1718</v>
      </c>
      <c r="L544" s="168"/>
      <c r="M544" s="168"/>
      <c r="N544" s="169">
        <v>41589</v>
      </c>
      <c r="O544" s="169">
        <v>41589</v>
      </c>
      <c r="P544" s="168" t="s">
        <v>1807</v>
      </c>
      <c r="Q544" s="166">
        <v>700</v>
      </c>
      <c r="R544" s="166">
        <v>14050</v>
      </c>
      <c r="S544" s="170">
        <v>47.49</v>
      </c>
      <c r="T544" s="166">
        <v>14056</v>
      </c>
      <c r="U544" s="170">
        <v>47.49</v>
      </c>
      <c r="V544" s="170">
        <f t="shared" si="28"/>
        <v>0</v>
      </c>
      <c r="W544" s="171">
        <v>0</v>
      </c>
      <c r="X544" s="166">
        <v>54260</v>
      </c>
      <c r="Y544" s="170">
        <v>0</v>
      </c>
      <c r="Z544" s="168" t="s">
        <v>1053</v>
      </c>
      <c r="AA544" s="168"/>
      <c r="AB544" s="168" t="s">
        <v>1808</v>
      </c>
      <c r="AC544" s="168"/>
      <c r="AD544" s="168" t="s">
        <v>1058</v>
      </c>
      <c r="AE544" s="168" t="s">
        <v>1059</v>
      </c>
      <c r="AF544" s="166" t="s">
        <v>284</v>
      </c>
      <c r="AG544" s="168"/>
      <c r="AH544" s="166" t="s">
        <v>1060</v>
      </c>
      <c r="AI544" s="168">
        <v>0</v>
      </c>
      <c r="AJ544" s="168">
        <v>0</v>
      </c>
      <c r="AP544" s="206"/>
      <c r="AQ544" s="207"/>
      <c r="AR544" s="207"/>
      <c r="AS544" s="207"/>
      <c r="AT544" s="208"/>
      <c r="AU544" s="207"/>
      <c r="AV544" s="208"/>
    </row>
    <row r="545" spans="1:48" s="205" customFormat="1" ht="15">
      <c r="A545" s="145"/>
      <c r="B545" s="166">
        <v>2183</v>
      </c>
      <c r="C545" s="167">
        <v>109342</v>
      </c>
      <c r="D545" s="166" t="s">
        <v>1053</v>
      </c>
      <c r="E545" s="168" t="s">
        <v>1809</v>
      </c>
      <c r="F545" s="166">
        <v>121</v>
      </c>
      <c r="G545" s="168"/>
      <c r="H545" s="168"/>
      <c r="I545" s="168"/>
      <c r="J545" s="168">
        <v>0</v>
      </c>
      <c r="K545" s="168" t="s">
        <v>1718</v>
      </c>
      <c r="L545" s="168"/>
      <c r="M545" s="168"/>
      <c r="N545" s="169">
        <v>41582</v>
      </c>
      <c r="O545" s="169">
        <v>41582</v>
      </c>
      <c r="P545" s="168" t="s">
        <v>1807</v>
      </c>
      <c r="Q545" s="166">
        <v>700</v>
      </c>
      <c r="R545" s="166">
        <v>14050</v>
      </c>
      <c r="S545" s="170">
        <v>7248.64</v>
      </c>
      <c r="T545" s="166">
        <v>14056</v>
      </c>
      <c r="U545" s="170">
        <v>7248.64</v>
      </c>
      <c r="V545" s="170">
        <f t="shared" si="28"/>
        <v>0</v>
      </c>
      <c r="W545" s="171">
        <v>0</v>
      </c>
      <c r="X545" s="166">
        <v>54260</v>
      </c>
      <c r="Y545" s="170">
        <v>0</v>
      </c>
      <c r="Z545" s="168" t="s">
        <v>1053</v>
      </c>
      <c r="AA545" s="168"/>
      <c r="AB545" s="168" t="s">
        <v>1810</v>
      </c>
      <c r="AC545" s="168"/>
      <c r="AD545" s="168" t="s">
        <v>1058</v>
      </c>
      <c r="AE545" s="168" t="s">
        <v>1059</v>
      </c>
      <c r="AF545" s="166" t="s">
        <v>284</v>
      </c>
      <c r="AG545" s="168"/>
      <c r="AH545" s="166" t="s">
        <v>1060</v>
      </c>
      <c r="AI545" s="168">
        <v>0</v>
      </c>
      <c r="AJ545" s="168">
        <v>0</v>
      </c>
      <c r="AP545" s="206"/>
      <c r="AQ545" s="207"/>
      <c r="AR545" s="207"/>
      <c r="AS545" s="207"/>
      <c r="AT545" s="208"/>
      <c r="AU545" s="207"/>
      <c r="AV545" s="208"/>
    </row>
    <row r="546" spans="1:48" s="205" customFormat="1" ht="15">
      <c r="A546" s="145"/>
      <c r="B546" s="166">
        <v>2183</v>
      </c>
      <c r="C546" s="167">
        <v>109341</v>
      </c>
      <c r="D546" s="166" t="s">
        <v>1053</v>
      </c>
      <c r="E546" s="168" t="s">
        <v>1811</v>
      </c>
      <c r="F546" s="166">
        <v>122</v>
      </c>
      <c r="G546" s="168"/>
      <c r="H546" s="168"/>
      <c r="I546" s="168"/>
      <c r="J546" s="168">
        <v>0</v>
      </c>
      <c r="K546" s="168" t="s">
        <v>1718</v>
      </c>
      <c r="L546" s="168"/>
      <c r="M546" s="168"/>
      <c r="N546" s="169">
        <v>41582</v>
      </c>
      <c r="O546" s="169">
        <v>41582</v>
      </c>
      <c r="P546" s="168" t="s">
        <v>1812</v>
      </c>
      <c r="Q546" s="166">
        <v>700</v>
      </c>
      <c r="R546" s="166">
        <v>14050</v>
      </c>
      <c r="S546" s="170">
        <v>7308.09</v>
      </c>
      <c r="T546" s="166">
        <v>14056</v>
      </c>
      <c r="U546" s="170">
        <v>7308.09</v>
      </c>
      <c r="V546" s="170">
        <f t="shared" si="28"/>
        <v>0</v>
      </c>
      <c r="W546" s="171">
        <v>0</v>
      </c>
      <c r="X546" s="166">
        <v>54260</v>
      </c>
      <c r="Y546" s="170">
        <v>0</v>
      </c>
      <c r="Z546" s="168" t="s">
        <v>1053</v>
      </c>
      <c r="AA546" s="168"/>
      <c r="AB546" s="168" t="s">
        <v>1813</v>
      </c>
      <c r="AC546" s="168"/>
      <c r="AD546" s="168" t="s">
        <v>1058</v>
      </c>
      <c r="AE546" s="168" t="s">
        <v>1059</v>
      </c>
      <c r="AF546" s="166" t="s">
        <v>284</v>
      </c>
      <c r="AG546" s="168"/>
      <c r="AH546" s="166" t="s">
        <v>1060</v>
      </c>
      <c r="AI546" s="168">
        <v>0</v>
      </c>
      <c r="AJ546" s="168">
        <v>0</v>
      </c>
      <c r="AP546" s="206"/>
      <c r="AQ546" s="207"/>
      <c r="AR546" s="207"/>
      <c r="AS546" s="207"/>
      <c r="AT546" s="208"/>
      <c r="AU546" s="207"/>
      <c r="AV546" s="208"/>
    </row>
    <row r="547" spans="1:48" s="205" customFormat="1" ht="15">
      <c r="A547" s="145"/>
      <c r="B547" s="166">
        <v>2183</v>
      </c>
      <c r="C547" s="167">
        <v>109186</v>
      </c>
      <c r="D547" s="166" t="s">
        <v>1053</v>
      </c>
      <c r="E547" s="168" t="s">
        <v>718</v>
      </c>
      <c r="F547" s="166">
        <v>324</v>
      </c>
      <c r="G547" s="168"/>
      <c r="H547" s="168"/>
      <c r="I547" s="168"/>
      <c r="J547" s="168">
        <v>0</v>
      </c>
      <c r="K547" s="168" t="s">
        <v>1718</v>
      </c>
      <c r="L547" s="168"/>
      <c r="M547" s="168"/>
      <c r="N547" s="169">
        <v>41589</v>
      </c>
      <c r="O547" s="169">
        <v>41589</v>
      </c>
      <c r="P547" s="168" t="s">
        <v>1807</v>
      </c>
      <c r="Q547" s="166">
        <v>700</v>
      </c>
      <c r="R547" s="166">
        <v>14050</v>
      </c>
      <c r="S547" s="170">
        <v>13520.49</v>
      </c>
      <c r="T547" s="166">
        <v>14056</v>
      </c>
      <c r="U547" s="170">
        <v>13520.49</v>
      </c>
      <c r="V547" s="170">
        <f t="shared" si="28"/>
        <v>0</v>
      </c>
      <c r="W547" s="171">
        <v>0</v>
      </c>
      <c r="X547" s="166">
        <v>54260</v>
      </c>
      <c r="Y547" s="170">
        <v>0</v>
      </c>
      <c r="Z547" s="168" t="s">
        <v>1053</v>
      </c>
      <c r="AA547" s="168"/>
      <c r="AB547" s="168" t="s">
        <v>1814</v>
      </c>
      <c r="AC547" s="168"/>
      <c r="AD547" s="168" t="s">
        <v>1058</v>
      </c>
      <c r="AE547" s="168" t="s">
        <v>1059</v>
      </c>
      <c r="AF547" s="166" t="s">
        <v>284</v>
      </c>
      <c r="AG547" s="168"/>
      <c r="AH547" s="166" t="s">
        <v>1060</v>
      </c>
      <c r="AI547" s="168">
        <v>0</v>
      </c>
      <c r="AJ547" s="168">
        <v>0</v>
      </c>
      <c r="AP547" s="206"/>
      <c r="AQ547" s="207"/>
      <c r="AR547" s="207"/>
      <c r="AS547" s="207"/>
      <c r="AT547" s="208"/>
      <c r="AU547" s="207"/>
      <c r="AV547" s="208"/>
    </row>
    <row r="548" spans="1:48" s="205" customFormat="1" ht="15">
      <c r="A548" s="145"/>
      <c r="B548" s="166">
        <v>2183</v>
      </c>
      <c r="C548" s="167">
        <v>109182</v>
      </c>
      <c r="D548" s="166">
        <v>61096</v>
      </c>
      <c r="E548" s="168" t="s">
        <v>1748</v>
      </c>
      <c r="F548" s="166"/>
      <c r="G548" s="168"/>
      <c r="H548" s="168"/>
      <c r="I548" s="168"/>
      <c r="J548" s="168">
        <v>0</v>
      </c>
      <c r="K548" s="168" t="s">
        <v>1624</v>
      </c>
      <c r="L548" s="168"/>
      <c r="M548" s="168" t="s">
        <v>1303</v>
      </c>
      <c r="N548" s="169">
        <v>41570</v>
      </c>
      <c r="O548" s="169">
        <v>41570</v>
      </c>
      <c r="P548" s="168" t="s">
        <v>1815</v>
      </c>
      <c r="Q548" s="166">
        <v>300</v>
      </c>
      <c r="R548" s="166">
        <v>14040</v>
      </c>
      <c r="S548" s="170">
        <v>8837.86</v>
      </c>
      <c r="T548" s="166">
        <v>14046</v>
      </c>
      <c r="U548" s="170">
        <v>8837.86</v>
      </c>
      <c r="V548" s="170">
        <f t="shared" si="28"/>
        <v>0</v>
      </c>
      <c r="W548" s="171">
        <v>0</v>
      </c>
      <c r="X548" s="166">
        <v>51260</v>
      </c>
      <c r="Y548" s="170">
        <v>0</v>
      </c>
      <c r="Z548" s="168" t="s">
        <v>1053</v>
      </c>
      <c r="AA548" s="168"/>
      <c r="AB548" s="168">
        <v>127590</v>
      </c>
      <c r="AC548" s="168"/>
      <c r="AD548" s="168" t="s">
        <v>1058</v>
      </c>
      <c r="AE548" s="168" t="s">
        <v>1059</v>
      </c>
      <c r="AF548" s="166" t="s">
        <v>284</v>
      </c>
      <c r="AG548" s="168"/>
      <c r="AH548" s="166" t="s">
        <v>1060</v>
      </c>
      <c r="AI548" s="168">
        <v>0</v>
      </c>
      <c r="AJ548" s="168">
        <v>0</v>
      </c>
      <c r="AP548" s="206"/>
      <c r="AQ548" s="207"/>
      <c r="AR548" s="207"/>
      <c r="AS548" s="207"/>
      <c r="AT548" s="208"/>
      <c r="AU548" s="207"/>
      <c r="AV548" s="208"/>
    </row>
    <row r="549" spans="1:48" s="205" customFormat="1" ht="15">
      <c r="A549" s="145"/>
      <c r="B549" s="166">
        <v>2183</v>
      </c>
      <c r="C549" s="167">
        <v>109181</v>
      </c>
      <c r="D549" s="166">
        <v>61125</v>
      </c>
      <c r="E549" s="168" t="s">
        <v>1748</v>
      </c>
      <c r="F549" s="166"/>
      <c r="G549" s="168"/>
      <c r="H549" s="168"/>
      <c r="I549" s="168"/>
      <c r="J549" s="168">
        <v>0</v>
      </c>
      <c r="K549" s="168" t="s">
        <v>1624</v>
      </c>
      <c r="L549" s="168"/>
      <c r="M549" s="168" t="s">
        <v>1303</v>
      </c>
      <c r="N549" s="169">
        <v>41570</v>
      </c>
      <c r="O549" s="169">
        <v>41570</v>
      </c>
      <c r="P549" s="168" t="s">
        <v>1816</v>
      </c>
      <c r="Q549" s="166">
        <v>300</v>
      </c>
      <c r="R549" s="166">
        <v>14040</v>
      </c>
      <c r="S549" s="170">
        <v>8837.86</v>
      </c>
      <c r="T549" s="166">
        <v>14046</v>
      </c>
      <c r="U549" s="170">
        <v>8837.86</v>
      </c>
      <c r="V549" s="170">
        <f t="shared" si="28"/>
        <v>0</v>
      </c>
      <c r="W549" s="171">
        <v>0</v>
      </c>
      <c r="X549" s="166">
        <v>51260</v>
      </c>
      <c r="Y549" s="170">
        <v>0</v>
      </c>
      <c r="Z549" s="168" t="s">
        <v>1053</v>
      </c>
      <c r="AA549" s="168"/>
      <c r="AB549" s="168">
        <v>127591</v>
      </c>
      <c r="AC549" s="168"/>
      <c r="AD549" s="168" t="s">
        <v>1058</v>
      </c>
      <c r="AE549" s="168" t="s">
        <v>1059</v>
      </c>
      <c r="AF549" s="166" t="s">
        <v>284</v>
      </c>
      <c r="AG549" s="168"/>
      <c r="AH549" s="166" t="s">
        <v>1060</v>
      </c>
      <c r="AI549" s="168">
        <v>0</v>
      </c>
      <c r="AJ549" s="168">
        <v>0</v>
      </c>
      <c r="AP549" s="206"/>
      <c r="AQ549" s="207"/>
      <c r="AR549" s="207"/>
      <c r="AS549" s="207"/>
      <c r="AT549" s="208"/>
      <c r="AU549" s="207"/>
      <c r="AV549" s="208"/>
    </row>
    <row r="550" spans="1:48" s="205" customFormat="1" ht="15">
      <c r="A550" s="145"/>
      <c r="B550" s="166">
        <v>2183</v>
      </c>
      <c r="C550" s="167">
        <v>109180</v>
      </c>
      <c r="D550" s="166">
        <v>61097</v>
      </c>
      <c r="E550" s="168" t="s">
        <v>1748</v>
      </c>
      <c r="F550" s="166"/>
      <c r="G550" s="168"/>
      <c r="H550" s="168"/>
      <c r="I550" s="168"/>
      <c r="J550" s="168">
        <v>0</v>
      </c>
      <c r="K550" s="168" t="s">
        <v>1624</v>
      </c>
      <c r="L550" s="168"/>
      <c r="M550" s="168" t="s">
        <v>1303</v>
      </c>
      <c r="N550" s="169">
        <v>41570</v>
      </c>
      <c r="O550" s="169">
        <v>41570</v>
      </c>
      <c r="P550" s="168" t="s">
        <v>1817</v>
      </c>
      <c r="Q550" s="166">
        <v>300</v>
      </c>
      <c r="R550" s="166">
        <v>14040</v>
      </c>
      <c r="S550" s="170">
        <v>8837.86</v>
      </c>
      <c r="T550" s="166">
        <v>14046</v>
      </c>
      <c r="U550" s="170">
        <v>8837.86</v>
      </c>
      <c r="V550" s="170">
        <f t="shared" si="28"/>
        <v>0</v>
      </c>
      <c r="W550" s="171">
        <v>0</v>
      </c>
      <c r="X550" s="166">
        <v>51260</v>
      </c>
      <c r="Y550" s="170">
        <v>0</v>
      </c>
      <c r="Z550" s="168" t="s">
        <v>1053</v>
      </c>
      <c r="AA550" s="168"/>
      <c r="AB550" s="168">
        <v>127593</v>
      </c>
      <c r="AC550" s="168"/>
      <c r="AD550" s="168" t="s">
        <v>1058</v>
      </c>
      <c r="AE550" s="168" t="s">
        <v>1059</v>
      </c>
      <c r="AF550" s="166" t="s">
        <v>284</v>
      </c>
      <c r="AG550" s="168"/>
      <c r="AH550" s="166" t="s">
        <v>1060</v>
      </c>
      <c r="AI550" s="168">
        <v>0</v>
      </c>
      <c r="AJ550" s="168">
        <v>0</v>
      </c>
      <c r="AP550" s="206"/>
      <c r="AQ550" s="207"/>
      <c r="AR550" s="207"/>
      <c r="AS550" s="207"/>
      <c r="AT550" s="208"/>
      <c r="AU550" s="207"/>
      <c r="AV550" s="208"/>
    </row>
    <row r="551" spans="1:48" s="205" customFormat="1" ht="15">
      <c r="A551" s="145"/>
      <c r="B551" s="166">
        <v>2183</v>
      </c>
      <c r="C551" s="167">
        <v>108675</v>
      </c>
      <c r="D551" s="166">
        <v>61112</v>
      </c>
      <c r="E551" s="168" t="s">
        <v>1743</v>
      </c>
      <c r="F551" s="166"/>
      <c r="G551" s="168"/>
      <c r="H551" s="168"/>
      <c r="I551" s="168"/>
      <c r="J551" s="168">
        <v>0</v>
      </c>
      <c r="K551" s="168" t="s">
        <v>1624</v>
      </c>
      <c r="L551" s="168"/>
      <c r="M551" s="168" t="s">
        <v>1303</v>
      </c>
      <c r="N551" s="169">
        <v>41590</v>
      </c>
      <c r="O551" s="169">
        <v>41590</v>
      </c>
      <c r="P551" s="168" t="s">
        <v>1818</v>
      </c>
      <c r="Q551" s="166">
        <v>300</v>
      </c>
      <c r="R551" s="166">
        <v>14040</v>
      </c>
      <c r="S551" s="170">
        <v>8837.86</v>
      </c>
      <c r="T551" s="166">
        <v>14046</v>
      </c>
      <c r="U551" s="170">
        <v>8837.86</v>
      </c>
      <c r="V551" s="170">
        <f t="shared" si="28"/>
        <v>0</v>
      </c>
      <c r="W551" s="171">
        <v>0</v>
      </c>
      <c r="X551" s="166">
        <v>51260</v>
      </c>
      <c r="Y551" s="170">
        <v>0</v>
      </c>
      <c r="Z551" s="168" t="s">
        <v>1053</v>
      </c>
      <c r="AA551" s="168"/>
      <c r="AB551" s="168">
        <v>127587</v>
      </c>
      <c r="AC551" s="168"/>
      <c r="AD551" s="168" t="s">
        <v>1058</v>
      </c>
      <c r="AE551" s="168" t="s">
        <v>1059</v>
      </c>
      <c r="AF551" s="166" t="s">
        <v>284</v>
      </c>
      <c r="AG551" s="168"/>
      <c r="AH551" s="166" t="s">
        <v>1060</v>
      </c>
      <c r="AI551" s="168">
        <v>0</v>
      </c>
      <c r="AJ551" s="168">
        <v>0</v>
      </c>
      <c r="AP551" s="206"/>
      <c r="AQ551" s="207"/>
      <c r="AR551" s="207"/>
      <c r="AS551" s="207"/>
      <c r="AT551" s="208"/>
      <c r="AU551" s="207"/>
      <c r="AV551" s="208"/>
    </row>
    <row r="552" spans="1:48" s="205" customFormat="1" ht="15">
      <c r="A552" s="145"/>
      <c r="B552" s="166">
        <v>2183</v>
      </c>
      <c r="C552" s="167">
        <v>108250</v>
      </c>
      <c r="D552" s="166" t="s">
        <v>1053</v>
      </c>
      <c r="E552" s="168" t="s">
        <v>1819</v>
      </c>
      <c r="F552" s="166"/>
      <c r="G552" s="168"/>
      <c r="H552" s="168"/>
      <c r="I552" s="168"/>
      <c r="J552" s="168">
        <v>0</v>
      </c>
      <c r="K552" s="168" t="s">
        <v>1261</v>
      </c>
      <c r="L552" s="168"/>
      <c r="M552" s="168"/>
      <c r="N552" s="169">
        <v>41562</v>
      </c>
      <c r="O552" s="169">
        <v>41562</v>
      </c>
      <c r="P552" s="168" t="s">
        <v>1820</v>
      </c>
      <c r="Q552" s="166">
        <v>300</v>
      </c>
      <c r="R552" s="166">
        <v>14110</v>
      </c>
      <c r="S552" s="170">
        <v>743.47</v>
      </c>
      <c r="T552" s="166">
        <v>14116</v>
      </c>
      <c r="U552" s="170">
        <v>743.47</v>
      </c>
      <c r="V552" s="170">
        <f t="shared" si="28"/>
        <v>0</v>
      </c>
      <c r="W552" s="171">
        <v>0</v>
      </c>
      <c r="X552" s="166">
        <v>70260</v>
      </c>
      <c r="Y552" s="170">
        <v>0</v>
      </c>
      <c r="Z552" s="168" t="s">
        <v>1053</v>
      </c>
      <c r="AA552" s="168"/>
      <c r="AB552" s="168" t="s">
        <v>1821</v>
      </c>
      <c r="AC552" s="168"/>
      <c r="AD552" s="168" t="s">
        <v>1058</v>
      </c>
      <c r="AE552" s="168" t="s">
        <v>1059</v>
      </c>
      <c r="AF552" s="166" t="s">
        <v>284</v>
      </c>
      <c r="AG552" s="168"/>
      <c r="AH552" s="166" t="s">
        <v>1060</v>
      </c>
      <c r="AI552" s="168">
        <v>0</v>
      </c>
      <c r="AJ552" s="168">
        <v>0</v>
      </c>
      <c r="AP552" s="206"/>
      <c r="AQ552" s="207"/>
      <c r="AR552" s="207"/>
      <c r="AS552" s="207"/>
      <c r="AT552" s="208"/>
      <c r="AU552" s="207"/>
      <c r="AV552" s="208"/>
    </row>
    <row r="553" spans="1:48" s="205" customFormat="1" ht="15">
      <c r="A553" s="145"/>
      <c r="B553" s="166">
        <v>2183</v>
      </c>
      <c r="C553" s="167">
        <v>108086</v>
      </c>
      <c r="D553" s="166">
        <v>61121</v>
      </c>
      <c r="E553" s="168" t="s">
        <v>1822</v>
      </c>
      <c r="F553" s="166"/>
      <c r="G553" s="168"/>
      <c r="H553" s="168"/>
      <c r="I553" s="168"/>
      <c r="J553" s="168">
        <v>0</v>
      </c>
      <c r="K553" s="168" t="s">
        <v>1823</v>
      </c>
      <c r="L553" s="168"/>
      <c r="M553" s="168" t="s">
        <v>1303</v>
      </c>
      <c r="N553" s="169">
        <v>41565</v>
      </c>
      <c r="O553" s="169">
        <v>41565</v>
      </c>
      <c r="P553" s="168" t="s">
        <v>1824</v>
      </c>
      <c r="Q553" s="166">
        <v>300</v>
      </c>
      <c r="R553" s="166">
        <v>14040</v>
      </c>
      <c r="S553" s="170">
        <v>23561.96</v>
      </c>
      <c r="T553" s="166">
        <v>14046</v>
      </c>
      <c r="U553" s="170">
        <v>23561.96</v>
      </c>
      <c r="V553" s="170">
        <f t="shared" si="28"/>
        <v>0</v>
      </c>
      <c r="W553" s="171">
        <v>0</v>
      </c>
      <c r="X553" s="166">
        <v>51260</v>
      </c>
      <c r="Y553" s="170">
        <v>0</v>
      </c>
      <c r="Z553" s="168" t="s">
        <v>1053</v>
      </c>
      <c r="AA553" s="168"/>
      <c r="AB553" s="168" t="s">
        <v>1825</v>
      </c>
      <c r="AC553" s="168"/>
      <c r="AD553" s="168" t="s">
        <v>1058</v>
      </c>
      <c r="AE553" s="168" t="s">
        <v>1059</v>
      </c>
      <c r="AF553" s="166" t="s">
        <v>284</v>
      </c>
      <c r="AG553" s="168"/>
      <c r="AH553" s="166" t="s">
        <v>1060</v>
      </c>
      <c r="AI553" s="168">
        <v>0</v>
      </c>
      <c r="AJ553" s="168">
        <v>0</v>
      </c>
      <c r="AP553" s="206"/>
      <c r="AQ553" s="207"/>
      <c r="AR553" s="207"/>
      <c r="AS553" s="207"/>
      <c r="AT553" s="208"/>
      <c r="AU553" s="207"/>
      <c r="AV553" s="208"/>
    </row>
    <row r="554" spans="1:48" s="205" customFormat="1" ht="15">
      <c r="A554" s="145"/>
      <c r="B554" s="166">
        <v>2183</v>
      </c>
      <c r="C554" s="167">
        <v>107455</v>
      </c>
      <c r="D554" s="166" t="s">
        <v>1053</v>
      </c>
      <c r="E554" s="168" t="s">
        <v>1826</v>
      </c>
      <c r="F554" s="166">
        <v>162</v>
      </c>
      <c r="G554" s="168"/>
      <c r="H554" s="168"/>
      <c r="I554" s="168"/>
      <c r="J554" s="168">
        <v>0</v>
      </c>
      <c r="K554" s="168" t="s">
        <v>1718</v>
      </c>
      <c r="L554" s="168"/>
      <c r="M554" s="168"/>
      <c r="N554" s="169">
        <v>41482</v>
      </c>
      <c r="O554" s="169">
        <v>41482</v>
      </c>
      <c r="P554" s="168" t="s">
        <v>1827</v>
      </c>
      <c r="Q554" s="166">
        <v>700</v>
      </c>
      <c r="R554" s="166">
        <v>14050</v>
      </c>
      <c r="S554" s="170">
        <v>7724.66</v>
      </c>
      <c r="T554" s="166">
        <v>14056</v>
      </c>
      <c r="U554" s="170">
        <v>7724.66</v>
      </c>
      <c r="V554" s="170">
        <f t="shared" si="28"/>
        <v>0</v>
      </c>
      <c r="W554" s="171">
        <v>0</v>
      </c>
      <c r="X554" s="166">
        <v>54260</v>
      </c>
      <c r="Y554" s="170">
        <v>0</v>
      </c>
      <c r="Z554" s="168" t="s">
        <v>1053</v>
      </c>
      <c r="AA554" s="168"/>
      <c r="AB554" s="168" t="s">
        <v>1828</v>
      </c>
      <c r="AC554" s="168"/>
      <c r="AD554" s="168" t="s">
        <v>1058</v>
      </c>
      <c r="AE554" s="168" t="s">
        <v>1059</v>
      </c>
      <c r="AF554" s="166" t="s">
        <v>284</v>
      </c>
      <c r="AG554" s="168"/>
      <c r="AH554" s="166" t="s">
        <v>1060</v>
      </c>
      <c r="AI554" s="168">
        <v>0</v>
      </c>
      <c r="AJ554" s="168">
        <v>0</v>
      </c>
      <c r="AP554" s="206"/>
      <c r="AQ554" s="207"/>
      <c r="AR554" s="207"/>
      <c r="AS554" s="207"/>
      <c r="AT554" s="208"/>
      <c r="AU554" s="207"/>
      <c r="AV554" s="208"/>
    </row>
    <row r="555" spans="1:48" s="205" customFormat="1" ht="15">
      <c r="A555" s="145"/>
      <c r="B555" s="166">
        <v>2183</v>
      </c>
      <c r="C555" s="167">
        <v>107454</v>
      </c>
      <c r="D555" s="166" t="s">
        <v>1053</v>
      </c>
      <c r="E555" s="168" t="s">
        <v>1829</v>
      </c>
      <c r="F555" s="166">
        <v>237</v>
      </c>
      <c r="G555" s="168"/>
      <c r="H555" s="168"/>
      <c r="I555" s="168"/>
      <c r="J555" s="168">
        <v>0</v>
      </c>
      <c r="K555" s="168" t="s">
        <v>1718</v>
      </c>
      <c r="L555" s="168"/>
      <c r="M555" s="168"/>
      <c r="N555" s="169">
        <v>41482</v>
      </c>
      <c r="O555" s="169">
        <v>41482</v>
      </c>
      <c r="P555" s="168" t="s">
        <v>1827</v>
      </c>
      <c r="Q555" s="166">
        <v>700</v>
      </c>
      <c r="R555" s="166">
        <v>14050</v>
      </c>
      <c r="S555" s="170">
        <v>13002.62</v>
      </c>
      <c r="T555" s="166">
        <v>14056</v>
      </c>
      <c r="U555" s="170">
        <v>13002.62</v>
      </c>
      <c r="V555" s="170">
        <f t="shared" si="28"/>
        <v>0</v>
      </c>
      <c r="W555" s="171">
        <v>0</v>
      </c>
      <c r="X555" s="166">
        <v>54260</v>
      </c>
      <c r="Y555" s="170">
        <v>0</v>
      </c>
      <c r="Z555" s="168" t="s">
        <v>1053</v>
      </c>
      <c r="AA555" s="168"/>
      <c r="AB555" s="168" t="s">
        <v>1830</v>
      </c>
      <c r="AC555" s="168"/>
      <c r="AD555" s="168" t="s">
        <v>1058</v>
      </c>
      <c r="AE555" s="168" t="s">
        <v>1059</v>
      </c>
      <c r="AF555" s="166" t="s">
        <v>284</v>
      </c>
      <c r="AG555" s="168"/>
      <c r="AH555" s="166" t="s">
        <v>1060</v>
      </c>
      <c r="AI555" s="168">
        <v>0</v>
      </c>
      <c r="AJ555" s="168">
        <v>0</v>
      </c>
      <c r="AP555" s="206"/>
      <c r="AQ555" s="207"/>
      <c r="AR555" s="207"/>
      <c r="AS555" s="207"/>
      <c r="AT555" s="208"/>
      <c r="AU555" s="207"/>
      <c r="AV555" s="208"/>
    </row>
    <row r="556" spans="1:48" s="205" customFormat="1" ht="15">
      <c r="A556" s="145"/>
      <c r="B556" s="166">
        <v>2183</v>
      </c>
      <c r="C556" s="167">
        <v>107453</v>
      </c>
      <c r="D556" s="166" t="s">
        <v>1053</v>
      </c>
      <c r="E556" s="168" t="s">
        <v>1829</v>
      </c>
      <c r="F556" s="166">
        <v>5</v>
      </c>
      <c r="G556" s="168"/>
      <c r="H556" s="168"/>
      <c r="I556" s="168"/>
      <c r="J556" s="168">
        <v>0</v>
      </c>
      <c r="K556" s="168" t="s">
        <v>1718</v>
      </c>
      <c r="L556" s="168"/>
      <c r="M556" s="168"/>
      <c r="N556" s="169">
        <v>41482</v>
      </c>
      <c r="O556" s="169">
        <v>41482</v>
      </c>
      <c r="P556" s="168" t="s">
        <v>1831</v>
      </c>
      <c r="Q556" s="166">
        <v>700</v>
      </c>
      <c r="R556" s="166">
        <v>14050</v>
      </c>
      <c r="S556" s="170">
        <v>243.98</v>
      </c>
      <c r="T556" s="166">
        <v>14056</v>
      </c>
      <c r="U556" s="170">
        <v>243.98</v>
      </c>
      <c r="V556" s="170">
        <f t="shared" si="28"/>
        <v>0</v>
      </c>
      <c r="W556" s="171">
        <v>0</v>
      </c>
      <c r="X556" s="166">
        <v>54260</v>
      </c>
      <c r="Y556" s="170">
        <v>0</v>
      </c>
      <c r="Z556" s="168" t="s">
        <v>1053</v>
      </c>
      <c r="AA556" s="168"/>
      <c r="AB556" s="168" t="s">
        <v>1832</v>
      </c>
      <c r="AC556" s="168"/>
      <c r="AD556" s="168" t="s">
        <v>1058</v>
      </c>
      <c r="AE556" s="168" t="s">
        <v>1059</v>
      </c>
      <c r="AF556" s="166" t="s">
        <v>284</v>
      </c>
      <c r="AG556" s="168"/>
      <c r="AH556" s="166" t="s">
        <v>1060</v>
      </c>
      <c r="AI556" s="168">
        <v>0</v>
      </c>
      <c r="AJ556" s="168">
        <v>0</v>
      </c>
      <c r="AP556" s="206"/>
      <c r="AQ556" s="207"/>
      <c r="AR556" s="207"/>
      <c r="AS556" s="207"/>
      <c r="AT556" s="208"/>
      <c r="AU556" s="207"/>
      <c r="AV556" s="208"/>
    </row>
    <row r="557" spans="1:48" s="205" customFormat="1" ht="15">
      <c r="A557" s="145"/>
      <c r="B557" s="166">
        <v>2183</v>
      </c>
      <c r="C557" s="167">
        <v>107452</v>
      </c>
      <c r="D557" s="166" t="s">
        <v>1053</v>
      </c>
      <c r="E557" s="168" t="s">
        <v>1833</v>
      </c>
      <c r="F557" s="166">
        <v>486</v>
      </c>
      <c r="G557" s="168"/>
      <c r="H557" s="168"/>
      <c r="I557" s="168"/>
      <c r="J557" s="168">
        <v>0</v>
      </c>
      <c r="K557" s="168" t="s">
        <v>1718</v>
      </c>
      <c r="L557" s="168"/>
      <c r="M557" s="168"/>
      <c r="N557" s="169">
        <v>41482</v>
      </c>
      <c r="O557" s="169">
        <v>41482</v>
      </c>
      <c r="P557" s="168" t="s">
        <v>1834</v>
      </c>
      <c r="Q557" s="166">
        <v>700</v>
      </c>
      <c r="R557" s="166">
        <v>14050</v>
      </c>
      <c r="S557" s="170">
        <v>24969.75</v>
      </c>
      <c r="T557" s="166">
        <v>14056</v>
      </c>
      <c r="U557" s="170">
        <v>24969.75</v>
      </c>
      <c r="V557" s="170">
        <f t="shared" si="28"/>
        <v>0</v>
      </c>
      <c r="W557" s="171">
        <v>0</v>
      </c>
      <c r="X557" s="166">
        <v>54260</v>
      </c>
      <c r="Y557" s="170">
        <v>0</v>
      </c>
      <c r="Z557" s="168" t="s">
        <v>1053</v>
      </c>
      <c r="AA557" s="168"/>
      <c r="AB557" s="168" t="s">
        <v>1835</v>
      </c>
      <c r="AC557" s="168"/>
      <c r="AD557" s="168" t="s">
        <v>1058</v>
      </c>
      <c r="AE557" s="168" t="s">
        <v>1059</v>
      </c>
      <c r="AF557" s="166" t="s">
        <v>284</v>
      </c>
      <c r="AG557" s="168"/>
      <c r="AH557" s="166" t="s">
        <v>1060</v>
      </c>
      <c r="AI557" s="168">
        <v>0</v>
      </c>
      <c r="AJ557" s="168">
        <v>0</v>
      </c>
      <c r="AP557" s="206"/>
      <c r="AQ557" s="207"/>
      <c r="AR557" s="207"/>
      <c r="AS557" s="207"/>
      <c r="AT557" s="208"/>
      <c r="AU557" s="207"/>
      <c r="AV557" s="208"/>
    </row>
    <row r="558" spans="1:48" s="205" customFormat="1" ht="15">
      <c r="A558" s="145"/>
      <c r="B558" s="166">
        <v>2183</v>
      </c>
      <c r="C558" s="167">
        <v>107430</v>
      </c>
      <c r="D558" s="166" t="s">
        <v>1053</v>
      </c>
      <c r="E558" s="168" t="s">
        <v>1836</v>
      </c>
      <c r="F558" s="166">
        <v>10</v>
      </c>
      <c r="G558" s="168"/>
      <c r="H558" s="168"/>
      <c r="I558" s="168"/>
      <c r="J558" s="168">
        <v>0</v>
      </c>
      <c r="K558" s="168" t="s">
        <v>1155</v>
      </c>
      <c r="L558" s="168"/>
      <c r="M558" s="168" t="s">
        <v>1207</v>
      </c>
      <c r="N558" s="169">
        <v>41536</v>
      </c>
      <c r="O558" s="169">
        <v>41536</v>
      </c>
      <c r="P558" s="168" t="s">
        <v>1837</v>
      </c>
      <c r="Q558" s="166">
        <v>1200</v>
      </c>
      <c r="R558" s="166">
        <v>14050</v>
      </c>
      <c r="S558" s="170">
        <v>3940.38</v>
      </c>
      <c r="T558" s="166">
        <v>14056</v>
      </c>
      <c r="U558" s="170">
        <v>2681.69</v>
      </c>
      <c r="V558" s="170">
        <f t="shared" si="28"/>
        <v>1258.69</v>
      </c>
      <c r="W558" s="171">
        <v>301.01</v>
      </c>
      <c r="X558" s="166">
        <v>54260</v>
      </c>
      <c r="Y558" s="170">
        <v>27.37</v>
      </c>
      <c r="Z558" s="168" t="s">
        <v>1053</v>
      </c>
      <c r="AA558" s="168"/>
      <c r="AB558" s="168">
        <v>86603</v>
      </c>
      <c r="AC558" s="168"/>
      <c r="AD558" s="168" t="s">
        <v>1058</v>
      </c>
      <c r="AE558" s="168" t="s">
        <v>1059</v>
      </c>
      <c r="AF558" s="166" t="s">
        <v>284</v>
      </c>
      <c r="AG558" s="168"/>
      <c r="AH558" s="166" t="s">
        <v>1060</v>
      </c>
      <c r="AI558" s="168">
        <v>0</v>
      </c>
      <c r="AJ558" s="168">
        <v>0</v>
      </c>
      <c r="AP558" s="206"/>
      <c r="AQ558" s="207"/>
      <c r="AR558" s="207"/>
      <c r="AS558" s="207"/>
      <c r="AT558" s="208"/>
      <c r="AU558" s="207"/>
      <c r="AV558" s="208"/>
    </row>
    <row r="559" spans="1:48" s="205" customFormat="1" ht="15">
      <c r="A559" s="145"/>
      <c r="B559" s="166">
        <v>2183</v>
      </c>
      <c r="C559" s="167">
        <v>107429</v>
      </c>
      <c r="D559" s="166" t="s">
        <v>1053</v>
      </c>
      <c r="E559" s="168" t="s">
        <v>1836</v>
      </c>
      <c r="F559" s="166">
        <v>4</v>
      </c>
      <c r="G559" s="168"/>
      <c r="H559" s="168"/>
      <c r="I559" s="168"/>
      <c r="J559" s="168">
        <v>0</v>
      </c>
      <c r="K559" s="168" t="s">
        <v>1155</v>
      </c>
      <c r="L559" s="168"/>
      <c r="M559" s="168" t="s">
        <v>1207</v>
      </c>
      <c r="N559" s="169">
        <v>41536</v>
      </c>
      <c r="O559" s="169">
        <v>41536</v>
      </c>
      <c r="P559" s="168" t="s">
        <v>1837</v>
      </c>
      <c r="Q559" s="166">
        <v>1200</v>
      </c>
      <c r="R559" s="166">
        <v>14050</v>
      </c>
      <c r="S559" s="170">
        <v>3152.3</v>
      </c>
      <c r="T559" s="166">
        <v>14056</v>
      </c>
      <c r="U559" s="170">
        <v>2145.3000000000002</v>
      </c>
      <c r="V559" s="170">
        <f t="shared" si="28"/>
        <v>1007</v>
      </c>
      <c r="W559" s="171">
        <v>240.8</v>
      </c>
      <c r="X559" s="166">
        <v>54260</v>
      </c>
      <c r="Y559" s="170">
        <v>21.89</v>
      </c>
      <c r="Z559" s="168" t="s">
        <v>1053</v>
      </c>
      <c r="AA559" s="168"/>
      <c r="AB559" s="168">
        <v>86585</v>
      </c>
      <c r="AC559" s="168"/>
      <c r="AD559" s="168" t="s">
        <v>1058</v>
      </c>
      <c r="AE559" s="168" t="s">
        <v>1059</v>
      </c>
      <c r="AF559" s="166" t="s">
        <v>284</v>
      </c>
      <c r="AG559" s="168"/>
      <c r="AH559" s="166" t="s">
        <v>1060</v>
      </c>
      <c r="AI559" s="168">
        <v>0</v>
      </c>
      <c r="AJ559" s="168">
        <v>0</v>
      </c>
      <c r="AP559" s="206"/>
      <c r="AQ559" s="207"/>
      <c r="AR559" s="207"/>
      <c r="AS559" s="207"/>
      <c r="AT559" s="208"/>
      <c r="AU559" s="207"/>
      <c r="AV559" s="208"/>
    </row>
    <row r="560" spans="1:48" s="205" customFormat="1" ht="15">
      <c r="A560" s="145"/>
      <c r="B560" s="166">
        <v>2183</v>
      </c>
      <c r="C560" s="167">
        <v>107428</v>
      </c>
      <c r="D560" s="166" t="s">
        <v>1053</v>
      </c>
      <c r="E560" s="168" t="s">
        <v>1836</v>
      </c>
      <c r="F560" s="166">
        <v>11</v>
      </c>
      <c r="G560" s="168"/>
      <c r="H560" s="168"/>
      <c r="I560" s="168"/>
      <c r="J560" s="168">
        <v>0</v>
      </c>
      <c r="K560" s="168" t="s">
        <v>1155</v>
      </c>
      <c r="L560" s="168"/>
      <c r="M560" s="168" t="s">
        <v>1207</v>
      </c>
      <c r="N560" s="169">
        <v>41536</v>
      </c>
      <c r="O560" s="169">
        <v>41536</v>
      </c>
      <c r="P560" s="168" t="s">
        <v>1837</v>
      </c>
      <c r="Q560" s="166">
        <v>1200</v>
      </c>
      <c r="R560" s="166">
        <v>14050</v>
      </c>
      <c r="S560" s="170">
        <v>8668.83</v>
      </c>
      <c r="T560" s="166">
        <v>14056</v>
      </c>
      <c r="U560" s="170">
        <v>5899.6</v>
      </c>
      <c r="V560" s="170">
        <f t="shared" si="28"/>
        <v>2769.2299999999996</v>
      </c>
      <c r="W560" s="171">
        <v>662.2</v>
      </c>
      <c r="X560" s="166">
        <v>54260</v>
      </c>
      <c r="Y560" s="170">
        <v>60.2</v>
      </c>
      <c r="Z560" s="168" t="s">
        <v>1053</v>
      </c>
      <c r="AA560" s="168"/>
      <c r="AB560" s="168">
        <v>86602</v>
      </c>
      <c r="AC560" s="168"/>
      <c r="AD560" s="168" t="s">
        <v>1058</v>
      </c>
      <c r="AE560" s="168" t="s">
        <v>1059</v>
      </c>
      <c r="AF560" s="166" t="s">
        <v>284</v>
      </c>
      <c r="AG560" s="168"/>
      <c r="AH560" s="166" t="s">
        <v>1060</v>
      </c>
      <c r="AI560" s="168">
        <v>0</v>
      </c>
      <c r="AJ560" s="168">
        <v>0</v>
      </c>
      <c r="AP560" s="206"/>
      <c r="AQ560" s="207"/>
      <c r="AR560" s="207"/>
      <c r="AS560" s="207"/>
      <c r="AT560" s="208"/>
      <c r="AU560" s="207"/>
      <c r="AV560" s="208"/>
    </row>
    <row r="561" spans="1:48" s="205" customFormat="1" ht="15">
      <c r="A561" s="145"/>
      <c r="B561" s="166">
        <v>2183</v>
      </c>
      <c r="C561" s="167">
        <v>107130</v>
      </c>
      <c r="D561" s="166" t="s">
        <v>1053</v>
      </c>
      <c r="E561" s="168" t="s">
        <v>1838</v>
      </c>
      <c r="F561" s="166">
        <v>8</v>
      </c>
      <c r="G561" s="168"/>
      <c r="H561" s="168"/>
      <c r="I561" s="168"/>
      <c r="J561" s="168">
        <v>0</v>
      </c>
      <c r="K561" s="168" t="s">
        <v>1155</v>
      </c>
      <c r="L561" s="168"/>
      <c r="M561" s="168" t="s">
        <v>1139</v>
      </c>
      <c r="N561" s="169">
        <v>41517</v>
      </c>
      <c r="O561" s="169">
        <v>41517</v>
      </c>
      <c r="P561" s="168" t="s">
        <v>1839</v>
      </c>
      <c r="Q561" s="166">
        <v>1200</v>
      </c>
      <c r="R561" s="166">
        <v>14050</v>
      </c>
      <c r="S561" s="170">
        <v>5000.2</v>
      </c>
      <c r="T561" s="166">
        <v>14056</v>
      </c>
      <c r="U561" s="170">
        <v>3437.62</v>
      </c>
      <c r="V561" s="170">
        <f t="shared" si="28"/>
        <v>1562.58</v>
      </c>
      <c r="W561" s="171">
        <v>381.96</v>
      </c>
      <c r="X561" s="166">
        <v>54260</v>
      </c>
      <c r="Y561" s="170">
        <v>34.729999999999997</v>
      </c>
      <c r="Z561" s="168" t="s">
        <v>1053</v>
      </c>
      <c r="AA561" s="168"/>
      <c r="AB561" s="168">
        <v>86167</v>
      </c>
      <c r="AC561" s="168"/>
      <c r="AD561" s="168" t="s">
        <v>1058</v>
      </c>
      <c r="AE561" s="168" t="s">
        <v>1059</v>
      </c>
      <c r="AF561" s="166" t="s">
        <v>284</v>
      </c>
      <c r="AG561" s="168"/>
      <c r="AH561" s="166" t="s">
        <v>1060</v>
      </c>
      <c r="AI561" s="168">
        <v>0</v>
      </c>
      <c r="AJ561" s="168">
        <v>0</v>
      </c>
      <c r="AP561" s="206"/>
      <c r="AQ561" s="207"/>
      <c r="AR561" s="207"/>
      <c r="AS561" s="207"/>
      <c r="AT561" s="208"/>
      <c r="AU561" s="207"/>
      <c r="AV561" s="208"/>
    </row>
    <row r="562" spans="1:48" s="205" customFormat="1" ht="15">
      <c r="A562" s="145"/>
      <c r="B562" s="166">
        <v>2183</v>
      </c>
      <c r="C562" s="167">
        <v>107129</v>
      </c>
      <c r="D562" s="166" t="s">
        <v>1053</v>
      </c>
      <c r="E562" s="168" t="s">
        <v>1838</v>
      </c>
      <c r="F562" s="166">
        <v>12</v>
      </c>
      <c r="G562" s="168"/>
      <c r="H562" s="168"/>
      <c r="I562" s="168"/>
      <c r="J562" s="168">
        <v>0</v>
      </c>
      <c r="K562" s="168" t="s">
        <v>1155</v>
      </c>
      <c r="L562" s="168"/>
      <c r="M562" s="168" t="s">
        <v>1139</v>
      </c>
      <c r="N562" s="169">
        <v>41517</v>
      </c>
      <c r="O562" s="169">
        <v>41517</v>
      </c>
      <c r="P562" s="168" t="s">
        <v>1837</v>
      </c>
      <c r="Q562" s="166">
        <v>1200</v>
      </c>
      <c r="R562" s="166">
        <v>14050</v>
      </c>
      <c r="S562" s="170">
        <v>7500.3</v>
      </c>
      <c r="T562" s="166">
        <v>14056</v>
      </c>
      <c r="U562" s="170">
        <v>5156.49</v>
      </c>
      <c r="V562" s="170">
        <f t="shared" si="28"/>
        <v>2343.8100000000004</v>
      </c>
      <c r="W562" s="171">
        <v>572.94000000000005</v>
      </c>
      <c r="X562" s="166">
        <v>54260</v>
      </c>
      <c r="Y562" s="170">
        <v>52.08</v>
      </c>
      <c r="Z562" s="168" t="s">
        <v>1053</v>
      </c>
      <c r="AA562" s="168"/>
      <c r="AB562" s="168">
        <v>86149</v>
      </c>
      <c r="AC562" s="168"/>
      <c r="AD562" s="168" t="s">
        <v>1058</v>
      </c>
      <c r="AE562" s="168" t="s">
        <v>1059</v>
      </c>
      <c r="AF562" s="166" t="s">
        <v>284</v>
      </c>
      <c r="AG562" s="168"/>
      <c r="AH562" s="166" t="s">
        <v>1060</v>
      </c>
      <c r="AI562" s="168">
        <v>0</v>
      </c>
      <c r="AJ562" s="168">
        <v>0</v>
      </c>
      <c r="AP562" s="206"/>
      <c r="AQ562" s="207"/>
      <c r="AR562" s="207"/>
      <c r="AS562" s="207"/>
      <c r="AT562" s="208"/>
      <c r="AU562" s="207"/>
      <c r="AV562" s="208"/>
    </row>
    <row r="563" spans="1:48" s="205" customFormat="1" ht="15">
      <c r="A563" s="145"/>
      <c r="B563" s="166">
        <v>2183</v>
      </c>
      <c r="C563" s="167">
        <v>107056</v>
      </c>
      <c r="D563" s="166" t="s">
        <v>1053</v>
      </c>
      <c r="E563" s="168" t="s">
        <v>1840</v>
      </c>
      <c r="F563" s="166">
        <v>20</v>
      </c>
      <c r="G563" s="168"/>
      <c r="H563" s="168"/>
      <c r="I563" s="168"/>
      <c r="J563" s="168">
        <v>0</v>
      </c>
      <c r="K563" s="168" t="s">
        <v>1155</v>
      </c>
      <c r="L563" s="168"/>
      <c r="M563" s="168" t="s">
        <v>1129</v>
      </c>
      <c r="N563" s="169">
        <v>41498</v>
      </c>
      <c r="O563" s="169">
        <v>41498</v>
      </c>
      <c r="P563" s="168" t="s">
        <v>1839</v>
      </c>
      <c r="Q563" s="166">
        <v>1200</v>
      </c>
      <c r="R563" s="166">
        <v>14050</v>
      </c>
      <c r="S563" s="170">
        <v>8913.4</v>
      </c>
      <c r="T563" s="166">
        <v>14056</v>
      </c>
      <c r="U563" s="170">
        <v>6189.83</v>
      </c>
      <c r="V563" s="170">
        <f t="shared" si="28"/>
        <v>2723.5699999999997</v>
      </c>
      <c r="W563" s="171">
        <v>680.88</v>
      </c>
      <c r="X563" s="166">
        <v>54260</v>
      </c>
      <c r="Y563" s="170">
        <v>61.9</v>
      </c>
      <c r="Z563" s="168" t="s">
        <v>1053</v>
      </c>
      <c r="AA563" s="168"/>
      <c r="AB563" s="168">
        <v>85513</v>
      </c>
      <c r="AC563" s="168"/>
      <c r="AD563" s="168" t="s">
        <v>1058</v>
      </c>
      <c r="AE563" s="168" t="s">
        <v>1059</v>
      </c>
      <c r="AF563" s="166" t="s">
        <v>284</v>
      </c>
      <c r="AG563" s="168"/>
      <c r="AH563" s="166" t="s">
        <v>1060</v>
      </c>
      <c r="AI563" s="168">
        <v>0</v>
      </c>
      <c r="AJ563" s="168">
        <v>0</v>
      </c>
      <c r="AP563" s="206"/>
      <c r="AQ563" s="207"/>
      <c r="AR563" s="207"/>
      <c r="AS563" s="207"/>
      <c r="AT563" s="208"/>
      <c r="AU563" s="207"/>
      <c r="AV563" s="208"/>
    </row>
    <row r="564" spans="1:48" s="205" customFormat="1" ht="15">
      <c r="A564" s="145"/>
      <c r="B564" s="166">
        <v>2183</v>
      </c>
      <c r="C564" s="167">
        <v>107055</v>
      </c>
      <c r="D564" s="166" t="s">
        <v>1053</v>
      </c>
      <c r="E564" s="168" t="s">
        <v>1841</v>
      </c>
      <c r="F564" s="166">
        <v>217</v>
      </c>
      <c r="G564" s="168"/>
      <c r="H564" s="168"/>
      <c r="I564" s="168"/>
      <c r="J564" s="168">
        <v>0</v>
      </c>
      <c r="K564" s="168" t="s">
        <v>1718</v>
      </c>
      <c r="L564" s="168"/>
      <c r="M564" s="168"/>
      <c r="N564" s="169">
        <v>41409</v>
      </c>
      <c r="O564" s="169">
        <v>41409</v>
      </c>
      <c r="P564" s="168" t="s">
        <v>1831</v>
      </c>
      <c r="Q564" s="166">
        <v>700</v>
      </c>
      <c r="R564" s="166">
        <v>14050</v>
      </c>
      <c r="S564" s="170">
        <v>8693.01</v>
      </c>
      <c r="T564" s="166">
        <v>14056</v>
      </c>
      <c r="U564" s="170">
        <v>8693.01</v>
      </c>
      <c r="V564" s="170">
        <f t="shared" si="28"/>
        <v>0</v>
      </c>
      <c r="W564" s="171">
        <v>0</v>
      </c>
      <c r="X564" s="166">
        <v>54260</v>
      </c>
      <c r="Y564" s="170">
        <v>0</v>
      </c>
      <c r="Z564" s="168" t="s">
        <v>1053</v>
      </c>
      <c r="AA564" s="168"/>
      <c r="AB564" s="168" t="s">
        <v>1842</v>
      </c>
      <c r="AC564" s="168"/>
      <c r="AD564" s="168" t="s">
        <v>1058</v>
      </c>
      <c r="AE564" s="168" t="s">
        <v>1059</v>
      </c>
      <c r="AF564" s="166" t="s">
        <v>284</v>
      </c>
      <c r="AG564" s="168"/>
      <c r="AH564" s="166" t="s">
        <v>1060</v>
      </c>
      <c r="AI564" s="168">
        <v>0</v>
      </c>
      <c r="AJ564" s="168">
        <v>0</v>
      </c>
      <c r="AP564" s="206"/>
      <c r="AQ564" s="207"/>
      <c r="AR564" s="207"/>
      <c r="AS564" s="207"/>
      <c r="AT564" s="208"/>
      <c r="AU564" s="207"/>
      <c r="AV564" s="208"/>
    </row>
    <row r="565" spans="1:48" s="205" customFormat="1" ht="15">
      <c r="A565" s="145"/>
      <c r="B565" s="166">
        <v>2183</v>
      </c>
      <c r="C565" s="167">
        <v>106521</v>
      </c>
      <c r="D565" s="166" t="s">
        <v>1053</v>
      </c>
      <c r="E565" s="168" t="s">
        <v>1843</v>
      </c>
      <c r="F565" s="166">
        <v>243</v>
      </c>
      <c r="G565" s="168"/>
      <c r="H565" s="168"/>
      <c r="I565" s="168"/>
      <c r="J565" s="168">
        <v>0</v>
      </c>
      <c r="K565" s="168" t="s">
        <v>1718</v>
      </c>
      <c r="L565" s="168"/>
      <c r="M565" s="168"/>
      <c r="N565" s="169">
        <v>41479</v>
      </c>
      <c r="O565" s="169">
        <v>41479</v>
      </c>
      <c r="P565" s="168" t="s">
        <v>1827</v>
      </c>
      <c r="Q565" s="166">
        <v>700</v>
      </c>
      <c r="R565" s="166">
        <v>14050</v>
      </c>
      <c r="S565" s="170">
        <v>11857.29</v>
      </c>
      <c r="T565" s="166">
        <v>14056</v>
      </c>
      <c r="U565" s="170">
        <v>11857.29</v>
      </c>
      <c r="V565" s="170">
        <f t="shared" si="28"/>
        <v>0</v>
      </c>
      <c r="W565" s="171">
        <v>0</v>
      </c>
      <c r="X565" s="166">
        <v>54260</v>
      </c>
      <c r="Y565" s="170">
        <v>0</v>
      </c>
      <c r="Z565" s="168" t="s">
        <v>1053</v>
      </c>
      <c r="AA565" s="168"/>
      <c r="AB565" s="168" t="s">
        <v>1844</v>
      </c>
      <c r="AC565" s="168"/>
      <c r="AD565" s="168" t="s">
        <v>1058</v>
      </c>
      <c r="AE565" s="168" t="s">
        <v>1059</v>
      </c>
      <c r="AF565" s="166" t="s">
        <v>284</v>
      </c>
      <c r="AG565" s="168"/>
      <c r="AH565" s="166" t="s">
        <v>1060</v>
      </c>
      <c r="AI565" s="168">
        <v>0</v>
      </c>
      <c r="AJ565" s="168">
        <v>0</v>
      </c>
      <c r="AP565" s="206"/>
      <c r="AQ565" s="207"/>
      <c r="AR565" s="207"/>
      <c r="AS565" s="207"/>
      <c r="AT565" s="208"/>
      <c r="AU565" s="207"/>
      <c r="AV565" s="208"/>
    </row>
    <row r="566" spans="1:48" s="205" customFormat="1" ht="15">
      <c r="A566" s="145"/>
      <c r="B566" s="166">
        <v>2183</v>
      </c>
      <c r="C566" s="167">
        <v>106520</v>
      </c>
      <c r="D566" s="166" t="s">
        <v>1053</v>
      </c>
      <c r="E566" s="168" t="s">
        <v>1845</v>
      </c>
      <c r="F566" s="166">
        <v>20</v>
      </c>
      <c r="G566" s="168"/>
      <c r="H566" s="168"/>
      <c r="I566" s="168"/>
      <c r="J566" s="168">
        <v>0</v>
      </c>
      <c r="K566" s="168" t="s">
        <v>1132</v>
      </c>
      <c r="L566" s="168"/>
      <c r="M566" s="168" t="s">
        <v>1136</v>
      </c>
      <c r="N566" s="169">
        <v>41498</v>
      </c>
      <c r="O566" s="169">
        <v>41498</v>
      </c>
      <c r="P566" s="168" t="s">
        <v>1839</v>
      </c>
      <c r="Q566" s="166">
        <v>1200</v>
      </c>
      <c r="R566" s="166">
        <v>14050</v>
      </c>
      <c r="S566" s="170">
        <v>10000.4</v>
      </c>
      <c r="T566" s="166">
        <v>14056</v>
      </c>
      <c r="U566" s="170">
        <v>6944.75</v>
      </c>
      <c r="V566" s="170">
        <f t="shared" si="28"/>
        <v>3055.6499999999996</v>
      </c>
      <c r="W566" s="171">
        <v>763.92</v>
      </c>
      <c r="X566" s="166">
        <v>54260</v>
      </c>
      <c r="Y566" s="170">
        <v>69.44</v>
      </c>
      <c r="Z566" s="168" t="s">
        <v>1053</v>
      </c>
      <c r="AA566" s="168"/>
      <c r="AB566" s="168">
        <v>85205</v>
      </c>
      <c r="AC566" s="168"/>
      <c r="AD566" s="168" t="s">
        <v>1058</v>
      </c>
      <c r="AE566" s="168" t="s">
        <v>1059</v>
      </c>
      <c r="AF566" s="166" t="s">
        <v>284</v>
      </c>
      <c r="AG566" s="168"/>
      <c r="AH566" s="166" t="s">
        <v>1060</v>
      </c>
      <c r="AI566" s="168">
        <v>0</v>
      </c>
      <c r="AJ566" s="168">
        <v>0</v>
      </c>
      <c r="AP566" s="206"/>
      <c r="AQ566" s="207"/>
      <c r="AR566" s="207"/>
      <c r="AS566" s="207"/>
      <c r="AT566" s="208"/>
      <c r="AU566" s="207"/>
      <c r="AV566" s="208"/>
    </row>
    <row r="567" spans="1:48" s="205" customFormat="1" ht="15">
      <c r="A567" s="145"/>
      <c r="B567" s="166">
        <v>2183</v>
      </c>
      <c r="C567" s="167">
        <v>106448</v>
      </c>
      <c r="D567" s="166" t="s">
        <v>1053</v>
      </c>
      <c r="E567" s="168" t="s">
        <v>1846</v>
      </c>
      <c r="F567" s="166">
        <v>540</v>
      </c>
      <c r="G567" s="168"/>
      <c r="H567" s="168" t="s">
        <v>1847</v>
      </c>
      <c r="I567" s="168"/>
      <c r="J567" s="168">
        <v>0</v>
      </c>
      <c r="K567" s="168"/>
      <c r="L567" s="168"/>
      <c r="M567" s="168"/>
      <c r="N567" s="169">
        <v>41479</v>
      </c>
      <c r="O567" s="169">
        <v>41479</v>
      </c>
      <c r="P567" s="168" t="s">
        <v>1827</v>
      </c>
      <c r="Q567" s="166">
        <v>700</v>
      </c>
      <c r="R567" s="166">
        <v>14050</v>
      </c>
      <c r="S567" s="170">
        <v>21137.37</v>
      </c>
      <c r="T567" s="166">
        <v>14056</v>
      </c>
      <c r="U567" s="170">
        <v>21137.37</v>
      </c>
      <c r="V567" s="170">
        <f t="shared" si="28"/>
        <v>0</v>
      </c>
      <c r="W567" s="171">
        <v>0</v>
      </c>
      <c r="X567" s="166">
        <v>54260</v>
      </c>
      <c r="Y567" s="170">
        <v>0</v>
      </c>
      <c r="Z567" s="168" t="s">
        <v>1053</v>
      </c>
      <c r="AA567" s="168"/>
      <c r="AB567" s="168" t="s">
        <v>1848</v>
      </c>
      <c r="AC567" s="168"/>
      <c r="AD567" s="168" t="s">
        <v>1058</v>
      </c>
      <c r="AE567" s="168" t="s">
        <v>1059</v>
      </c>
      <c r="AF567" s="166" t="s">
        <v>284</v>
      </c>
      <c r="AG567" s="168"/>
      <c r="AH567" s="166" t="s">
        <v>1060</v>
      </c>
      <c r="AI567" s="168">
        <v>0</v>
      </c>
      <c r="AJ567" s="168">
        <v>0</v>
      </c>
      <c r="AP567" s="206"/>
      <c r="AQ567" s="207"/>
      <c r="AR567" s="207"/>
      <c r="AS567" s="207"/>
      <c r="AT567" s="208"/>
      <c r="AU567" s="207"/>
      <c r="AV567" s="208"/>
    </row>
    <row r="568" spans="1:48" s="205" customFormat="1" ht="15">
      <c r="A568" s="145"/>
      <c r="B568" s="166">
        <v>2183</v>
      </c>
      <c r="C568" s="167">
        <v>106016</v>
      </c>
      <c r="D568" s="166" t="s">
        <v>1053</v>
      </c>
      <c r="E568" s="168" t="s">
        <v>481</v>
      </c>
      <c r="F568" s="166">
        <v>0</v>
      </c>
      <c r="G568" s="168"/>
      <c r="H568" s="168"/>
      <c r="I568" s="168"/>
      <c r="J568" s="168">
        <v>0</v>
      </c>
      <c r="K568" s="168"/>
      <c r="L568" s="168"/>
      <c r="M568" s="168"/>
      <c r="N568" s="169">
        <v>41470</v>
      </c>
      <c r="O568" s="169">
        <v>41470</v>
      </c>
      <c r="P568" s="168" t="s">
        <v>1849</v>
      </c>
      <c r="Q568" s="166">
        <v>500</v>
      </c>
      <c r="R568" s="166">
        <v>14070</v>
      </c>
      <c r="S568" s="170">
        <v>14451.45</v>
      </c>
      <c r="T568" s="166">
        <v>14076</v>
      </c>
      <c r="U568" s="170">
        <v>14451.45</v>
      </c>
      <c r="V568" s="170">
        <f t="shared" si="28"/>
        <v>0</v>
      </c>
      <c r="W568" s="171">
        <v>0</v>
      </c>
      <c r="X568" s="166">
        <v>51260</v>
      </c>
      <c r="Y568" s="170">
        <v>0</v>
      </c>
      <c r="Z568" s="168" t="s">
        <v>1053</v>
      </c>
      <c r="AA568" s="168"/>
      <c r="AB568" s="168">
        <v>911741205</v>
      </c>
      <c r="AC568" s="168"/>
      <c r="AD568" s="168" t="s">
        <v>1058</v>
      </c>
      <c r="AE568" s="168" t="s">
        <v>1059</v>
      </c>
      <c r="AF568" s="166" t="s">
        <v>284</v>
      </c>
      <c r="AG568" s="168"/>
      <c r="AH568" s="166" t="s">
        <v>1060</v>
      </c>
      <c r="AI568" s="168">
        <v>0</v>
      </c>
      <c r="AJ568" s="168">
        <v>0</v>
      </c>
      <c r="AP568" s="206"/>
      <c r="AQ568" s="207"/>
      <c r="AR568" s="207"/>
      <c r="AS568" s="207"/>
      <c r="AT568" s="208"/>
      <c r="AU568" s="207"/>
      <c r="AV568" s="208"/>
    </row>
    <row r="569" spans="1:48" s="205" customFormat="1" ht="15">
      <c r="A569" s="145"/>
      <c r="B569" s="166">
        <v>2183</v>
      </c>
      <c r="C569" s="167">
        <v>104202</v>
      </c>
      <c r="D569" s="166">
        <v>61163</v>
      </c>
      <c r="E569" s="168" t="s">
        <v>1850</v>
      </c>
      <c r="F569" s="166">
        <v>0</v>
      </c>
      <c r="G569" s="168"/>
      <c r="H569" s="168"/>
      <c r="I569" s="168"/>
      <c r="J569" s="168">
        <v>0</v>
      </c>
      <c r="K569" s="168" t="s">
        <v>1851</v>
      </c>
      <c r="L569" s="168"/>
      <c r="M569" s="168" t="s">
        <v>1108</v>
      </c>
      <c r="N569" s="169">
        <v>41393</v>
      </c>
      <c r="O569" s="169">
        <v>41393</v>
      </c>
      <c r="P569" s="168" t="s">
        <v>1852</v>
      </c>
      <c r="Q569" s="166">
        <v>300</v>
      </c>
      <c r="R569" s="166">
        <v>14040</v>
      </c>
      <c r="S569" s="170">
        <v>5869</v>
      </c>
      <c r="T569" s="166">
        <v>14046</v>
      </c>
      <c r="U569" s="170">
        <v>5869</v>
      </c>
      <c r="V569" s="170">
        <f t="shared" si="28"/>
        <v>0</v>
      </c>
      <c r="W569" s="171">
        <v>0</v>
      </c>
      <c r="X569" s="166">
        <v>51260</v>
      </c>
      <c r="Y569" s="170">
        <v>0</v>
      </c>
      <c r="Z569" s="168" t="s">
        <v>1053</v>
      </c>
      <c r="AA569" s="168"/>
      <c r="AB569" s="168">
        <v>60258</v>
      </c>
      <c r="AC569" s="168"/>
      <c r="AD569" s="168" t="s">
        <v>1058</v>
      </c>
      <c r="AE569" s="168" t="s">
        <v>1059</v>
      </c>
      <c r="AF569" s="166" t="s">
        <v>284</v>
      </c>
      <c r="AG569" s="168"/>
      <c r="AH569" s="166" t="s">
        <v>1060</v>
      </c>
      <c r="AI569" s="168">
        <v>0</v>
      </c>
      <c r="AJ569" s="168">
        <v>0</v>
      </c>
      <c r="AP569" s="206"/>
      <c r="AQ569" s="207"/>
      <c r="AR569" s="207"/>
      <c r="AS569" s="207"/>
      <c r="AT569" s="208"/>
      <c r="AU569" s="207"/>
      <c r="AV569" s="208"/>
    </row>
    <row r="570" spans="1:48" s="205" customFormat="1" ht="15">
      <c r="A570" s="145"/>
      <c r="B570" s="166">
        <v>2183</v>
      </c>
      <c r="C570" s="167">
        <v>104091</v>
      </c>
      <c r="D570" s="166" t="s">
        <v>1053</v>
      </c>
      <c r="E570" s="168" t="s">
        <v>1853</v>
      </c>
      <c r="F570" s="166">
        <v>360</v>
      </c>
      <c r="G570" s="168"/>
      <c r="H570" s="168"/>
      <c r="I570" s="168"/>
      <c r="J570" s="168">
        <v>0</v>
      </c>
      <c r="K570" s="168" t="s">
        <v>1718</v>
      </c>
      <c r="L570" s="168"/>
      <c r="M570" s="168"/>
      <c r="N570" s="169">
        <v>41364</v>
      </c>
      <c r="O570" s="169">
        <v>41364</v>
      </c>
      <c r="P570" s="168" t="s">
        <v>1854</v>
      </c>
      <c r="Q570" s="166">
        <v>700</v>
      </c>
      <c r="R570" s="166">
        <v>14050</v>
      </c>
      <c r="S570" s="170">
        <v>14320.19</v>
      </c>
      <c r="T570" s="166">
        <v>14056</v>
      </c>
      <c r="U570" s="170">
        <v>14320.19</v>
      </c>
      <c r="V570" s="170">
        <f t="shared" si="28"/>
        <v>0</v>
      </c>
      <c r="W570" s="171">
        <v>0</v>
      </c>
      <c r="X570" s="166">
        <v>54260</v>
      </c>
      <c r="Y570" s="170">
        <v>0</v>
      </c>
      <c r="Z570" s="168" t="s">
        <v>1053</v>
      </c>
      <c r="AA570" s="168"/>
      <c r="AB570" s="168" t="s">
        <v>1855</v>
      </c>
      <c r="AC570" s="168"/>
      <c r="AD570" s="168" t="s">
        <v>1058</v>
      </c>
      <c r="AE570" s="168" t="s">
        <v>1059</v>
      </c>
      <c r="AF570" s="166" t="s">
        <v>284</v>
      </c>
      <c r="AG570" s="168"/>
      <c r="AH570" s="166" t="s">
        <v>1060</v>
      </c>
      <c r="AI570" s="168">
        <v>0</v>
      </c>
      <c r="AJ570" s="168">
        <v>0</v>
      </c>
      <c r="AP570" s="206"/>
      <c r="AQ570" s="207"/>
      <c r="AR570" s="207"/>
      <c r="AS570" s="207"/>
      <c r="AT570" s="208"/>
      <c r="AU570" s="207"/>
      <c r="AV570" s="208"/>
    </row>
    <row r="571" spans="1:48" s="205" customFormat="1" ht="15">
      <c r="A571" s="145"/>
      <c r="B571" s="166">
        <v>2183</v>
      </c>
      <c r="C571" s="167">
        <v>104090</v>
      </c>
      <c r="D571" s="166" t="s">
        <v>1053</v>
      </c>
      <c r="E571" s="168" t="s">
        <v>1856</v>
      </c>
      <c r="F571" s="166">
        <v>360</v>
      </c>
      <c r="G571" s="168"/>
      <c r="H571" s="168"/>
      <c r="I571" s="168"/>
      <c r="J571" s="168">
        <v>0</v>
      </c>
      <c r="K571" s="168" t="s">
        <v>1718</v>
      </c>
      <c r="L571" s="168"/>
      <c r="M571" s="168"/>
      <c r="N571" s="169">
        <v>41406</v>
      </c>
      <c r="O571" s="169">
        <v>41406</v>
      </c>
      <c r="P571" s="168" t="s">
        <v>1857</v>
      </c>
      <c r="Q571" s="166">
        <v>700</v>
      </c>
      <c r="R571" s="166">
        <v>14050</v>
      </c>
      <c r="S571" s="170">
        <v>4482.74</v>
      </c>
      <c r="T571" s="166">
        <v>14056</v>
      </c>
      <c r="U571" s="170">
        <v>4482.74</v>
      </c>
      <c r="V571" s="170">
        <f t="shared" si="28"/>
        <v>0</v>
      </c>
      <c r="W571" s="171">
        <v>0</v>
      </c>
      <c r="X571" s="166">
        <v>54260</v>
      </c>
      <c r="Y571" s="170">
        <v>0</v>
      </c>
      <c r="Z571" s="168" t="s">
        <v>1053</v>
      </c>
      <c r="AA571" s="168"/>
      <c r="AB571" s="168" t="s">
        <v>1855</v>
      </c>
      <c r="AC571" s="168"/>
      <c r="AD571" s="168" t="s">
        <v>1058</v>
      </c>
      <c r="AE571" s="168" t="s">
        <v>1059</v>
      </c>
      <c r="AF571" s="166" t="s">
        <v>284</v>
      </c>
      <c r="AG571" s="168"/>
      <c r="AH571" s="166" t="s">
        <v>1060</v>
      </c>
      <c r="AI571" s="168">
        <v>0</v>
      </c>
      <c r="AJ571" s="168">
        <v>0</v>
      </c>
      <c r="AP571" s="206"/>
      <c r="AQ571" s="207"/>
      <c r="AR571" s="207"/>
      <c r="AS571" s="207"/>
      <c r="AT571" s="208"/>
      <c r="AU571" s="207"/>
      <c r="AV571" s="208"/>
    </row>
    <row r="572" spans="1:48" s="205" customFormat="1" ht="15">
      <c r="A572" s="145"/>
      <c r="B572" s="166">
        <v>2183</v>
      </c>
      <c r="C572" s="167">
        <v>104089</v>
      </c>
      <c r="D572" s="166" t="s">
        <v>1053</v>
      </c>
      <c r="E572" s="168" t="s">
        <v>1856</v>
      </c>
      <c r="F572" s="166">
        <v>126</v>
      </c>
      <c r="G572" s="168"/>
      <c r="H572" s="168"/>
      <c r="I572" s="168"/>
      <c r="J572" s="168">
        <v>0</v>
      </c>
      <c r="K572" s="168" t="s">
        <v>1718</v>
      </c>
      <c r="L572" s="168"/>
      <c r="M572" s="168"/>
      <c r="N572" s="169">
        <v>41409</v>
      </c>
      <c r="O572" s="169">
        <v>41409</v>
      </c>
      <c r="P572" s="168" t="s">
        <v>1831</v>
      </c>
      <c r="Q572" s="166">
        <v>700</v>
      </c>
      <c r="R572" s="166">
        <v>14050</v>
      </c>
      <c r="S572" s="170">
        <v>6580.15</v>
      </c>
      <c r="T572" s="166">
        <v>14056</v>
      </c>
      <c r="U572" s="170">
        <v>6580.15</v>
      </c>
      <c r="V572" s="170">
        <f t="shared" si="28"/>
        <v>0</v>
      </c>
      <c r="W572" s="171">
        <v>0</v>
      </c>
      <c r="X572" s="166">
        <v>54260</v>
      </c>
      <c r="Y572" s="170">
        <v>0</v>
      </c>
      <c r="Z572" s="168" t="s">
        <v>1053</v>
      </c>
      <c r="AA572" s="168"/>
      <c r="AB572" s="168" t="s">
        <v>1858</v>
      </c>
      <c r="AC572" s="168"/>
      <c r="AD572" s="168" t="s">
        <v>1058</v>
      </c>
      <c r="AE572" s="168" t="s">
        <v>1059</v>
      </c>
      <c r="AF572" s="166" t="s">
        <v>284</v>
      </c>
      <c r="AG572" s="168"/>
      <c r="AH572" s="166" t="s">
        <v>1060</v>
      </c>
      <c r="AI572" s="168">
        <v>0</v>
      </c>
      <c r="AJ572" s="168">
        <v>0</v>
      </c>
      <c r="AP572" s="206"/>
      <c r="AQ572" s="207"/>
      <c r="AR572" s="207"/>
      <c r="AS572" s="207"/>
      <c r="AT572" s="208"/>
      <c r="AU572" s="207"/>
      <c r="AV572" s="208"/>
    </row>
    <row r="573" spans="1:48" s="205" customFormat="1" ht="15">
      <c r="A573" s="145"/>
      <c r="B573" s="166">
        <v>2183</v>
      </c>
      <c r="C573" s="167">
        <v>104088</v>
      </c>
      <c r="D573" s="166" t="s">
        <v>1053</v>
      </c>
      <c r="E573" s="168" t="s">
        <v>1859</v>
      </c>
      <c r="F573" s="166">
        <v>444</v>
      </c>
      <c r="G573" s="168"/>
      <c r="H573" s="168"/>
      <c r="I573" s="168"/>
      <c r="J573" s="168">
        <v>0</v>
      </c>
      <c r="K573" s="168" t="s">
        <v>1718</v>
      </c>
      <c r="L573" s="168"/>
      <c r="M573" s="168"/>
      <c r="N573" s="169">
        <v>41406</v>
      </c>
      <c r="O573" s="169">
        <v>41406</v>
      </c>
      <c r="P573" s="168" t="s">
        <v>1857</v>
      </c>
      <c r="Q573" s="166">
        <v>700</v>
      </c>
      <c r="R573" s="166">
        <v>14050</v>
      </c>
      <c r="S573" s="170">
        <v>16700.669999999998</v>
      </c>
      <c r="T573" s="166">
        <v>14056</v>
      </c>
      <c r="U573" s="170">
        <v>16700.669999999998</v>
      </c>
      <c r="V573" s="170">
        <f t="shared" si="28"/>
        <v>0</v>
      </c>
      <c r="W573" s="171">
        <v>0</v>
      </c>
      <c r="X573" s="166">
        <v>54260</v>
      </c>
      <c r="Y573" s="170">
        <v>0</v>
      </c>
      <c r="Z573" s="168" t="s">
        <v>1053</v>
      </c>
      <c r="AA573" s="168"/>
      <c r="AB573" s="168" t="s">
        <v>1860</v>
      </c>
      <c r="AC573" s="168"/>
      <c r="AD573" s="168" t="s">
        <v>1058</v>
      </c>
      <c r="AE573" s="168" t="s">
        <v>1059</v>
      </c>
      <c r="AF573" s="166" t="s">
        <v>284</v>
      </c>
      <c r="AG573" s="168"/>
      <c r="AH573" s="166" t="s">
        <v>1060</v>
      </c>
      <c r="AI573" s="168">
        <v>0</v>
      </c>
      <c r="AJ573" s="168">
        <v>0</v>
      </c>
      <c r="AP573" s="206"/>
      <c r="AQ573" s="207"/>
      <c r="AR573" s="207"/>
      <c r="AS573" s="207"/>
      <c r="AT573" s="208"/>
      <c r="AU573" s="207"/>
      <c r="AV573" s="208"/>
    </row>
    <row r="574" spans="1:48" s="205" customFormat="1" ht="15">
      <c r="A574" s="145"/>
      <c r="B574" s="166">
        <v>2183</v>
      </c>
      <c r="C574" s="167">
        <v>104087</v>
      </c>
      <c r="D574" s="166" t="s">
        <v>1053</v>
      </c>
      <c r="E574" s="168" t="s">
        <v>1861</v>
      </c>
      <c r="F574" s="166">
        <v>324</v>
      </c>
      <c r="G574" s="168"/>
      <c r="H574" s="168"/>
      <c r="I574" s="168"/>
      <c r="J574" s="168">
        <v>0</v>
      </c>
      <c r="K574" s="168" t="s">
        <v>1718</v>
      </c>
      <c r="L574" s="168"/>
      <c r="M574" s="168"/>
      <c r="N574" s="169">
        <v>41364</v>
      </c>
      <c r="O574" s="169">
        <v>41364</v>
      </c>
      <c r="P574" s="168" t="s">
        <v>1854</v>
      </c>
      <c r="Q574" s="166">
        <v>700</v>
      </c>
      <c r="R574" s="166">
        <v>14050</v>
      </c>
      <c r="S574" s="170">
        <v>14387.53</v>
      </c>
      <c r="T574" s="166">
        <v>14056</v>
      </c>
      <c r="U574" s="170">
        <v>14387.53</v>
      </c>
      <c r="V574" s="170">
        <f t="shared" si="28"/>
        <v>0</v>
      </c>
      <c r="W574" s="171">
        <v>0</v>
      </c>
      <c r="X574" s="166">
        <v>54260</v>
      </c>
      <c r="Y574" s="170">
        <v>0</v>
      </c>
      <c r="Z574" s="168" t="s">
        <v>1053</v>
      </c>
      <c r="AA574" s="168"/>
      <c r="AB574" s="168" t="s">
        <v>1862</v>
      </c>
      <c r="AC574" s="168"/>
      <c r="AD574" s="168" t="s">
        <v>1058</v>
      </c>
      <c r="AE574" s="168" t="s">
        <v>1059</v>
      </c>
      <c r="AF574" s="166" t="s">
        <v>284</v>
      </c>
      <c r="AG574" s="168"/>
      <c r="AH574" s="166" t="s">
        <v>1060</v>
      </c>
      <c r="AI574" s="168">
        <v>0</v>
      </c>
      <c r="AJ574" s="168">
        <v>0</v>
      </c>
      <c r="AP574" s="206"/>
      <c r="AQ574" s="207"/>
      <c r="AR574" s="207"/>
      <c r="AS574" s="207"/>
      <c r="AT574" s="208"/>
      <c r="AU574" s="207"/>
      <c r="AV574" s="208"/>
    </row>
    <row r="575" spans="1:48" s="205" customFormat="1" ht="15">
      <c r="A575" s="145"/>
      <c r="B575" s="166">
        <v>2183</v>
      </c>
      <c r="C575" s="167">
        <v>103479</v>
      </c>
      <c r="D575" s="166">
        <v>61093</v>
      </c>
      <c r="E575" s="168" t="s">
        <v>1863</v>
      </c>
      <c r="F575" s="166">
        <v>0</v>
      </c>
      <c r="G575" s="168"/>
      <c r="H575" s="168"/>
      <c r="I575" s="168"/>
      <c r="J575" s="168">
        <v>0</v>
      </c>
      <c r="K575" s="168" t="s">
        <v>1864</v>
      </c>
      <c r="L575" s="168"/>
      <c r="M575" s="168"/>
      <c r="N575" s="169">
        <v>41353</v>
      </c>
      <c r="O575" s="169">
        <v>41353</v>
      </c>
      <c r="P575" s="168" t="s">
        <v>1865</v>
      </c>
      <c r="Q575" s="166">
        <v>300</v>
      </c>
      <c r="R575" s="166">
        <v>14040</v>
      </c>
      <c r="S575" s="170">
        <v>13741.65</v>
      </c>
      <c r="T575" s="166">
        <v>14046</v>
      </c>
      <c r="U575" s="170">
        <v>13741.65</v>
      </c>
      <c r="V575" s="170">
        <f t="shared" si="28"/>
        <v>0</v>
      </c>
      <c r="W575" s="171">
        <v>0</v>
      </c>
      <c r="X575" s="166">
        <v>51260</v>
      </c>
      <c r="Y575" s="170">
        <v>0</v>
      </c>
      <c r="Z575" s="168" t="s">
        <v>1053</v>
      </c>
      <c r="AA575" s="168"/>
      <c r="AB575" s="168">
        <v>98318</v>
      </c>
      <c r="AC575" s="168"/>
      <c r="AD575" s="168" t="s">
        <v>1058</v>
      </c>
      <c r="AE575" s="168" t="s">
        <v>1059</v>
      </c>
      <c r="AF575" s="166" t="s">
        <v>284</v>
      </c>
      <c r="AG575" s="168"/>
      <c r="AH575" s="166" t="s">
        <v>1060</v>
      </c>
      <c r="AI575" s="168">
        <v>0</v>
      </c>
      <c r="AJ575" s="168">
        <v>0</v>
      </c>
      <c r="AP575" s="206"/>
      <c r="AQ575" s="207"/>
      <c r="AR575" s="207"/>
      <c r="AS575" s="207"/>
      <c r="AT575" s="208"/>
      <c r="AU575" s="207"/>
      <c r="AV575" s="208"/>
    </row>
    <row r="576" spans="1:48" s="205" customFormat="1" ht="15">
      <c r="A576" s="145"/>
      <c r="B576" s="166">
        <v>2183</v>
      </c>
      <c r="C576" s="167">
        <v>102857</v>
      </c>
      <c r="D576" s="166">
        <v>102855</v>
      </c>
      <c r="E576" s="168" t="s">
        <v>1866</v>
      </c>
      <c r="F576" s="166">
        <v>513</v>
      </c>
      <c r="G576" s="168"/>
      <c r="H576" s="168"/>
      <c r="I576" s="168"/>
      <c r="J576" s="168">
        <v>0</v>
      </c>
      <c r="K576" s="168" t="s">
        <v>1718</v>
      </c>
      <c r="L576" s="168"/>
      <c r="M576" s="168"/>
      <c r="N576" s="169">
        <v>41364</v>
      </c>
      <c r="O576" s="169">
        <v>41364</v>
      </c>
      <c r="P576" s="168" t="s">
        <v>1854</v>
      </c>
      <c r="Q576" s="166">
        <v>500</v>
      </c>
      <c r="R576" s="166">
        <v>14050</v>
      </c>
      <c r="S576" s="170">
        <v>292.27999999999997</v>
      </c>
      <c r="T576" s="166">
        <v>14056</v>
      </c>
      <c r="U576" s="170">
        <v>292.27999999999997</v>
      </c>
      <c r="V576" s="170">
        <f t="shared" si="28"/>
        <v>0</v>
      </c>
      <c r="W576" s="171">
        <v>0</v>
      </c>
      <c r="X576" s="166">
        <v>54260</v>
      </c>
      <c r="Y576" s="170">
        <v>0</v>
      </c>
      <c r="Z576" s="168" t="s">
        <v>1053</v>
      </c>
      <c r="AA576" s="168"/>
      <c r="AB576" s="168" t="s">
        <v>1867</v>
      </c>
      <c r="AC576" s="168"/>
      <c r="AD576" s="168" t="s">
        <v>1058</v>
      </c>
      <c r="AE576" s="168" t="s">
        <v>1059</v>
      </c>
      <c r="AF576" s="166" t="s">
        <v>284</v>
      </c>
      <c r="AG576" s="168"/>
      <c r="AH576" s="166" t="s">
        <v>1060</v>
      </c>
      <c r="AI576" s="168">
        <v>0</v>
      </c>
      <c r="AJ576" s="168">
        <v>0</v>
      </c>
      <c r="AP576" s="206"/>
      <c r="AQ576" s="207"/>
      <c r="AR576" s="207"/>
      <c r="AS576" s="207"/>
      <c r="AT576" s="208"/>
      <c r="AU576" s="207"/>
      <c r="AV576" s="208"/>
    </row>
    <row r="577" spans="1:48" s="205" customFormat="1" ht="15">
      <c r="A577" s="145"/>
      <c r="B577" s="166">
        <v>2183</v>
      </c>
      <c r="C577" s="167">
        <v>102856</v>
      </c>
      <c r="D577" s="166">
        <v>102855</v>
      </c>
      <c r="E577" s="168" t="s">
        <v>1866</v>
      </c>
      <c r="F577" s="166">
        <v>513</v>
      </c>
      <c r="G577" s="168"/>
      <c r="H577" s="168"/>
      <c r="I577" s="168"/>
      <c r="J577" s="168">
        <v>0</v>
      </c>
      <c r="K577" s="168" t="s">
        <v>1718</v>
      </c>
      <c r="L577" s="168"/>
      <c r="M577" s="168"/>
      <c r="N577" s="169">
        <v>41364</v>
      </c>
      <c r="O577" s="169">
        <v>41364</v>
      </c>
      <c r="P577" s="168" t="s">
        <v>1868</v>
      </c>
      <c r="Q577" s="166">
        <v>500</v>
      </c>
      <c r="R577" s="166">
        <v>14050</v>
      </c>
      <c r="S577" s="170">
        <v>1148</v>
      </c>
      <c r="T577" s="166">
        <v>14056</v>
      </c>
      <c r="U577" s="170">
        <v>1148</v>
      </c>
      <c r="V577" s="170">
        <f t="shared" si="28"/>
        <v>0</v>
      </c>
      <c r="W577" s="171">
        <v>0</v>
      </c>
      <c r="X577" s="166">
        <v>54260</v>
      </c>
      <c r="Y577" s="170">
        <v>0</v>
      </c>
      <c r="Z577" s="168" t="s">
        <v>1053</v>
      </c>
      <c r="AA577" s="168"/>
      <c r="AB577" s="168" t="s">
        <v>1867</v>
      </c>
      <c r="AC577" s="168"/>
      <c r="AD577" s="168" t="s">
        <v>1058</v>
      </c>
      <c r="AE577" s="168" t="s">
        <v>1059</v>
      </c>
      <c r="AF577" s="166" t="s">
        <v>284</v>
      </c>
      <c r="AG577" s="168"/>
      <c r="AH577" s="166" t="s">
        <v>1060</v>
      </c>
      <c r="AI577" s="168">
        <v>0</v>
      </c>
      <c r="AJ577" s="168">
        <v>0</v>
      </c>
      <c r="AP577" s="206"/>
      <c r="AQ577" s="207"/>
      <c r="AR577" s="207"/>
      <c r="AS577" s="207"/>
      <c r="AT577" s="208"/>
      <c r="AU577" s="207"/>
      <c r="AV577" s="208"/>
    </row>
    <row r="578" spans="1:48" s="205" customFormat="1" ht="15">
      <c r="A578" s="145"/>
      <c r="B578" s="166">
        <v>2183</v>
      </c>
      <c r="C578" s="167">
        <v>102855</v>
      </c>
      <c r="D578" s="166" t="s">
        <v>1053</v>
      </c>
      <c r="E578" s="168" t="s">
        <v>1869</v>
      </c>
      <c r="F578" s="166">
        <v>513</v>
      </c>
      <c r="G578" s="168"/>
      <c r="H578" s="168"/>
      <c r="I578" s="168"/>
      <c r="J578" s="168">
        <v>0</v>
      </c>
      <c r="K578" s="168" t="s">
        <v>1718</v>
      </c>
      <c r="L578" s="168"/>
      <c r="M578" s="168"/>
      <c r="N578" s="169">
        <v>41364</v>
      </c>
      <c r="O578" s="169">
        <v>41364</v>
      </c>
      <c r="P578" s="168" t="s">
        <v>1868</v>
      </c>
      <c r="Q578" s="166">
        <v>500</v>
      </c>
      <c r="R578" s="166">
        <v>14050</v>
      </c>
      <c r="S578" s="170">
        <v>16650.86</v>
      </c>
      <c r="T578" s="166">
        <v>14056</v>
      </c>
      <c r="U578" s="170">
        <v>16650.86</v>
      </c>
      <c r="V578" s="170">
        <f t="shared" si="28"/>
        <v>0</v>
      </c>
      <c r="W578" s="171">
        <v>0</v>
      </c>
      <c r="X578" s="166">
        <v>54260</v>
      </c>
      <c r="Y578" s="170">
        <v>0</v>
      </c>
      <c r="Z578" s="168" t="s">
        <v>1053</v>
      </c>
      <c r="AA578" s="168"/>
      <c r="AB578" s="168" t="s">
        <v>1870</v>
      </c>
      <c r="AC578" s="168"/>
      <c r="AD578" s="168" t="s">
        <v>1058</v>
      </c>
      <c r="AE578" s="168" t="s">
        <v>1059</v>
      </c>
      <c r="AF578" s="166" t="s">
        <v>284</v>
      </c>
      <c r="AG578" s="168"/>
      <c r="AH578" s="166" t="s">
        <v>1060</v>
      </c>
      <c r="AI578" s="168">
        <v>0</v>
      </c>
      <c r="AJ578" s="168">
        <v>0</v>
      </c>
      <c r="AP578" s="206"/>
      <c r="AQ578" s="207"/>
      <c r="AR578" s="207"/>
      <c r="AS578" s="207"/>
      <c r="AT578" s="208"/>
      <c r="AU578" s="207"/>
      <c r="AV578" s="208"/>
    </row>
    <row r="579" spans="1:48" s="205" customFormat="1" ht="15">
      <c r="A579" s="145"/>
      <c r="B579" s="166">
        <v>2183</v>
      </c>
      <c r="C579" s="167">
        <v>102295</v>
      </c>
      <c r="D579" s="166">
        <v>97216</v>
      </c>
      <c r="E579" s="168" t="s">
        <v>1871</v>
      </c>
      <c r="F579" s="166">
        <v>0</v>
      </c>
      <c r="G579" s="168"/>
      <c r="H579" s="168"/>
      <c r="I579" s="168"/>
      <c r="J579" s="168">
        <v>0</v>
      </c>
      <c r="K579" s="168" t="s">
        <v>1872</v>
      </c>
      <c r="L579" s="168"/>
      <c r="M579" s="168"/>
      <c r="N579" s="169">
        <v>41275</v>
      </c>
      <c r="O579" s="169">
        <v>41275</v>
      </c>
      <c r="P579" s="168" t="s">
        <v>1873</v>
      </c>
      <c r="Q579" s="166">
        <v>909</v>
      </c>
      <c r="R579" s="166">
        <v>14080</v>
      </c>
      <c r="S579" s="170">
        <v>48345.38</v>
      </c>
      <c r="T579" s="166">
        <v>14086</v>
      </c>
      <c r="U579" s="170">
        <v>44213.29</v>
      </c>
      <c r="V579" s="170">
        <f t="shared" si="28"/>
        <v>4132.0899999999965</v>
      </c>
      <c r="W579" s="171">
        <v>4545.29</v>
      </c>
      <c r="X579" s="166">
        <v>57260</v>
      </c>
      <c r="Y579" s="170">
        <v>413.21</v>
      </c>
      <c r="Z579" s="168" t="s">
        <v>1053</v>
      </c>
      <c r="AA579" s="168"/>
      <c r="AB579" s="168">
        <v>8004</v>
      </c>
      <c r="AC579" s="168"/>
      <c r="AD579" s="168" t="s">
        <v>1058</v>
      </c>
      <c r="AE579" s="168" t="s">
        <v>1059</v>
      </c>
      <c r="AF579" s="166" t="s">
        <v>284</v>
      </c>
      <c r="AG579" s="168"/>
      <c r="AH579" s="166" t="s">
        <v>1060</v>
      </c>
      <c r="AI579" s="168">
        <v>0</v>
      </c>
      <c r="AJ579" s="168">
        <v>0</v>
      </c>
      <c r="AP579" s="206"/>
      <c r="AQ579" s="207"/>
      <c r="AR579" s="207"/>
      <c r="AS579" s="207"/>
      <c r="AT579" s="208"/>
      <c r="AU579" s="207"/>
      <c r="AV579" s="208"/>
    </row>
    <row r="580" spans="1:48" s="205" customFormat="1" ht="15">
      <c r="A580" s="145"/>
      <c r="B580" s="166">
        <v>2183</v>
      </c>
      <c r="C580" s="167">
        <v>99673</v>
      </c>
      <c r="D580" s="166" t="s">
        <v>1053</v>
      </c>
      <c r="E580" s="168" t="s">
        <v>1874</v>
      </c>
      <c r="F580" s="166">
        <v>0</v>
      </c>
      <c r="G580" s="168"/>
      <c r="H580" s="168"/>
      <c r="I580" s="168"/>
      <c r="J580" s="168">
        <v>0</v>
      </c>
      <c r="K580" s="168"/>
      <c r="L580" s="168"/>
      <c r="M580" s="168"/>
      <c r="N580" s="169">
        <v>41274</v>
      </c>
      <c r="O580" s="169">
        <v>41274</v>
      </c>
      <c r="P580" s="168" t="s">
        <v>1875</v>
      </c>
      <c r="Q580" s="166">
        <v>1000</v>
      </c>
      <c r="R580" s="166">
        <v>14100</v>
      </c>
      <c r="S580" s="170">
        <v>9416.14</v>
      </c>
      <c r="T580" s="166">
        <v>14106</v>
      </c>
      <c r="U580" s="170">
        <v>8396.02</v>
      </c>
      <c r="V580" s="170">
        <f t="shared" si="28"/>
        <v>1020.119999999999</v>
      </c>
      <c r="W580" s="171">
        <v>863.14</v>
      </c>
      <c r="X580" s="166">
        <v>70260</v>
      </c>
      <c r="Y580" s="170">
        <v>78.459999999999994</v>
      </c>
      <c r="Z580" s="168" t="s">
        <v>1053</v>
      </c>
      <c r="AA580" s="168"/>
      <c r="AB580" s="168" t="s">
        <v>1876</v>
      </c>
      <c r="AC580" s="168"/>
      <c r="AD580" s="168" t="s">
        <v>1058</v>
      </c>
      <c r="AE580" s="168" t="s">
        <v>1059</v>
      </c>
      <c r="AF580" s="166" t="s">
        <v>284</v>
      </c>
      <c r="AG580" s="168"/>
      <c r="AH580" s="166" t="s">
        <v>1060</v>
      </c>
      <c r="AI580" s="168">
        <v>0</v>
      </c>
      <c r="AJ580" s="168">
        <v>0</v>
      </c>
      <c r="AP580" s="206"/>
      <c r="AQ580" s="207"/>
      <c r="AR580" s="207"/>
      <c r="AS580" s="207"/>
      <c r="AT580" s="208"/>
      <c r="AU580" s="207"/>
      <c r="AV580" s="208"/>
    </row>
    <row r="581" spans="1:48" s="205" customFormat="1" ht="15">
      <c r="A581" s="145"/>
      <c r="B581" s="166">
        <v>2183</v>
      </c>
      <c r="C581" s="167">
        <v>99666</v>
      </c>
      <c r="D581" s="166" t="s">
        <v>1053</v>
      </c>
      <c r="E581" s="168" t="s">
        <v>1877</v>
      </c>
      <c r="F581" s="166">
        <v>0</v>
      </c>
      <c r="G581" s="168"/>
      <c r="H581" s="168" t="s">
        <v>1878</v>
      </c>
      <c r="I581" s="168"/>
      <c r="J581" s="168">
        <v>2013</v>
      </c>
      <c r="K581" s="168" t="s">
        <v>1879</v>
      </c>
      <c r="L581" s="168" t="s">
        <v>1880</v>
      </c>
      <c r="M581" s="168" t="s">
        <v>1286</v>
      </c>
      <c r="N581" s="169">
        <v>41274</v>
      </c>
      <c r="O581" s="169">
        <v>41274</v>
      </c>
      <c r="P581" s="168" t="s">
        <v>1881</v>
      </c>
      <c r="Q581" s="166">
        <v>1000</v>
      </c>
      <c r="R581" s="166">
        <v>14040</v>
      </c>
      <c r="S581" s="170">
        <v>301280.5</v>
      </c>
      <c r="T581" s="166">
        <v>14046</v>
      </c>
      <c r="U581" s="170">
        <v>268641.78000000003</v>
      </c>
      <c r="V581" s="170">
        <f t="shared" si="28"/>
        <v>32638.719999999972</v>
      </c>
      <c r="W581" s="171">
        <v>27617.38</v>
      </c>
      <c r="X581" s="166">
        <v>51260</v>
      </c>
      <c r="Y581" s="170">
        <v>2510.67</v>
      </c>
      <c r="Z581" s="168" t="s">
        <v>1053</v>
      </c>
      <c r="AA581" s="168"/>
      <c r="AB581" s="168">
        <v>4101985</v>
      </c>
      <c r="AC581" s="168">
        <v>2011</v>
      </c>
      <c r="AD581" s="168" t="s">
        <v>1058</v>
      </c>
      <c r="AE581" s="168" t="s">
        <v>1059</v>
      </c>
      <c r="AF581" s="166" t="s">
        <v>284</v>
      </c>
      <c r="AG581" s="168"/>
      <c r="AH581" s="166" t="s">
        <v>1060</v>
      </c>
      <c r="AI581" s="168">
        <v>0</v>
      </c>
      <c r="AJ581" s="168">
        <v>0</v>
      </c>
      <c r="AP581" s="206"/>
      <c r="AQ581" s="207"/>
      <c r="AR581" s="207"/>
      <c r="AS581" s="207"/>
      <c r="AT581" s="208"/>
      <c r="AU581" s="207"/>
      <c r="AV581" s="208"/>
    </row>
    <row r="582" spans="1:48" s="205" customFormat="1" ht="15">
      <c r="A582" s="145"/>
      <c r="B582" s="166">
        <v>2183</v>
      </c>
      <c r="C582" s="167">
        <v>98282</v>
      </c>
      <c r="D582" s="166" t="s">
        <v>1053</v>
      </c>
      <c r="E582" s="168" t="s">
        <v>1882</v>
      </c>
      <c r="F582" s="166">
        <v>0</v>
      </c>
      <c r="G582" s="168"/>
      <c r="H582" s="168"/>
      <c r="I582" s="168"/>
      <c r="J582" s="168">
        <v>0</v>
      </c>
      <c r="K582" s="168" t="s">
        <v>1883</v>
      </c>
      <c r="L582" s="168"/>
      <c r="M582" s="168"/>
      <c r="N582" s="169">
        <v>41211</v>
      </c>
      <c r="O582" s="169">
        <v>41211</v>
      </c>
      <c r="P582" s="168" t="s">
        <v>1884</v>
      </c>
      <c r="Q582" s="166">
        <v>300</v>
      </c>
      <c r="R582" s="166">
        <v>14110</v>
      </c>
      <c r="S582" s="170">
        <v>2625</v>
      </c>
      <c r="T582" s="166">
        <v>14116</v>
      </c>
      <c r="U582" s="170">
        <v>2625</v>
      </c>
      <c r="V582" s="170">
        <f t="shared" si="28"/>
        <v>0</v>
      </c>
      <c r="W582" s="171">
        <v>0</v>
      </c>
      <c r="X582" s="166">
        <v>70260</v>
      </c>
      <c r="Y582" s="170">
        <v>0</v>
      </c>
      <c r="Z582" s="168" t="s">
        <v>1053</v>
      </c>
      <c r="AA582" s="168"/>
      <c r="AB582" s="168" t="s">
        <v>1885</v>
      </c>
      <c r="AC582" s="168"/>
      <c r="AD582" s="168" t="s">
        <v>1058</v>
      </c>
      <c r="AE582" s="168" t="s">
        <v>1059</v>
      </c>
      <c r="AF582" s="166" t="s">
        <v>284</v>
      </c>
      <c r="AG582" s="168"/>
      <c r="AH582" s="166" t="s">
        <v>1060</v>
      </c>
      <c r="AI582" s="168">
        <v>0</v>
      </c>
      <c r="AJ582" s="168">
        <v>0</v>
      </c>
      <c r="AP582" s="206"/>
      <c r="AQ582" s="207"/>
      <c r="AR582" s="207"/>
      <c r="AS582" s="207"/>
      <c r="AT582" s="208"/>
      <c r="AU582" s="207"/>
      <c r="AV582" s="208"/>
    </row>
    <row r="583" spans="1:48" s="205" customFormat="1" ht="15">
      <c r="A583" s="145"/>
      <c r="B583" s="166">
        <v>2183</v>
      </c>
      <c r="C583" s="167">
        <v>97739</v>
      </c>
      <c r="D583" s="166" t="s">
        <v>1053</v>
      </c>
      <c r="E583" s="168" t="s">
        <v>1886</v>
      </c>
      <c r="F583" s="166">
        <v>217</v>
      </c>
      <c r="G583" s="168"/>
      <c r="H583" s="168"/>
      <c r="I583" s="168"/>
      <c r="J583" s="168">
        <v>0</v>
      </c>
      <c r="K583" s="168" t="s">
        <v>1718</v>
      </c>
      <c r="L583" s="168"/>
      <c r="M583" s="168"/>
      <c r="N583" s="169">
        <v>41201</v>
      </c>
      <c r="O583" s="169">
        <v>41201</v>
      </c>
      <c r="P583" s="168" t="s">
        <v>1887</v>
      </c>
      <c r="Q583" s="166">
        <v>700</v>
      </c>
      <c r="R583" s="166">
        <v>14050</v>
      </c>
      <c r="S583" s="170">
        <v>7167.46</v>
      </c>
      <c r="T583" s="166">
        <v>14056</v>
      </c>
      <c r="U583" s="170">
        <v>7167.46</v>
      </c>
      <c r="V583" s="170">
        <f t="shared" si="28"/>
        <v>0</v>
      </c>
      <c r="W583" s="171">
        <v>0</v>
      </c>
      <c r="X583" s="166">
        <v>54260</v>
      </c>
      <c r="Y583" s="170">
        <v>0</v>
      </c>
      <c r="Z583" s="168" t="s">
        <v>1053</v>
      </c>
      <c r="AA583" s="168"/>
      <c r="AB583" s="168" t="s">
        <v>1888</v>
      </c>
      <c r="AC583" s="168"/>
      <c r="AD583" s="168" t="s">
        <v>1058</v>
      </c>
      <c r="AE583" s="168" t="s">
        <v>1059</v>
      </c>
      <c r="AF583" s="166" t="s">
        <v>284</v>
      </c>
      <c r="AG583" s="168"/>
      <c r="AH583" s="166" t="s">
        <v>1060</v>
      </c>
      <c r="AI583" s="168">
        <v>0</v>
      </c>
      <c r="AJ583" s="168">
        <v>0</v>
      </c>
      <c r="AP583" s="206"/>
      <c r="AQ583" s="207"/>
      <c r="AR583" s="207"/>
      <c r="AS583" s="207"/>
      <c r="AT583" s="208"/>
      <c r="AU583" s="207"/>
      <c r="AV583" s="208"/>
    </row>
    <row r="584" spans="1:48" s="205" customFormat="1" ht="15">
      <c r="A584" s="145"/>
      <c r="B584" s="166">
        <v>2183</v>
      </c>
      <c r="C584" s="167">
        <v>97551</v>
      </c>
      <c r="D584" s="166" t="s">
        <v>1053</v>
      </c>
      <c r="E584" s="168" t="s">
        <v>1889</v>
      </c>
      <c r="F584" s="166">
        <v>0</v>
      </c>
      <c r="G584" s="168"/>
      <c r="H584" s="168"/>
      <c r="I584" s="168"/>
      <c r="J584" s="168">
        <v>0</v>
      </c>
      <c r="K584" s="168" t="s">
        <v>1261</v>
      </c>
      <c r="L584" s="168"/>
      <c r="M584" s="168"/>
      <c r="N584" s="169">
        <v>41207</v>
      </c>
      <c r="O584" s="169">
        <v>41207</v>
      </c>
      <c r="P584" s="168" t="s">
        <v>1890</v>
      </c>
      <c r="Q584" s="166">
        <v>300</v>
      </c>
      <c r="R584" s="166">
        <v>14110</v>
      </c>
      <c r="S584" s="170">
        <v>767.09</v>
      </c>
      <c r="T584" s="166">
        <v>14116</v>
      </c>
      <c r="U584" s="170">
        <v>767.09</v>
      </c>
      <c r="V584" s="170">
        <f t="shared" si="28"/>
        <v>0</v>
      </c>
      <c r="W584" s="171">
        <v>0</v>
      </c>
      <c r="X584" s="166">
        <v>70260</v>
      </c>
      <c r="Y584" s="170">
        <v>0</v>
      </c>
      <c r="Z584" s="168" t="s">
        <v>1053</v>
      </c>
      <c r="AA584" s="168"/>
      <c r="AB584" s="168" t="s">
        <v>1891</v>
      </c>
      <c r="AC584" s="168"/>
      <c r="AD584" s="168" t="s">
        <v>1058</v>
      </c>
      <c r="AE584" s="168" t="s">
        <v>1059</v>
      </c>
      <c r="AF584" s="166" t="s">
        <v>284</v>
      </c>
      <c r="AG584" s="168"/>
      <c r="AH584" s="166" t="s">
        <v>1060</v>
      </c>
      <c r="AI584" s="168">
        <v>0</v>
      </c>
      <c r="AJ584" s="168">
        <v>0</v>
      </c>
      <c r="AP584" s="206"/>
      <c r="AQ584" s="207"/>
      <c r="AR584" s="207"/>
      <c r="AS584" s="207"/>
      <c r="AT584" s="208"/>
      <c r="AU584" s="207"/>
      <c r="AV584" s="208"/>
    </row>
    <row r="585" spans="1:48" s="205" customFormat="1" ht="15">
      <c r="A585" s="145"/>
      <c r="B585" s="166">
        <v>2183</v>
      </c>
      <c r="C585" s="167">
        <v>97550</v>
      </c>
      <c r="D585" s="166" t="s">
        <v>1053</v>
      </c>
      <c r="E585" s="168" t="s">
        <v>1892</v>
      </c>
      <c r="F585" s="166">
        <v>0</v>
      </c>
      <c r="G585" s="168"/>
      <c r="H585" s="168"/>
      <c r="I585" s="168"/>
      <c r="J585" s="168">
        <v>0</v>
      </c>
      <c r="K585" s="168" t="s">
        <v>1261</v>
      </c>
      <c r="L585" s="168"/>
      <c r="M585" s="168"/>
      <c r="N585" s="169">
        <v>41207</v>
      </c>
      <c r="O585" s="169">
        <v>41207</v>
      </c>
      <c r="P585" s="168" t="s">
        <v>1890</v>
      </c>
      <c r="Q585" s="166">
        <v>300</v>
      </c>
      <c r="R585" s="166">
        <v>14110</v>
      </c>
      <c r="S585" s="170">
        <v>180.05</v>
      </c>
      <c r="T585" s="166">
        <v>14116</v>
      </c>
      <c r="U585" s="170">
        <v>180.05</v>
      </c>
      <c r="V585" s="170">
        <f t="shared" si="28"/>
        <v>0</v>
      </c>
      <c r="W585" s="171">
        <v>0</v>
      </c>
      <c r="X585" s="166">
        <v>70260</v>
      </c>
      <c r="Y585" s="170">
        <v>0</v>
      </c>
      <c r="Z585" s="168" t="s">
        <v>1053</v>
      </c>
      <c r="AA585" s="168"/>
      <c r="AB585" s="168" t="s">
        <v>1893</v>
      </c>
      <c r="AC585" s="168"/>
      <c r="AD585" s="168" t="s">
        <v>1058</v>
      </c>
      <c r="AE585" s="168" t="s">
        <v>1059</v>
      </c>
      <c r="AF585" s="166" t="s">
        <v>284</v>
      </c>
      <c r="AG585" s="168"/>
      <c r="AH585" s="166" t="s">
        <v>1060</v>
      </c>
      <c r="AI585" s="168">
        <v>0</v>
      </c>
      <c r="AJ585" s="168">
        <v>0</v>
      </c>
      <c r="AP585" s="206"/>
      <c r="AQ585" s="207"/>
      <c r="AR585" s="207"/>
      <c r="AS585" s="207"/>
      <c r="AT585" s="208"/>
      <c r="AU585" s="207"/>
      <c r="AV585" s="208"/>
    </row>
    <row r="586" spans="1:48" s="205" customFormat="1" ht="15">
      <c r="A586" s="145"/>
      <c r="B586" s="166">
        <v>2183</v>
      </c>
      <c r="C586" s="167">
        <v>97274</v>
      </c>
      <c r="D586" s="166" t="s">
        <v>1053</v>
      </c>
      <c r="E586" s="168" t="s">
        <v>1894</v>
      </c>
      <c r="F586" s="166">
        <v>121</v>
      </c>
      <c r="G586" s="168"/>
      <c r="H586" s="168"/>
      <c r="I586" s="168"/>
      <c r="J586" s="168">
        <v>0</v>
      </c>
      <c r="K586" s="168" t="s">
        <v>1718</v>
      </c>
      <c r="L586" s="168"/>
      <c r="M586" s="168"/>
      <c r="N586" s="169">
        <v>41071</v>
      </c>
      <c r="O586" s="169">
        <v>41071</v>
      </c>
      <c r="P586" s="168" t="s">
        <v>1895</v>
      </c>
      <c r="Q586" s="166">
        <v>700</v>
      </c>
      <c r="R586" s="166">
        <v>14050</v>
      </c>
      <c r="S586" s="170">
        <v>6276.47</v>
      </c>
      <c r="T586" s="166">
        <v>14056</v>
      </c>
      <c r="U586" s="170">
        <v>6276.47</v>
      </c>
      <c r="V586" s="170">
        <f t="shared" si="28"/>
        <v>0</v>
      </c>
      <c r="W586" s="171">
        <v>0</v>
      </c>
      <c r="X586" s="166">
        <v>54260</v>
      </c>
      <c r="Y586" s="170">
        <v>0</v>
      </c>
      <c r="Z586" s="168" t="s">
        <v>1053</v>
      </c>
      <c r="AA586" s="168"/>
      <c r="AB586" s="168" t="s">
        <v>1896</v>
      </c>
      <c r="AC586" s="168"/>
      <c r="AD586" s="168" t="s">
        <v>1058</v>
      </c>
      <c r="AE586" s="168" t="s">
        <v>1059</v>
      </c>
      <c r="AF586" s="166" t="s">
        <v>284</v>
      </c>
      <c r="AG586" s="168"/>
      <c r="AH586" s="166" t="s">
        <v>1060</v>
      </c>
      <c r="AI586" s="168">
        <v>0</v>
      </c>
      <c r="AJ586" s="168">
        <v>0</v>
      </c>
      <c r="AP586" s="206"/>
      <c r="AQ586" s="207"/>
      <c r="AR586" s="207"/>
      <c r="AS586" s="207"/>
      <c r="AT586" s="208"/>
      <c r="AU586" s="207"/>
      <c r="AV586" s="208"/>
    </row>
    <row r="587" spans="1:48" s="205" customFormat="1" ht="15">
      <c r="A587" s="145"/>
      <c r="B587" s="166">
        <v>2183</v>
      </c>
      <c r="C587" s="167">
        <v>97273</v>
      </c>
      <c r="D587" s="166" t="s">
        <v>1053</v>
      </c>
      <c r="E587" s="168" t="s">
        <v>1894</v>
      </c>
      <c r="F587" s="166">
        <v>365</v>
      </c>
      <c r="G587" s="168"/>
      <c r="H587" s="168"/>
      <c r="I587" s="168"/>
      <c r="J587" s="168">
        <v>0</v>
      </c>
      <c r="K587" s="168" t="s">
        <v>1718</v>
      </c>
      <c r="L587" s="168"/>
      <c r="M587" s="168"/>
      <c r="N587" s="169">
        <v>41071</v>
      </c>
      <c r="O587" s="169">
        <v>41071</v>
      </c>
      <c r="P587" s="168" t="s">
        <v>1897</v>
      </c>
      <c r="Q587" s="166">
        <v>700</v>
      </c>
      <c r="R587" s="166">
        <v>14050</v>
      </c>
      <c r="S587" s="170">
        <v>18933.14</v>
      </c>
      <c r="T587" s="166">
        <v>14056</v>
      </c>
      <c r="U587" s="170">
        <v>18933.14</v>
      </c>
      <c r="V587" s="170">
        <f t="shared" si="28"/>
        <v>0</v>
      </c>
      <c r="W587" s="171">
        <v>0</v>
      </c>
      <c r="X587" s="166">
        <v>54260</v>
      </c>
      <c r="Y587" s="170">
        <v>0</v>
      </c>
      <c r="Z587" s="168" t="s">
        <v>1053</v>
      </c>
      <c r="AA587" s="168"/>
      <c r="AB587" s="168" t="s">
        <v>1896</v>
      </c>
      <c r="AC587" s="168"/>
      <c r="AD587" s="168" t="s">
        <v>1058</v>
      </c>
      <c r="AE587" s="168" t="s">
        <v>1059</v>
      </c>
      <c r="AF587" s="166" t="s">
        <v>284</v>
      </c>
      <c r="AG587" s="168"/>
      <c r="AH587" s="166" t="s">
        <v>1060</v>
      </c>
      <c r="AI587" s="168">
        <v>0</v>
      </c>
      <c r="AJ587" s="168">
        <v>0</v>
      </c>
      <c r="AP587" s="206"/>
      <c r="AQ587" s="207"/>
      <c r="AR587" s="207"/>
      <c r="AS587" s="207"/>
      <c r="AT587" s="208"/>
      <c r="AU587" s="207"/>
      <c r="AV587" s="208"/>
    </row>
    <row r="588" spans="1:48" s="205" customFormat="1" ht="15">
      <c r="A588" s="145"/>
      <c r="B588" s="166">
        <v>2183</v>
      </c>
      <c r="C588" s="167">
        <v>97258</v>
      </c>
      <c r="D588" s="166">
        <v>95877</v>
      </c>
      <c r="E588" s="168" t="s">
        <v>1898</v>
      </c>
      <c r="F588" s="166">
        <v>0</v>
      </c>
      <c r="G588" s="168"/>
      <c r="H588" s="168" t="s">
        <v>1899</v>
      </c>
      <c r="I588" s="168"/>
      <c r="J588" s="168">
        <v>2012</v>
      </c>
      <c r="K588" s="168" t="s">
        <v>1879</v>
      </c>
      <c r="L588" s="168" t="s">
        <v>1584</v>
      </c>
      <c r="M588" s="168" t="s">
        <v>1152</v>
      </c>
      <c r="N588" s="169">
        <v>41122</v>
      </c>
      <c r="O588" s="169">
        <v>41122</v>
      </c>
      <c r="P588" s="168" t="s">
        <v>1900</v>
      </c>
      <c r="Q588" s="166">
        <v>900</v>
      </c>
      <c r="R588" s="166">
        <v>14040</v>
      </c>
      <c r="S588" s="170">
        <v>23410.92</v>
      </c>
      <c r="T588" s="166">
        <v>14046</v>
      </c>
      <c r="U588" s="170">
        <v>23410.92</v>
      </c>
      <c r="V588" s="170">
        <f t="shared" si="28"/>
        <v>0</v>
      </c>
      <c r="W588" s="171">
        <v>1517.4</v>
      </c>
      <c r="X588" s="166">
        <v>51260</v>
      </c>
      <c r="Y588" s="170">
        <v>0</v>
      </c>
      <c r="Z588" s="168" t="s">
        <v>1053</v>
      </c>
      <c r="AA588" s="168"/>
      <c r="AB588" s="168" t="s">
        <v>1901</v>
      </c>
      <c r="AC588" s="168"/>
      <c r="AD588" s="168" t="s">
        <v>1058</v>
      </c>
      <c r="AE588" s="168" t="s">
        <v>1059</v>
      </c>
      <c r="AF588" s="166" t="s">
        <v>284</v>
      </c>
      <c r="AG588" s="168"/>
      <c r="AH588" s="166" t="s">
        <v>1060</v>
      </c>
      <c r="AI588" s="168">
        <v>0</v>
      </c>
      <c r="AJ588" s="168">
        <v>0</v>
      </c>
      <c r="AP588" s="206"/>
      <c r="AQ588" s="207"/>
      <c r="AR588" s="207"/>
      <c r="AS588" s="207"/>
      <c r="AT588" s="208"/>
      <c r="AU588" s="207"/>
      <c r="AV588" s="208"/>
    </row>
    <row r="589" spans="1:48" s="205" customFormat="1" ht="15">
      <c r="A589" s="145"/>
      <c r="B589" s="166">
        <v>2183</v>
      </c>
      <c r="C589" s="167">
        <v>97216</v>
      </c>
      <c r="D589" s="166" t="s">
        <v>1053</v>
      </c>
      <c r="E589" s="168" t="s">
        <v>469</v>
      </c>
      <c r="F589" s="166">
        <v>0</v>
      </c>
      <c r="G589" s="168"/>
      <c r="H589" s="168"/>
      <c r="I589" s="168"/>
      <c r="J589" s="168">
        <v>0</v>
      </c>
      <c r="K589" s="168"/>
      <c r="L589" s="168"/>
      <c r="M589" s="168"/>
      <c r="N589" s="169">
        <v>41183</v>
      </c>
      <c r="O589" s="169">
        <v>41183</v>
      </c>
      <c r="P589" s="168" t="s">
        <v>1902</v>
      </c>
      <c r="Q589" s="166">
        <v>1000</v>
      </c>
      <c r="R589" s="166">
        <v>14080</v>
      </c>
      <c r="S589" s="170">
        <v>9478.64</v>
      </c>
      <c r="T589" s="166">
        <v>14086</v>
      </c>
      <c r="U589" s="170">
        <v>8688.7199999999993</v>
      </c>
      <c r="V589" s="170">
        <f t="shared" si="28"/>
        <v>789.92000000000007</v>
      </c>
      <c r="W589" s="171">
        <v>868.87</v>
      </c>
      <c r="X589" s="166">
        <v>57260</v>
      </c>
      <c r="Y589" s="170">
        <v>78.989999999999995</v>
      </c>
      <c r="Z589" s="168" t="s">
        <v>1053</v>
      </c>
      <c r="AA589" s="168"/>
      <c r="AB589" s="168">
        <v>7986</v>
      </c>
      <c r="AC589" s="168"/>
      <c r="AD589" s="168" t="s">
        <v>1058</v>
      </c>
      <c r="AE589" s="168" t="s">
        <v>1059</v>
      </c>
      <c r="AF589" s="166" t="s">
        <v>284</v>
      </c>
      <c r="AG589" s="168"/>
      <c r="AH589" s="166" t="s">
        <v>1060</v>
      </c>
      <c r="AI589" s="168">
        <v>0</v>
      </c>
      <c r="AJ589" s="168">
        <v>0</v>
      </c>
      <c r="AP589" s="206"/>
      <c r="AQ589" s="207"/>
      <c r="AR589" s="207"/>
      <c r="AS589" s="207"/>
      <c r="AT589" s="208"/>
      <c r="AU589" s="207"/>
      <c r="AV589" s="208"/>
    </row>
    <row r="590" spans="1:48" s="205" customFormat="1" ht="15">
      <c r="A590" s="145"/>
      <c r="B590" s="166">
        <v>2183</v>
      </c>
      <c r="C590" s="167">
        <v>96949</v>
      </c>
      <c r="D590" s="166" t="s">
        <v>1053</v>
      </c>
      <c r="E590" s="168" t="s">
        <v>1903</v>
      </c>
      <c r="F590" s="166">
        <v>243</v>
      </c>
      <c r="G590" s="168"/>
      <c r="H590" s="168"/>
      <c r="I590" s="168"/>
      <c r="J590" s="168">
        <v>0</v>
      </c>
      <c r="K590" s="168" t="s">
        <v>1718</v>
      </c>
      <c r="L590" s="168"/>
      <c r="M590" s="168"/>
      <c r="N590" s="169">
        <v>41177</v>
      </c>
      <c r="O590" s="169">
        <v>41177</v>
      </c>
      <c r="P590" s="168" t="s">
        <v>1904</v>
      </c>
      <c r="Q590" s="166">
        <v>700</v>
      </c>
      <c r="R590" s="166">
        <v>14050</v>
      </c>
      <c r="S590" s="170">
        <v>12468.21</v>
      </c>
      <c r="T590" s="166">
        <v>14056</v>
      </c>
      <c r="U590" s="170">
        <v>12468.21</v>
      </c>
      <c r="V590" s="170">
        <f t="shared" ref="V590:V653" si="29">S590-U590</f>
        <v>0</v>
      </c>
      <c r="W590" s="171">
        <v>0</v>
      </c>
      <c r="X590" s="166">
        <v>54260</v>
      </c>
      <c r="Y590" s="170">
        <v>0</v>
      </c>
      <c r="Z590" s="168" t="s">
        <v>1053</v>
      </c>
      <c r="AA590" s="168"/>
      <c r="AB590" s="168" t="s">
        <v>1905</v>
      </c>
      <c r="AC590" s="168"/>
      <c r="AD590" s="168" t="s">
        <v>1058</v>
      </c>
      <c r="AE590" s="168" t="s">
        <v>1059</v>
      </c>
      <c r="AF590" s="166" t="s">
        <v>284</v>
      </c>
      <c r="AG590" s="168"/>
      <c r="AH590" s="166" t="s">
        <v>1060</v>
      </c>
      <c r="AI590" s="168">
        <v>0</v>
      </c>
      <c r="AJ590" s="168">
        <v>0</v>
      </c>
      <c r="AP590" s="206"/>
      <c r="AQ590" s="207"/>
      <c r="AR590" s="207"/>
      <c r="AS590" s="207"/>
      <c r="AT590" s="208"/>
      <c r="AU590" s="207"/>
      <c r="AV590" s="208"/>
    </row>
    <row r="591" spans="1:48" s="205" customFormat="1" ht="15">
      <c r="A591" s="145"/>
      <c r="B591" s="166">
        <v>2183</v>
      </c>
      <c r="C591" s="167">
        <v>96948</v>
      </c>
      <c r="D591" s="166" t="s">
        <v>1053</v>
      </c>
      <c r="E591" s="168" t="s">
        <v>1906</v>
      </c>
      <c r="F591" s="166">
        <v>324</v>
      </c>
      <c r="G591" s="168"/>
      <c r="H591" s="168"/>
      <c r="I591" s="168"/>
      <c r="J591" s="168">
        <v>0</v>
      </c>
      <c r="K591" s="168" t="s">
        <v>1718</v>
      </c>
      <c r="L591" s="168"/>
      <c r="M591" s="168"/>
      <c r="N591" s="169">
        <v>41177</v>
      </c>
      <c r="O591" s="169">
        <v>41177</v>
      </c>
      <c r="P591" s="168" t="s">
        <v>1907</v>
      </c>
      <c r="Q591" s="166">
        <v>700</v>
      </c>
      <c r="R591" s="166">
        <v>14050</v>
      </c>
      <c r="S591" s="170">
        <v>14291.66</v>
      </c>
      <c r="T591" s="166">
        <v>14056</v>
      </c>
      <c r="U591" s="170">
        <v>14291.66</v>
      </c>
      <c r="V591" s="170">
        <f t="shared" si="29"/>
        <v>0</v>
      </c>
      <c r="W591" s="171">
        <v>0</v>
      </c>
      <c r="X591" s="166">
        <v>54260</v>
      </c>
      <c r="Y591" s="170">
        <v>0</v>
      </c>
      <c r="Z591" s="168" t="s">
        <v>1053</v>
      </c>
      <c r="AA591" s="168"/>
      <c r="AB591" s="168" t="s">
        <v>1908</v>
      </c>
      <c r="AC591" s="168"/>
      <c r="AD591" s="168" t="s">
        <v>1058</v>
      </c>
      <c r="AE591" s="168" t="s">
        <v>1059</v>
      </c>
      <c r="AF591" s="166" t="s">
        <v>284</v>
      </c>
      <c r="AG591" s="168"/>
      <c r="AH591" s="166" t="s">
        <v>1060</v>
      </c>
      <c r="AI591" s="168">
        <v>0</v>
      </c>
      <c r="AJ591" s="168">
        <v>0</v>
      </c>
      <c r="AP591" s="206"/>
      <c r="AQ591" s="207"/>
      <c r="AR591" s="207"/>
      <c r="AS591" s="207"/>
      <c r="AT591" s="208"/>
      <c r="AU591" s="207"/>
      <c r="AV591" s="208"/>
    </row>
    <row r="592" spans="1:48" s="205" customFormat="1" ht="15">
      <c r="A592" s="145"/>
      <c r="B592" s="166">
        <v>2183</v>
      </c>
      <c r="C592" s="167">
        <v>96947</v>
      </c>
      <c r="D592" s="166" t="s">
        <v>1053</v>
      </c>
      <c r="E592" s="168" t="s">
        <v>1903</v>
      </c>
      <c r="F592" s="166">
        <v>486</v>
      </c>
      <c r="G592" s="168"/>
      <c r="H592" s="168"/>
      <c r="I592" s="168"/>
      <c r="J592" s="168">
        <v>0</v>
      </c>
      <c r="K592" s="168" t="s">
        <v>1718</v>
      </c>
      <c r="L592" s="168"/>
      <c r="M592" s="168"/>
      <c r="N592" s="169">
        <v>41177</v>
      </c>
      <c r="O592" s="169">
        <v>41177</v>
      </c>
      <c r="P592" s="168" t="s">
        <v>1909</v>
      </c>
      <c r="Q592" s="166">
        <v>700</v>
      </c>
      <c r="R592" s="166">
        <v>14050</v>
      </c>
      <c r="S592" s="170">
        <v>24408.13</v>
      </c>
      <c r="T592" s="166">
        <v>14056</v>
      </c>
      <c r="U592" s="170">
        <v>24408.13</v>
      </c>
      <c r="V592" s="170">
        <f t="shared" si="29"/>
        <v>0</v>
      </c>
      <c r="W592" s="171">
        <v>0</v>
      </c>
      <c r="X592" s="166">
        <v>54260</v>
      </c>
      <c r="Y592" s="170">
        <v>0</v>
      </c>
      <c r="Z592" s="168" t="s">
        <v>1053</v>
      </c>
      <c r="AA592" s="168"/>
      <c r="AB592" s="168" t="s">
        <v>1910</v>
      </c>
      <c r="AC592" s="168"/>
      <c r="AD592" s="168" t="s">
        <v>1058</v>
      </c>
      <c r="AE592" s="168" t="s">
        <v>1059</v>
      </c>
      <c r="AF592" s="166" t="s">
        <v>284</v>
      </c>
      <c r="AG592" s="168"/>
      <c r="AH592" s="166" t="s">
        <v>1060</v>
      </c>
      <c r="AI592" s="168">
        <v>0</v>
      </c>
      <c r="AJ592" s="168">
        <v>0</v>
      </c>
      <c r="AP592" s="206"/>
      <c r="AQ592" s="207"/>
      <c r="AR592" s="207"/>
      <c r="AS592" s="207"/>
      <c r="AT592" s="208"/>
      <c r="AU592" s="207"/>
      <c r="AV592" s="208"/>
    </row>
    <row r="593" spans="1:48" s="205" customFormat="1" ht="15">
      <c r="A593" s="145"/>
      <c r="B593" s="166">
        <v>2183</v>
      </c>
      <c r="C593" s="167">
        <v>96611</v>
      </c>
      <c r="D593" s="166" t="s">
        <v>1053</v>
      </c>
      <c r="E593" s="168" t="s">
        <v>1903</v>
      </c>
      <c r="F593" s="166">
        <v>486</v>
      </c>
      <c r="G593" s="168"/>
      <c r="H593" s="168"/>
      <c r="I593" s="168"/>
      <c r="J593" s="168">
        <v>0</v>
      </c>
      <c r="K593" s="168" t="s">
        <v>1718</v>
      </c>
      <c r="L593" s="168"/>
      <c r="M593" s="168"/>
      <c r="N593" s="169">
        <v>41177</v>
      </c>
      <c r="O593" s="169">
        <v>41177</v>
      </c>
      <c r="P593" s="168" t="s">
        <v>1909</v>
      </c>
      <c r="Q593" s="166">
        <v>700</v>
      </c>
      <c r="R593" s="166">
        <v>14050</v>
      </c>
      <c r="S593" s="170">
        <v>24408.13</v>
      </c>
      <c r="T593" s="166">
        <v>14056</v>
      </c>
      <c r="U593" s="170">
        <v>24408.13</v>
      </c>
      <c r="V593" s="170">
        <f t="shared" si="29"/>
        <v>0</v>
      </c>
      <c r="W593" s="171">
        <v>0</v>
      </c>
      <c r="X593" s="166">
        <v>54260</v>
      </c>
      <c r="Y593" s="170">
        <v>0</v>
      </c>
      <c r="Z593" s="168" t="s">
        <v>1053</v>
      </c>
      <c r="AA593" s="168"/>
      <c r="AB593" s="168" t="s">
        <v>1911</v>
      </c>
      <c r="AC593" s="168"/>
      <c r="AD593" s="168" t="s">
        <v>1058</v>
      </c>
      <c r="AE593" s="168" t="s">
        <v>1059</v>
      </c>
      <c r="AF593" s="166" t="s">
        <v>284</v>
      </c>
      <c r="AG593" s="168"/>
      <c r="AH593" s="166" t="s">
        <v>1060</v>
      </c>
      <c r="AI593" s="168">
        <v>0</v>
      </c>
      <c r="AJ593" s="168">
        <v>0</v>
      </c>
      <c r="AP593" s="206"/>
      <c r="AQ593" s="207"/>
      <c r="AR593" s="207"/>
      <c r="AS593" s="207"/>
      <c r="AT593" s="208"/>
      <c r="AU593" s="207"/>
      <c r="AV593" s="208"/>
    </row>
    <row r="594" spans="1:48" s="205" customFormat="1" ht="15">
      <c r="A594" s="145"/>
      <c r="B594" s="166">
        <v>2183</v>
      </c>
      <c r="C594" s="167">
        <v>96401</v>
      </c>
      <c r="D594" s="166" t="s">
        <v>1053</v>
      </c>
      <c r="E594" s="168" t="s">
        <v>1912</v>
      </c>
      <c r="F594" s="166">
        <v>810</v>
      </c>
      <c r="G594" s="168"/>
      <c r="H594" s="168"/>
      <c r="I594" s="168"/>
      <c r="J594" s="168">
        <v>0</v>
      </c>
      <c r="K594" s="168" t="s">
        <v>1718</v>
      </c>
      <c r="L594" s="168"/>
      <c r="M594" s="168"/>
      <c r="N594" s="169">
        <v>41162</v>
      </c>
      <c r="O594" s="169">
        <v>41162</v>
      </c>
      <c r="P594" s="168" t="s">
        <v>1913</v>
      </c>
      <c r="Q594" s="166">
        <v>700</v>
      </c>
      <c r="R594" s="166">
        <v>14050</v>
      </c>
      <c r="S594" s="170">
        <v>27988.19</v>
      </c>
      <c r="T594" s="166">
        <v>14056</v>
      </c>
      <c r="U594" s="170">
        <v>27988.19</v>
      </c>
      <c r="V594" s="170">
        <f t="shared" si="29"/>
        <v>0</v>
      </c>
      <c r="W594" s="171">
        <v>0</v>
      </c>
      <c r="X594" s="166">
        <v>54260</v>
      </c>
      <c r="Y594" s="170">
        <v>0</v>
      </c>
      <c r="Z594" s="168" t="s">
        <v>1053</v>
      </c>
      <c r="AA594" s="168"/>
      <c r="AB594" s="168" t="s">
        <v>1914</v>
      </c>
      <c r="AC594" s="168"/>
      <c r="AD594" s="168" t="s">
        <v>1058</v>
      </c>
      <c r="AE594" s="168" t="s">
        <v>1059</v>
      </c>
      <c r="AF594" s="166" t="s">
        <v>284</v>
      </c>
      <c r="AG594" s="168"/>
      <c r="AH594" s="166" t="s">
        <v>1060</v>
      </c>
      <c r="AI594" s="168">
        <v>0</v>
      </c>
      <c r="AJ594" s="168">
        <v>0</v>
      </c>
      <c r="AP594" s="206"/>
      <c r="AQ594" s="207"/>
      <c r="AR594" s="207"/>
      <c r="AS594" s="207"/>
      <c r="AT594" s="208"/>
      <c r="AU594" s="207"/>
      <c r="AV594" s="208"/>
    </row>
    <row r="595" spans="1:48" s="205" customFormat="1" ht="15">
      <c r="A595" s="145"/>
      <c r="B595" s="166">
        <v>2183</v>
      </c>
      <c r="C595" s="167">
        <v>96400</v>
      </c>
      <c r="D595" s="166" t="s">
        <v>1053</v>
      </c>
      <c r="E595" s="168" t="s">
        <v>1903</v>
      </c>
      <c r="F595" s="166">
        <v>243</v>
      </c>
      <c r="G595" s="168"/>
      <c r="H595" s="168"/>
      <c r="I595" s="168"/>
      <c r="J595" s="168">
        <v>0</v>
      </c>
      <c r="K595" s="168" t="s">
        <v>1718</v>
      </c>
      <c r="L595" s="168"/>
      <c r="M595" s="168"/>
      <c r="N595" s="169">
        <v>41087</v>
      </c>
      <c r="O595" s="169">
        <v>41087</v>
      </c>
      <c r="P595" s="168" t="s">
        <v>1915</v>
      </c>
      <c r="Q595" s="166">
        <v>700</v>
      </c>
      <c r="R595" s="166">
        <v>14050</v>
      </c>
      <c r="S595" s="170">
        <v>12604.82</v>
      </c>
      <c r="T595" s="166">
        <v>14056</v>
      </c>
      <c r="U595" s="170">
        <v>12604.82</v>
      </c>
      <c r="V595" s="170">
        <f t="shared" si="29"/>
        <v>0</v>
      </c>
      <c r="W595" s="171">
        <v>0</v>
      </c>
      <c r="X595" s="166">
        <v>54260</v>
      </c>
      <c r="Y595" s="170">
        <v>0</v>
      </c>
      <c r="Z595" s="168" t="s">
        <v>1053</v>
      </c>
      <c r="AA595" s="168"/>
      <c r="AB595" s="168" t="s">
        <v>1916</v>
      </c>
      <c r="AC595" s="168"/>
      <c r="AD595" s="168" t="s">
        <v>1058</v>
      </c>
      <c r="AE595" s="168" t="s">
        <v>1059</v>
      </c>
      <c r="AF595" s="166" t="s">
        <v>284</v>
      </c>
      <c r="AG595" s="168"/>
      <c r="AH595" s="166" t="s">
        <v>1060</v>
      </c>
      <c r="AI595" s="168">
        <v>0</v>
      </c>
      <c r="AJ595" s="168">
        <v>0</v>
      </c>
      <c r="AP595" s="206"/>
      <c r="AQ595" s="207"/>
      <c r="AR595" s="207"/>
      <c r="AS595" s="207"/>
      <c r="AT595" s="208"/>
      <c r="AU595" s="207"/>
      <c r="AV595" s="208"/>
    </row>
    <row r="596" spans="1:48" s="205" customFormat="1" ht="15">
      <c r="A596" s="145"/>
      <c r="B596" s="166">
        <v>2183</v>
      </c>
      <c r="C596" s="167">
        <v>96399</v>
      </c>
      <c r="D596" s="166" t="s">
        <v>1053</v>
      </c>
      <c r="E596" s="168" t="s">
        <v>1906</v>
      </c>
      <c r="F596" s="166">
        <v>324</v>
      </c>
      <c r="G596" s="168"/>
      <c r="H596" s="168"/>
      <c r="I596" s="168"/>
      <c r="J596" s="168">
        <v>0</v>
      </c>
      <c r="K596" s="168" t="s">
        <v>1718</v>
      </c>
      <c r="L596" s="168"/>
      <c r="M596" s="168"/>
      <c r="N596" s="169">
        <v>41087</v>
      </c>
      <c r="O596" s="169">
        <v>41087</v>
      </c>
      <c r="P596" s="168" t="s">
        <v>1917</v>
      </c>
      <c r="Q596" s="166">
        <v>700</v>
      </c>
      <c r="R596" s="166">
        <v>14050</v>
      </c>
      <c r="S596" s="170">
        <v>14460.83</v>
      </c>
      <c r="T596" s="166">
        <v>14056</v>
      </c>
      <c r="U596" s="170">
        <v>14460.83</v>
      </c>
      <c r="V596" s="170">
        <f t="shared" si="29"/>
        <v>0</v>
      </c>
      <c r="W596" s="171">
        <v>0</v>
      </c>
      <c r="X596" s="166">
        <v>54260</v>
      </c>
      <c r="Y596" s="170">
        <v>0</v>
      </c>
      <c r="Z596" s="168" t="s">
        <v>1053</v>
      </c>
      <c r="AA596" s="168"/>
      <c r="AB596" s="168" t="s">
        <v>1918</v>
      </c>
      <c r="AC596" s="168"/>
      <c r="AD596" s="168" t="s">
        <v>1058</v>
      </c>
      <c r="AE596" s="168" t="s">
        <v>1059</v>
      </c>
      <c r="AF596" s="166" t="s">
        <v>284</v>
      </c>
      <c r="AG596" s="168"/>
      <c r="AH596" s="166" t="s">
        <v>1060</v>
      </c>
      <c r="AI596" s="168">
        <v>0</v>
      </c>
      <c r="AJ596" s="168">
        <v>0</v>
      </c>
      <c r="AP596" s="206"/>
      <c r="AQ596" s="207"/>
      <c r="AR596" s="207"/>
      <c r="AS596" s="207"/>
      <c r="AT596" s="208"/>
      <c r="AU596" s="207"/>
      <c r="AV596" s="208"/>
    </row>
    <row r="597" spans="1:48" s="205" customFormat="1" ht="15">
      <c r="A597" s="145"/>
      <c r="B597" s="166">
        <v>2183</v>
      </c>
      <c r="C597" s="167">
        <v>96398</v>
      </c>
      <c r="D597" s="166" t="s">
        <v>1053</v>
      </c>
      <c r="E597" s="168" t="s">
        <v>1912</v>
      </c>
      <c r="F597" s="166">
        <v>810</v>
      </c>
      <c r="G597" s="168"/>
      <c r="H597" s="168"/>
      <c r="I597" s="168"/>
      <c r="J597" s="168">
        <v>0</v>
      </c>
      <c r="K597" s="168" t="s">
        <v>1718</v>
      </c>
      <c r="L597" s="168"/>
      <c r="M597" s="168"/>
      <c r="N597" s="169">
        <v>41114</v>
      </c>
      <c r="O597" s="169">
        <v>41114</v>
      </c>
      <c r="P597" s="168" t="s">
        <v>1919</v>
      </c>
      <c r="Q597" s="166">
        <v>700</v>
      </c>
      <c r="R597" s="166">
        <v>14050</v>
      </c>
      <c r="S597" s="170">
        <v>28315.919999999998</v>
      </c>
      <c r="T597" s="166">
        <v>14056</v>
      </c>
      <c r="U597" s="170">
        <v>28315.919999999998</v>
      </c>
      <c r="V597" s="170">
        <f t="shared" si="29"/>
        <v>0</v>
      </c>
      <c r="W597" s="171">
        <v>0</v>
      </c>
      <c r="X597" s="166">
        <v>54260</v>
      </c>
      <c r="Y597" s="170">
        <v>0</v>
      </c>
      <c r="Z597" s="168" t="s">
        <v>1053</v>
      </c>
      <c r="AA597" s="168"/>
      <c r="AB597" s="168" t="s">
        <v>1920</v>
      </c>
      <c r="AC597" s="168"/>
      <c r="AD597" s="168" t="s">
        <v>1058</v>
      </c>
      <c r="AE597" s="168" t="s">
        <v>1059</v>
      </c>
      <c r="AF597" s="166" t="s">
        <v>284</v>
      </c>
      <c r="AG597" s="168"/>
      <c r="AH597" s="166" t="s">
        <v>1060</v>
      </c>
      <c r="AI597" s="168">
        <v>0</v>
      </c>
      <c r="AJ597" s="168">
        <v>0</v>
      </c>
      <c r="AP597" s="206"/>
      <c r="AQ597" s="207"/>
      <c r="AR597" s="207"/>
      <c r="AS597" s="207"/>
      <c r="AT597" s="208"/>
      <c r="AU597" s="207"/>
      <c r="AV597" s="208"/>
    </row>
    <row r="598" spans="1:48" s="205" customFormat="1" ht="15">
      <c r="A598" s="145"/>
      <c r="B598" s="166">
        <v>2183</v>
      </c>
      <c r="C598" s="167">
        <v>96397</v>
      </c>
      <c r="D598" s="166" t="s">
        <v>1053</v>
      </c>
      <c r="E598" s="168" t="s">
        <v>1921</v>
      </c>
      <c r="F598" s="166">
        <v>217</v>
      </c>
      <c r="G598" s="168"/>
      <c r="H598" s="168"/>
      <c r="I598" s="168"/>
      <c r="J598" s="168">
        <v>0</v>
      </c>
      <c r="K598" s="168" t="s">
        <v>1718</v>
      </c>
      <c r="L598" s="168"/>
      <c r="M598" s="168"/>
      <c r="N598" s="169">
        <v>41114</v>
      </c>
      <c r="O598" s="169">
        <v>41114</v>
      </c>
      <c r="P598" s="168" t="s">
        <v>1922</v>
      </c>
      <c r="Q598" s="166">
        <v>700</v>
      </c>
      <c r="R598" s="166">
        <v>14050</v>
      </c>
      <c r="S598" s="170">
        <v>7373.57</v>
      </c>
      <c r="T598" s="166">
        <v>14056</v>
      </c>
      <c r="U598" s="170">
        <v>7373.57</v>
      </c>
      <c r="V598" s="170">
        <f t="shared" si="29"/>
        <v>0</v>
      </c>
      <c r="W598" s="171">
        <v>0</v>
      </c>
      <c r="X598" s="166">
        <v>54260</v>
      </c>
      <c r="Y598" s="170">
        <v>0</v>
      </c>
      <c r="Z598" s="168" t="s">
        <v>1053</v>
      </c>
      <c r="AA598" s="168"/>
      <c r="AB598" s="168" t="s">
        <v>1923</v>
      </c>
      <c r="AC598" s="168"/>
      <c r="AD598" s="168" t="s">
        <v>1058</v>
      </c>
      <c r="AE598" s="168" t="s">
        <v>1059</v>
      </c>
      <c r="AF598" s="166" t="s">
        <v>284</v>
      </c>
      <c r="AG598" s="168"/>
      <c r="AH598" s="166" t="s">
        <v>1060</v>
      </c>
      <c r="AI598" s="168">
        <v>0</v>
      </c>
      <c r="AJ598" s="168">
        <v>0</v>
      </c>
      <c r="AP598" s="206"/>
      <c r="AQ598" s="207"/>
      <c r="AR598" s="207"/>
      <c r="AS598" s="207"/>
      <c r="AT598" s="208"/>
      <c r="AU598" s="207"/>
      <c r="AV598" s="208"/>
    </row>
    <row r="599" spans="1:48" s="205" customFormat="1" ht="15">
      <c r="A599" s="145"/>
      <c r="B599" s="166">
        <v>2183</v>
      </c>
      <c r="C599" s="167">
        <v>96158</v>
      </c>
      <c r="D599" s="166">
        <v>95877</v>
      </c>
      <c r="E599" s="168" t="s">
        <v>1924</v>
      </c>
      <c r="F599" s="166">
        <v>0</v>
      </c>
      <c r="G599" s="168"/>
      <c r="H599" s="168"/>
      <c r="I599" s="168"/>
      <c r="J599" s="168">
        <v>0</v>
      </c>
      <c r="K599" s="168" t="s">
        <v>1925</v>
      </c>
      <c r="L599" s="168"/>
      <c r="M599" s="168" t="s">
        <v>1108</v>
      </c>
      <c r="N599" s="169">
        <v>41122</v>
      </c>
      <c r="O599" s="169">
        <v>41122</v>
      </c>
      <c r="P599" s="168" t="s">
        <v>1900</v>
      </c>
      <c r="Q599" s="166">
        <v>300</v>
      </c>
      <c r="R599" s="166">
        <v>14040</v>
      </c>
      <c r="S599" s="170">
        <v>8555.08</v>
      </c>
      <c r="T599" s="166">
        <v>14046</v>
      </c>
      <c r="U599" s="170">
        <v>8555.08</v>
      </c>
      <c r="V599" s="170">
        <f t="shared" si="29"/>
        <v>0</v>
      </c>
      <c r="W599" s="171">
        <v>0</v>
      </c>
      <c r="X599" s="166">
        <v>51260</v>
      </c>
      <c r="Y599" s="170">
        <v>0</v>
      </c>
      <c r="Z599" s="168" t="s">
        <v>1053</v>
      </c>
      <c r="AA599" s="168"/>
      <c r="AB599" s="168">
        <v>94363</v>
      </c>
      <c r="AC599" s="168"/>
      <c r="AD599" s="168" t="s">
        <v>1058</v>
      </c>
      <c r="AE599" s="168" t="s">
        <v>1059</v>
      </c>
      <c r="AF599" s="166" t="s">
        <v>284</v>
      </c>
      <c r="AG599" s="168"/>
      <c r="AH599" s="166" t="s">
        <v>1060</v>
      </c>
      <c r="AI599" s="168">
        <v>0</v>
      </c>
      <c r="AJ599" s="168">
        <v>0</v>
      </c>
      <c r="AP599" s="206"/>
      <c r="AQ599" s="207"/>
      <c r="AR599" s="207"/>
      <c r="AS599" s="207"/>
      <c r="AT599" s="208"/>
      <c r="AU599" s="207"/>
      <c r="AV599" s="208"/>
    </row>
    <row r="600" spans="1:48" s="205" customFormat="1" ht="15">
      <c r="A600" s="145"/>
      <c r="B600" s="166">
        <v>2183</v>
      </c>
      <c r="C600" s="167">
        <v>95877</v>
      </c>
      <c r="D600" s="166" t="s">
        <v>1053</v>
      </c>
      <c r="E600" s="168" t="s">
        <v>1926</v>
      </c>
      <c r="F600" s="166">
        <v>0</v>
      </c>
      <c r="G600" s="168"/>
      <c r="H600" s="168" t="s">
        <v>1899</v>
      </c>
      <c r="I600" s="168"/>
      <c r="J600" s="168">
        <v>2012</v>
      </c>
      <c r="K600" s="168" t="s">
        <v>1879</v>
      </c>
      <c r="L600" s="168" t="s">
        <v>1584</v>
      </c>
      <c r="M600" s="168" t="s">
        <v>1152</v>
      </c>
      <c r="N600" s="169">
        <v>41122</v>
      </c>
      <c r="O600" s="169">
        <v>41122</v>
      </c>
      <c r="P600" s="168" t="s">
        <v>1900</v>
      </c>
      <c r="Q600" s="166">
        <v>900</v>
      </c>
      <c r="R600" s="166">
        <v>14040</v>
      </c>
      <c r="S600" s="170">
        <v>297122.34999999998</v>
      </c>
      <c r="T600" s="166">
        <v>14046</v>
      </c>
      <c r="U600" s="170">
        <v>297122.34999999998</v>
      </c>
      <c r="V600" s="170">
        <f t="shared" si="29"/>
        <v>0</v>
      </c>
      <c r="W600" s="171">
        <v>19257.88</v>
      </c>
      <c r="X600" s="166">
        <v>51260</v>
      </c>
      <c r="Y600" s="170">
        <v>0</v>
      </c>
      <c r="Z600" s="168" t="s">
        <v>1053</v>
      </c>
      <c r="AA600" s="168"/>
      <c r="AB600" s="168">
        <v>4101952</v>
      </c>
      <c r="AC600" s="168">
        <v>3632</v>
      </c>
      <c r="AD600" s="168" t="s">
        <v>1058</v>
      </c>
      <c r="AE600" s="168" t="s">
        <v>1059</v>
      </c>
      <c r="AF600" s="166" t="s">
        <v>284</v>
      </c>
      <c r="AG600" s="168"/>
      <c r="AH600" s="166" t="s">
        <v>1060</v>
      </c>
      <c r="AI600" s="168">
        <v>0</v>
      </c>
      <c r="AJ600" s="168">
        <v>0</v>
      </c>
      <c r="AP600" s="206"/>
      <c r="AQ600" s="207"/>
      <c r="AR600" s="207"/>
      <c r="AS600" s="207"/>
      <c r="AT600" s="208"/>
      <c r="AU600" s="207"/>
      <c r="AV600" s="208"/>
    </row>
    <row r="601" spans="1:48" s="205" customFormat="1" ht="15">
      <c r="A601" s="145"/>
      <c r="B601" s="166">
        <v>2183</v>
      </c>
      <c r="C601" s="167">
        <v>95840</v>
      </c>
      <c r="D601" s="166">
        <v>61080</v>
      </c>
      <c r="E601" s="168" t="s">
        <v>1927</v>
      </c>
      <c r="F601" s="166">
        <v>0</v>
      </c>
      <c r="G601" s="168"/>
      <c r="H601" s="168"/>
      <c r="I601" s="168"/>
      <c r="J601" s="168">
        <v>0</v>
      </c>
      <c r="K601" s="168" t="s">
        <v>1624</v>
      </c>
      <c r="L601" s="168"/>
      <c r="M601" s="168"/>
      <c r="N601" s="169">
        <v>41121</v>
      </c>
      <c r="O601" s="169">
        <v>41121</v>
      </c>
      <c r="P601" s="168" t="s">
        <v>1928</v>
      </c>
      <c r="Q601" s="166">
        <v>300</v>
      </c>
      <c r="R601" s="166">
        <v>14040</v>
      </c>
      <c r="S601" s="170">
        <v>45310.51</v>
      </c>
      <c r="T601" s="166">
        <v>14046</v>
      </c>
      <c r="U601" s="170">
        <v>45310.51</v>
      </c>
      <c r="V601" s="170">
        <f t="shared" si="29"/>
        <v>0</v>
      </c>
      <c r="W601" s="171">
        <v>0</v>
      </c>
      <c r="X601" s="166">
        <v>51260</v>
      </c>
      <c r="Y601" s="170">
        <v>0</v>
      </c>
      <c r="Z601" s="168" t="s">
        <v>1053</v>
      </c>
      <c r="AA601" s="168"/>
      <c r="AB601" s="168" t="s">
        <v>1929</v>
      </c>
      <c r="AC601" s="168"/>
      <c r="AD601" s="168" t="s">
        <v>1058</v>
      </c>
      <c r="AE601" s="168" t="s">
        <v>1059</v>
      </c>
      <c r="AF601" s="166" t="s">
        <v>284</v>
      </c>
      <c r="AG601" s="168"/>
      <c r="AH601" s="166" t="s">
        <v>1060</v>
      </c>
      <c r="AI601" s="168">
        <v>0</v>
      </c>
      <c r="AJ601" s="168">
        <v>0</v>
      </c>
      <c r="AP601" s="206"/>
      <c r="AQ601" s="207"/>
      <c r="AR601" s="207"/>
      <c r="AS601" s="207"/>
      <c r="AT601" s="208"/>
      <c r="AU601" s="207"/>
      <c r="AV601" s="208"/>
    </row>
    <row r="602" spans="1:48" s="205" customFormat="1" ht="15">
      <c r="A602" s="145"/>
      <c r="B602" s="166">
        <v>2183</v>
      </c>
      <c r="C602" s="167">
        <v>94943</v>
      </c>
      <c r="D602" s="166" t="s">
        <v>1053</v>
      </c>
      <c r="E602" s="168" t="s">
        <v>1930</v>
      </c>
      <c r="F602" s="166">
        <v>486</v>
      </c>
      <c r="G602" s="168"/>
      <c r="H602" s="168" t="s">
        <v>1931</v>
      </c>
      <c r="I602" s="168"/>
      <c r="J602" s="168">
        <v>0</v>
      </c>
      <c r="K602" s="168" t="s">
        <v>1718</v>
      </c>
      <c r="L602" s="168"/>
      <c r="M602" s="168"/>
      <c r="N602" s="169">
        <v>41096</v>
      </c>
      <c r="O602" s="169">
        <v>41096</v>
      </c>
      <c r="P602" s="168" t="s">
        <v>1932</v>
      </c>
      <c r="Q602" s="166">
        <v>700</v>
      </c>
      <c r="R602" s="166">
        <v>14050</v>
      </c>
      <c r="S602" s="170">
        <v>25209.59</v>
      </c>
      <c r="T602" s="166">
        <v>14056</v>
      </c>
      <c r="U602" s="170">
        <v>25209.59</v>
      </c>
      <c r="V602" s="170">
        <f t="shared" si="29"/>
        <v>0</v>
      </c>
      <c r="W602" s="171">
        <v>0</v>
      </c>
      <c r="X602" s="166">
        <v>54260</v>
      </c>
      <c r="Y602" s="170">
        <v>0</v>
      </c>
      <c r="Z602" s="168" t="s">
        <v>1053</v>
      </c>
      <c r="AA602" s="168"/>
      <c r="AB602" s="168" t="s">
        <v>1933</v>
      </c>
      <c r="AC602" s="168"/>
      <c r="AD602" s="168" t="s">
        <v>1058</v>
      </c>
      <c r="AE602" s="168" t="s">
        <v>1059</v>
      </c>
      <c r="AF602" s="166" t="s">
        <v>284</v>
      </c>
      <c r="AG602" s="168"/>
      <c r="AH602" s="166" t="s">
        <v>1060</v>
      </c>
      <c r="AI602" s="168">
        <v>0</v>
      </c>
      <c r="AJ602" s="168">
        <v>0</v>
      </c>
      <c r="AP602" s="206"/>
      <c r="AQ602" s="207"/>
      <c r="AR602" s="207"/>
      <c r="AS602" s="207"/>
      <c r="AT602" s="208"/>
      <c r="AU602" s="207"/>
      <c r="AV602" s="208"/>
    </row>
    <row r="603" spans="1:48" s="205" customFormat="1" ht="15">
      <c r="A603" s="145"/>
      <c r="B603" s="166">
        <v>2183</v>
      </c>
      <c r="C603" s="167">
        <v>93959</v>
      </c>
      <c r="D603" s="166" t="s">
        <v>1053</v>
      </c>
      <c r="E603" s="168" t="s">
        <v>1934</v>
      </c>
      <c r="F603" s="166">
        <v>0</v>
      </c>
      <c r="G603" s="168"/>
      <c r="H603" s="168"/>
      <c r="I603" s="168"/>
      <c r="J603" s="168">
        <v>0</v>
      </c>
      <c r="K603" s="168" t="s">
        <v>1261</v>
      </c>
      <c r="L603" s="168"/>
      <c r="M603" s="168"/>
      <c r="N603" s="169">
        <v>41036</v>
      </c>
      <c r="O603" s="169">
        <v>41036</v>
      </c>
      <c r="P603" s="168" t="s">
        <v>1935</v>
      </c>
      <c r="Q603" s="166">
        <v>300</v>
      </c>
      <c r="R603" s="166">
        <v>14110</v>
      </c>
      <c r="S603" s="170">
        <v>949.73</v>
      </c>
      <c r="T603" s="166">
        <v>14116</v>
      </c>
      <c r="U603" s="170">
        <v>949.73</v>
      </c>
      <c r="V603" s="170">
        <f t="shared" si="29"/>
        <v>0</v>
      </c>
      <c r="W603" s="171">
        <v>0</v>
      </c>
      <c r="X603" s="166">
        <v>70260</v>
      </c>
      <c r="Y603" s="170">
        <v>0</v>
      </c>
      <c r="Z603" s="168" t="s">
        <v>1053</v>
      </c>
      <c r="AA603" s="168"/>
      <c r="AB603" s="168" t="s">
        <v>1936</v>
      </c>
      <c r="AC603" s="168"/>
      <c r="AD603" s="168" t="s">
        <v>1058</v>
      </c>
      <c r="AE603" s="168" t="s">
        <v>1059</v>
      </c>
      <c r="AF603" s="166" t="s">
        <v>284</v>
      </c>
      <c r="AG603" s="168"/>
      <c r="AH603" s="166" t="s">
        <v>1060</v>
      </c>
      <c r="AI603" s="168">
        <v>0</v>
      </c>
      <c r="AJ603" s="168">
        <v>0</v>
      </c>
      <c r="AP603" s="206"/>
      <c r="AQ603" s="207"/>
      <c r="AR603" s="207"/>
      <c r="AS603" s="207"/>
      <c r="AT603" s="208"/>
      <c r="AU603" s="207"/>
      <c r="AV603" s="208"/>
    </row>
    <row r="604" spans="1:48" s="205" customFormat="1" ht="15">
      <c r="A604" s="145"/>
      <c r="B604" s="166">
        <v>2183</v>
      </c>
      <c r="C604" s="167">
        <v>92581</v>
      </c>
      <c r="D604" s="166" t="s">
        <v>1053</v>
      </c>
      <c r="E604" s="168" t="s">
        <v>1937</v>
      </c>
      <c r="F604" s="166">
        <v>0</v>
      </c>
      <c r="G604" s="168"/>
      <c r="H604" s="168"/>
      <c r="I604" s="168"/>
      <c r="J604" s="168">
        <v>0</v>
      </c>
      <c r="K604" s="168" t="s">
        <v>1261</v>
      </c>
      <c r="L604" s="168"/>
      <c r="M604" s="168"/>
      <c r="N604" s="169">
        <v>40988</v>
      </c>
      <c r="O604" s="169">
        <v>40988</v>
      </c>
      <c r="P604" s="168" t="s">
        <v>1938</v>
      </c>
      <c r="Q604" s="166">
        <v>300</v>
      </c>
      <c r="R604" s="166">
        <v>14110</v>
      </c>
      <c r="S604" s="170">
        <v>947.94</v>
      </c>
      <c r="T604" s="166">
        <v>14116</v>
      </c>
      <c r="U604" s="170">
        <v>947.94</v>
      </c>
      <c r="V604" s="170">
        <f t="shared" si="29"/>
        <v>0</v>
      </c>
      <c r="W604" s="171">
        <v>0</v>
      </c>
      <c r="X604" s="166">
        <v>70260</v>
      </c>
      <c r="Y604" s="170">
        <v>0</v>
      </c>
      <c r="Z604" s="168" t="s">
        <v>1053</v>
      </c>
      <c r="AA604" s="168"/>
      <c r="AB604" s="168" t="s">
        <v>1939</v>
      </c>
      <c r="AC604" s="168"/>
      <c r="AD604" s="168" t="s">
        <v>1058</v>
      </c>
      <c r="AE604" s="168" t="s">
        <v>1059</v>
      </c>
      <c r="AF604" s="166" t="s">
        <v>284</v>
      </c>
      <c r="AG604" s="168"/>
      <c r="AH604" s="166" t="s">
        <v>1060</v>
      </c>
      <c r="AI604" s="168">
        <v>0</v>
      </c>
      <c r="AJ604" s="168">
        <v>0</v>
      </c>
      <c r="AP604" s="206"/>
      <c r="AQ604" s="207"/>
      <c r="AR604" s="207"/>
      <c r="AS604" s="207"/>
      <c r="AT604" s="208"/>
      <c r="AU604" s="207"/>
      <c r="AV604" s="208"/>
    </row>
    <row r="605" spans="1:48" s="205" customFormat="1" ht="15">
      <c r="A605" s="145"/>
      <c r="B605" s="166">
        <v>2183</v>
      </c>
      <c r="C605" s="167">
        <v>92496</v>
      </c>
      <c r="D605" s="166">
        <v>67015</v>
      </c>
      <c r="E605" s="168" t="s">
        <v>1940</v>
      </c>
      <c r="F605" s="166">
        <v>0</v>
      </c>
      <c r="G605" s="168"/>
      <c r="H605" s="168"/>
      <c r="I605" s="168"/>
      <c r="J605" s="168">
        <v>0</v>
      </c>
      <c r="K605" s="168" t="s">
        <v>1941</v>
      </c>
      <c r="L605" s="168"/>
      <c r="M605" s="168" t="s">
        <v>1108</v>
      </c>
      <c r="N605" s="169">
        <v>40952</v>
      </c>
      <c r="O605" s="169">
        <v>40952</v>
      </c>
      <c r="P605" s="168" t="s">
        <v>1942</v>
      </c>
      <c r="Q605" s="166">
        <v>300</v>
      </c>
      <c r="R605" s="166">
        <v>14040</v>
      </c>
      <c r="S605" s="170">
        <v>4164.8</v>
      </c>
      <c r="T605" s="166">
        <v>14046</v>
      </c>
      <c r="U605" s="170">
        <v>4164.8</v>
      </c>
      <c r="V605" s="170">
        <f t="shared" si="29"/>
        <v>0</v>
      </c>
      <c r="W605" s="171">
        <v>0</v>
      </c>
      <c r="X605" s="166">
        <v>51260</v>
      </c>
      <c r="Y605" s="170">
        <v>0</v>
      </c>
      <c r="Z605" s="168" t="s">
        <v>1053</v>
      </c>
      <c r="AA605" s="168"/>
      <c r="AB605" s="168">
        <v>56316</v>
      </c>
      <c r="AC605" s="168"/>
      <c r="AD605" s="168" t="s">
        <v>1058</v>
      </c>
      <c r="AE605" s="168" t="s">
        <v>1059</v>
      </c>
      <c r="AF605" s="166" t="s">
        <v>284</v>
      </c>
      <c r="AG605" s="168"/>
      <c r="AH605" s="166" t="s">
        <v>1060</v>
      </c>
      <c r="AI605" s="168">
        <v>0</v>
      </c>
      <c r="AJ605" s="168">
        <v>0</v>
      </c>
      <c r="AP605" s="206"/>
      <c r="AQ605" s="207"/>
      <c r="AR605" s="207"/>
      <c r="AS605" s="207"/>
      <c r="AT605" s="208"/>
      <c r="AU605" s="207"/>
      <c r="AV605" s="208"/>
    </row>
    <row r="606" spans="1:48" s="205" customFormat="1" ht="15">
      <c r="A606" s="145"/>
      <c r="B606" s="166">
        <v>2183</v>
      </c>
      <c r="C606" s="167">
        <v>92495</v>
      </c>
      <c r="D606" s="166">
        <v>67015</v>
      </c>
      <c r="E606" s="168" t="s">
        <v>1943</v>
      </c>
      <c r="F606" s="166">
        <v>0</v>
      </c>
      <c r="G606" s="168"/>
      <c r="H606" s="168"/>
      <c r="I606" s="168"/>
      <c r="J606" s="168">
        <v>0</v>
      </c>
      <c r="K606" s="168" t="s">
        <v>1944</v>
      </c>
      <c r="L606" s="168"/>
      <c r="M606" s="168" t="s">
        <v>1108</v>
      </c>
      <c r="N606" s="169">
        <v>40952</v>
      </c>
      <c r="O606" s="169">
        <v>40952</v>
      </c>
      <c r="P606" s="168" t="s">
        <v>1942</v>
      </c>
      <c r="Q606" s="166">
        <v>300</v>
      </c>
      <c r="R606" s="166">
        <v>14040</v>
      </c>
      <c r="S606" s="170">
        <v>-4700.16</v>
      </c>
      <c r="T606" s="166">
        <v>14046</v>
      </c>
      <c r="U606" s="170">
        <v>-4700.16</v>
      </c>
      <c r="V606" s="170">
        <f t="shared" si="29"/>
        <v>0</v>
      </c>
      <c r="W606" s="171">
        <v>0</v>
      </c>
      <c r="X606" s="166">
        <v>51260</v>
      </c>
      <c r="Y606" s="170">
        <v>0</v>
      </c>
      <c r="Z606" s="168" t="s">
        <v>1053</v>
      </c>
      <c r="AA606" s="168"/>
      <c r="AB606" s="168" t="s">
        <v>1945</v>
      </c>
      <c r="AC606" s="168"/>
      <c r="AD606" s="168" t="s">
        <v>1058</v>
      </c>
      <c r="AE606" s="168" t="s">
        <v>1059</v>
      </c>
      <c r="AF606" s="166" t="s">
        <v>284</v>
      </c>
      <c r="AG606" s="168"/>
      <c r="AH606" s="166" t="s">
        <v>1060</v>
      </c>
      <c r="AI606" s="168">
        <v>0</v>
      </c>
      <c r="AJ606" s="168">
        <v>0</v>
      </c>
      <c r="AP606" s="206"/>
      <c r="AQ606" s="207"/>
      <c r="AR606" s="207"/>
      <c r="AS606" s="207"/>
      <c r="AT606" s="208"/>
      <c r="AU606" s="207"/>
      <c r="AV606" s="208"/>
    </row>
    <row r="607" spans="1:48" s="205" customFormat="1" ht="15">
      <c r="A607" s="145"/>
      <c r="B607" s="166">
        <v>2183</v>
      </c>
      <c r="C607" s="167">
        <v>91687</v>
      </c>
      <c r="D607" s="166" t="s">
        <v>1053</v>
      </c>
      <c r="E607" s="168" t="s">
        <v>1946</v>
      </c>
      <c r="F607" s="166">
        <v>486</v>
      </c>
      <c r="G607" s="168"/>
      <c r="H607" s="168"/>
      <c r="I607" s="168"/>
      <c r="J607" s="168">
        <v>0</v>
      </c>
      <c r="K607" s="168" t="s">
        <v>1718</v>
      </c>
      <c r="L607" s="168"/>
      <c r="M607" s="168"/>
      <c r="N607" s="169">
        <v>40999</v>
      </c>
      <c r="O607" s="169">
        <v>40999</v>
      </c>
      <c r="P607" s="168" t="s">
        <v>1947</v>
      </c>
      <c r="Q607" s="166">
        <v>700</v>
      </c>
      <c r="R607" s="166">
        <v>14050</v>
      </c>
      <c r="S607" s="170">
        <v>24829.25</v>
      </c>
      <c r="T607" s="166">
        <v>14056</v>
      </c>
      <c r="U607" s="170">
        <v>24829.25</v>
      </c>
      <c r="V607" s="170">
        <f t="shared" si="29"/>
        <v>0</v>
      </c>
      <c r="W607" s="171">
        <v>0</v>
      </c>
      <c r="X607" s="166">
        <v>54260</v>
      </c>
      <c r="Y607" s="170">
        <v>0</v>
      </c>
      <c r="Z607" s="168" t="s">
        <v>1053</v>
      </c>
      <c r="AA607" s="168"/>
      <c r="AB607" s="168" t="s">
        <v>1948</v>
      </c>
      <c r="AC607" s="168"/>
      <c r="AD607" s="168" t="s">
        <v>1058</v>
      </c>
      <c r="AE607" s="168" t="s">
        <v>1059</v>
      </c>
      <c r="AF607" s="166" t="s">
        <v>284</v>
      </c>
      <c r="AG607" s="168"/>
      <c r="AH607" s="166" t="s">
        <v>1060</v>
      </c>
      <c r="AI607" s="168">
        <v>0</v>
      </c>
      <c r="AJ607" s="168">
        <v>0</v>
      </c>
      <c r="AP607" s="206"/>
      <c r="AQ607" s="207"/>
      <c r="AR607" s="207"/>
      <c r="AS607" s="207"/>
      <c r="AT607" s="208"/>
      <c r="AU607" s="207"/>
      <c r="AV607" s="208"/>
    </row>
    <row r="608" spans="1:48" s="205" customFormat="1" ht="15">
      <c r="A608" s="145"/>
      <c r="B608" s="166">
        <v>2183</v>
      </c>
      <c r="C608" s="167">
        <v>91068</v>
      </c>
      <c r="D608" s="166">
        <v>67015</v>
      </c>
      <c r="E608" s="168" t="s">
        <v>1949</v>
      </c>
      <c r="F608" s="166">
        <v>0</v>
      </c>
      <c r="G608" s="168"/>
      <c r="H608" s="168"/>
      <c r="I608" s="168"/>
      <c r="J608" s="168">
        <v>0</v>
      </c>
      <c r="K608" s="168" t="s">
        <v>1950</v>
      </c>
      <c r="L608" s="168"/>
      <c r="M608" s="168" t="s">
        <v>1108</v>
      </c>
      <c r="N608" s="169">
        <v>40952</v>
      </c>
      <c r="O608" s="169">
        <v>40952</v>
      </c>
      <c r="P608" s="168" t="s">
        <v>1942</v>
      </c>
      <c r="Q608" s="166">
        <v>300</v>
      </c>
      <c r="R608" s="166">
        <v>14040</v>
      </c>
      <c r="S608" s="170">
        <v>12472.57</v>
      </c>
      <c r="T608" s="166">
        <v>14046</v>
      </c>
      <c r="U608" s="170">
        <v>12472.57</v>
      </c>
      <c r="V608" s="170">
        <f t="shared" si="29"/>
        <v>0</v>
      </c>
      <c r="W608" s="171">
        <v>0</v>
      </c>
      <c r="X608" s="166">
        <v>51260</v>
      </c>
      <c r="Y608" s="170">
        <v>0</v>
      </c>
      <c r="Z608" s="168" t="s">
        <v>1053</v>
      </c>
      <c r="AA608" s="168"/>
      <c r="AB608" s="168">
        <v>668357</v>
      </c>
      <c r="AC608" s="168"/>
      <c r="AD608" s="168" t="s">
        <v>1058</v>
      </c>
      <c r="AE608" s="168" t="s">
        <v>1059</v>
      </c>
      <c r="AF608" s="166" t="s">
        <v>284</v>
      </c>
      <c r="AG608" s="168"/>
      <c r="AH608" s="166" t="s">
        <v>1060</v>
      </c>
      <c r="AI608" s="168">
        <v>0</v>
      </c>
      <c r="AJ608" s="168">
        <v>0</v>
      </c>
      <c r="AP608" s="206"/>
      <c r="AQ608" s="207"/>
      <c r="AR608" s="207"/>
      <c r="AS608" s="207"/>
      <c r="AT608" s="208"/>
      <c r="AU608" s="207"/>
      <c r="AV608" s="208"/>
    </row>
    <row r="609" spans="1:48" s="205" customFormat="1" ht="15">
      <c r="A609" s="145"/>
      <c r="B609" s="166">
        <v>2183</v>
      </c>
      <c r="C609" s="167">
        <v>90470</v>
      </c>
      <c r="D609" s="166" t="s">
        <v>1053</v>
      </c>
      <c r="E609" s="168" t="s">
        <v>1951</v>
      </c>
      <c r="F609" s="166">
        <v>0</v>
      </c>
      <c r="G609" s="168"/>
      <c r="H609" s="168"/>
      <c r="I609" s="168"/>
      <c r="J609" s="168">
        <v>0</v>
      </c>
      <c r="K609" s="168" t="s">
        <v>1708</v>
      </c>
      <c r="L609" s="168"/>
      <c r="M609" s="168"/>
      <c r="N609" s="169">
        <v>40933</v>
      </c>
      <c r="O609" s="169">
        <v>40933</v>
      </c>
      <c r="P609" s="168" t="s">
        <v>1709</v>
      </c>
      <c r="Q609" s="166">
        <v>500</v>
      </c>
      <c r="R609" s="166">
        <v>14110</v>
      </c>
      <c r="S609" s="170">
        <v>561.34</v>
      </c>
      <c r="T609" s="166">
        <v>14116</v>
      </c>
      <c r="U609" s="170">
        <v>561.34</v>
      </c>
      <c r="V609" s="170">
        <f t="shared" si="29"/>
        <v>0</v>
      </c>
      <c r="W609" s="171">
        <v>0</v>
      </c>
      <c r="X609" s="166">
        <v>70260</v>
      </c>
      <c r="Y609" s="170">
        <v>0</v>
      </c>
      <c r="Z609" s="168" t="s">
        <v>1053</v>
      </c>
      <c r="AA609" s="168"/>
      <c r="AB609" s="168" t="s">
        <v>1952</v>
      </c>
      <c r="AC609" s="168"/>
      <c r="AD609" s="168" t="s">
        <v>1058</v>
      </c>
      <c r="AE609" s="168" t="s">
        <v>1059</v>
      </c>
      <c r="AF609" s="166" t="s">
        <v>284</v>
      </c>
      <c r="AG609" s="168"/>
      <c r="AH609" s="166" t="s">
        <v>1060</v>
      </c>
      <c r="AI609" s="168">
        <v>0</v>
      </c>
      <c r="AJ609" s="168">
        <v>0</v>
      </c>
      <c r="AP609" s="206"/>
      <c r="AQ609" s="207"/>
      <c r="AR609" s="207"/>
      <c r="AS609" s="207"/>
      <c r="AT609" s="208"/>
      <c r="AU609" s="207"/>
      <c r="AV609" s="208"/>
    </row>
    <row r="610" spans="1:48" s="205" customFormat="1" ht="15">
      <c r="A610" s="145"/>
      <c r="B610" s="166">
        <v>2183</v>
      </c>
      <c r="C610" s="167">
        <v>89484</v>
      </c>
      <c r="D610" s="166" t="s">
        <v>1053</v>
      </c>
      <c r="E610" s="168" t="s">
        <v>1953</v>
      </c>
      <c r="F610" s="166">
        <v>0</v>
      </c>
      <c r="G610" s="168"/>
      <c r="H610" s="168" t="s">
        <v>1954</v>
      </c>
      <c r="I610" s="168"/>
      <c r="J610" s="168">
        <v>2011</v>
      </c>
      <c r="K610" s="168" t="s">
        <v>1879</v>
      </c>
      <c r="L610" s="168" t="s">
        <v>1413</v>
      </c>
      <c r="M610" s="168" t="s">
        <v>1286</v>
      </c>
      <c r="N610" s="169">
        <v>40878</v>
      </c>
      <c r="O610" s="169">
        <v>40878</v>
      </c>
      <c r="P610" s="168" t="s">
        <v>1955</v>
      </c>
      <c r="Q610" s="166">
        <v>900</v>
      </c>
      <c r="R610" s="166">
        <v>14040</v>
      </c>
      <c r="S610" s="170">
        <v>245480.55</v>
      </c>
      <c r="T610" s="166">
        <v>14046</v>
      </c>
      <c r="U610" s="170">
        <v>245480.55</v>
      </c>
      <c r="V610" s="170">
        <f t="shared" si="29"/>
        <v>0</v>
      </c>
      <c r="W610" s="171">
        <v>0</v>
      </c>
      <c r="X610" s="166">
        <v>51260</v>
      </c>
      <c r="Y610" s="170">
        <v>0</v>
      </c>
      <c r="Z610" s="168" t="s">
        <v>1053</v>
      </c>
      <c r="AA610" s="168"/>
      <c r="AB610" s="168">
        <v>1711948</v>
      </c>
      <c r="AC610" s="168">
        <v>2036</v>
      </c>
      <c r="AD610" s="168" t="s">
        <v>1058</v>
      </c>
      <c r="AE610" s="168" t="s">
        <v>1059</v>
      </c>
      <c r="AF610" s="166" t="s">
        <v>284</v>
      </c>
      <c r="AG610" s="216">
        <v>40908</v>
      </c>
      <c r="AH610" s="166" t="s">
        <v>1060</v>
      </c>
      <c r="AI610" s="168">
        <v>0</v>
      </c>
      <c r="AJ610" s="168">
        <v>2272.9699999999998</v>
      </c>
      <c r="AP610" s="206"/>
      <c r="AQ610" s="207"/>
      <c r="AR610" s="207"/>
      <c r="AS610" s="207"/>
      <c r="AT610" s="208"/>
      <c r="AU610" s="207"/>
      <c r="AV610" s="208"/>
    </row>
    <row r="611" spans="1:48" s="205" customFormat="1" ht="15">
      <c r="A611" s="145"/>
      <c r="B611" s="166">
        <v>2183</v>
      </c>
      <c r="C611" s="167">
        <v>88725</v>
      </c>
      <c r="D611" s="166" t="s">
        <v>1053</v>
      </c>
      <c r="E611" s="168" t="s">
        <v>1956</v>
      </c>
      <c r="F611" s="166">
        <v>0</v>
      </c>
      <c r="G611" s="168"/>
      <c r="H611" s="168"/>
      <c r="I611" s="168"/>
      <c r="J611" s="168">
        <v>0</v>
      </c>
      <c r="K611" s="168"/>
      <c r="L611" s="168"/>
      <c r="M611" s="168"/>
      <c r="N611" s="169">
        <v>40878</v>
      </c>
      <c r="O611" s="169">
        <v>40878</v>
      </c>
      <c r="P611" s="168" t="s">
        <v>1712</v>
      </c>
      <c r="Q611" s="166">
        <v>500</v>
      </c>
      <c r="R611" s="166">
        <v>14070</v>
      </c>
      <c r="S611" s="170">
        <v>61493.04</v>
      </c>
      <c r="T611" s="166">
        <v>14076</v>
      </c>
      <c r="U611" s="170">
        <v>61493.04</v>
      </c>
      <c r="V611" s="170">
        <f t="shared" si="29"/>
        <v>0</v>
      </c>
      <c r="W611" s="171">
        <v>0</v>
      </c>
      <c r="X611" s="166">
        <v>51260</v>
      </c>
      <c r="Y611" s="170">
        <v>0</v>
      </c>
      <c r="Z611" s="168" t="s">
        <v>1053</v>
      </c>
      <c r="AA611" s="168"/>
      <c r="AB611" s="168" t="s">
        <v>1713</v>
      </c>
      <c r="AC611" s="168"/>
      <c r="AD611" s="168" t="s">
        <v>1058</v>
      </c>
      <c r="AE611" s="168" t="s">
        <v>1059</v>
      </c>
      <c r="AF611" s="166" t="s">
        <v>284</v>
      </c>
      <c r="AG611" s="168"/>
      <c r="AH611" s="166" t="s">
        <v>1060</v>
      </c>
      <c r="AI611" s="168">
        <v>0</v>
      </c>
      <c r="AJ611" s="168">
        <v>0</v>
      </c>
      <c r="AP611" s="206"/>
      <c r="AQ611" s="207"/>
      <c r="AR611" s="207"/>
      <c r="AS611" s="207"/>
      <c r="AT611" s="208"/>
      <c r="AU611" s="207"/>
      <c r="AV611" s="208"/>
    </row>
    <row r="612" spans="1:48" s="205" customFormat="1" ht="15">
      <c r="A612" s="145"/>
      <c r="B612" s="166">
        <v>2183</v>
      </c>
      <c r="C612" s="167">
        <v>88721</v>
      </c>
      <c r="D612" s="166" t="s">
        <v>1053</v>
      </c>
      <c r="E612" s="168" t="s">
        <v>1957</v>
      </c>
      <c r="F612" s="166">
        <v>0</v>
      </c>
      <c r="G612" s="168"/>
      <c r="H612" s="168"/>
      <c r="I612" s="168"/>
      <c r="J612" s="168">
        <v>0</v>
      </c>
      <c r="K612" s="168"/>
      <c r="L612" s="168"/>
      <c r="M612" s="168"/>
      <c r="N612" s="169">
        <v>40878</v>
      </c>
      <c r="O612" s="169">
        <v>40878</v>
      </c>
      <c r="P612" s="168" t="s">
        <v>1712</v>
      </c>
      <c r="Q612" s="166">
        <v>500</v>
      </c>
      <c r="R612" s="166">
        <v>14070</v>
      </c>
      <c r="S612" s="170">
        <v>44376.34</v>
      </c>
      <c r="T612" s="166">
        <v>14076</v>
      </c>
      <c r="U612" s="170">
        <v>44376.34</v>
      </c>
      <c r="V612" s="170">
        <f t="shared" si="29"/>
        <v>0</v>
      </c>
      <c r="W612" s="171">
        <v>0</v>
      </c>
      <c r="X612" s="166">
        <v>51260</v>
      </c>
      <c r="Y612" s="170">
        <v>0</v>
      </c>
      <c r="Z612" s="168" t="s">
        <v>1053</v>
      </c>
      <c r="AA612" s="168"/>
      <c r="AB612" s="168" t="s">
        <v>1713</v>
      </c>
      <c r="AC612" s="168"/>
      <c r="AD612" s="168" t="s">
        <v>1058</v>
      </c>
      <c r="AE612" s="168" t="s">
        <v>1059</v>
      </c>
      <c r="AF612" s="166" t="s">
        <v>284</v>
      </c>
      <c r="AG612" s="168"/>
      <c r="AH612" s="166" t="s">
        <v>1060</v>
      </c>
      <c r="AI612" s="168">
        <v>0</v>
      </c>
      <c r="AJ612" s="168">
        <v>0</v>
      </c>
      <c r="AP612" s="206"/>
      <c r="AQ612" s="207"/>
      <c r="AR612" s="207"/>
      <c r="AS612" s="207"/>
      <c r="AT612" s="208"/>
      <c r="AU612" s="207"/>
      <c r="AV612" s="208"/>
    </row>
    <row r="613" spans="1:48" s="205" customFormat="1" ht="15">
      <c r="A613" s="145"/>
      <c r="B613" s="166">
        <v>2183</v>
      </c>
      <c r="C613" s="167">
        <v>88651</v>
      </c>
      <c r="D613" s="166" t="s">
        <v>1053</v>
      </c>
      <c r="E613" s="168" t="s">
        <v>1958</v>
      </c>
      <c r="F613" s="166">
        <v>0</v>
      </c>
      <c r="G613" s="168"/>
      <c r="H613" s="168"/>
      <c r="I613" s="168"/>
      <c r="J613" s="168">
        <v>0</v>
      </c>
      <c r="K613" s="168" t="s">
        <v>1883</v>
      </c>
      <c r="L613" s="168"/>
      <c r="M613" s="168"/>
      <c r="N613" s="169">
        <v>40878</v>
      </c>
      <c r="O613" s="169">
        <v>40878</v>
      </c>
      <c r="P613" s="168" t="s">
        <v>1959</v>
      </c>
      <c r="Q613" s="166">
        <v>300</v>
      </c>
      <c r="R613" s="166">
        <v>14110</v>
      </c>
      <c r="S613" s="170">
        <v>2625</v>
      </c>
      <c r="T613" s="166">
        <v>14116</v>
      </c>
      <c r="U613" s="170">
        <v>2625</v>
      </c>
      <c r="V613" s="170">
        <f t="shared" si="29"/>
        <v>0</v>
      </c>
      <c r="W613" s="171">
        <v>0</v>
      </c>
      <c r="X613" s="166">
        <v>70260</v>
      </c>
      <c r="Y613" s="170">
        <v>0</v>
      </c>
      <c r="Z613" s="168" t="s">
        <v>1053</v>
      </c>
      <c r="AA613" s="168"/>
      <c r="AB613" s="168">
        <v>12894</v>
      </c>
      <c r="AC613" s="168"/>
      <c r="AD613" s="168" t="s">
        <v>1058</v>
      </c>
      <c r="AE613" s="168" t="s">
        <v>1059</v>
      </c>
      <c r="AF613" s="166" t="s">
        <v>284</v>
      </c>
      <c r="AG613" s="168"/>
      <c r="AH613" s="166" t="s">
        <v>1060</v>
      </c>
      <c r="AI613" s="168">
        <v>0</v>
      </c>
      <c r="AJ613" s="168">
        <v>0</v>
      </c>
      <c r="AP613" s="206"/>
      <c r="AQ613" s="207"/>
      <c r="AR613" s="207"/>
      <c r="AS613" s="207"/>
      <c r="AT613" s="208"/>
      <c r="AU613" s="207"/>
      <c r="AV613" s="208"/>
    </row>
    <row r="614" spans="1:48" s="205" customFormat="1" ht="15">
      <c r="A614" s="145"/>
      <c r="B614" s="166">
        <v>2183</v>
      </c>
      <c r="C614" s="167">
        <v>88606</v>
      </c>
      <c r="D614" s="166" t="s">
        <v>1053</v>
      </c>
      <c r="E614" s="168" t="s">
        <v>1960</v>
      </c>
      <c r="F614" s="166">
        <v>548</v>
      </c>
      <c r="G614" s="168"/>
      <c r="H614" s="168"/>
      <c r="I614" s="168"/>
      <c r="J614" s="168">
        <v>0</v>
      </c>
      <c r="K614" s="168" t="s">
        <v>1718</v>
      </c>
      <c r="L614" s="168"/>
      <c r="M614" s="168"/>
      <c r="N614" s="169">
        <v>40897</v>
      </c>
      <c r="O614" s="169">
        <v>40897</v>
      </c>
      <c r="P614" s="168" t="s">
        <v>1961</v>
      </c>
      <c r="Q614" s="166">
        <v>700</v>
      </c>
      <c r="R614" s="166">
        <v>14050</v>
      </c>
      <c r="S614" s="170">
        <v>24666.94</v>
      </c>
      <c r="T614" s="166">
        <v>14056</v>
      </c>
      <c r="U614" s="170">
        <v>24666.94</v>
      </c>
      <c r="V614" s="170">
        <f t="shared" si="29"/>
        <v>0</v>
      </c>
      <c r="W614" s="171">
        <v>0</v>
      </c>
      <c r="X614" s="166">
        <v>54260</v>
      </c>
      <c r="Y614" s="170">
        <v>0</v>
      </c>
      <c r="Z614" s="168" t="s">
        <v>1053</v>
      </c>
      <c r="AA614" s="168"/>
      <c r="AB614" s="168" t="s">
        <v>1962</v>
      </c>
      <c r="AC614" s="168"/>
      <c r="AD614" s="168" t="s">
        <v>1058</v>
      </c>
      <c r="AE614" s="168" t="s">
        <v>1059</v>
      </c>
      <c r="AF614" s="166" t="s">
        <v>284</v>
      </c>
      <c r="AG614" s="168"/>
      <c r="AH614" s="166" t="s">
        <v>1060</v>
      </c>
      <c r="AI614" s="168">
        <v>0</v>
      </c>
      <c r="AJ614" s="168">
        <v>0</v>
      </c>
      <c r="AP614" s="206"/>
      <c r="AQ614" s="207"/>
      <c r="AR614" s="207"/>
      <c r="AS614" s="207"/>
      <c r="AT614" s="208"/>
      <c r="AU614" s="207"/>
      <c r="AV614" s="208"/>
    </row>
    <row r="615" spans="1:48" s="205" customFormat="1" ht="15">
      <c r="A615" s="145"/>
      <c r="B615" s="166">
        <v>2183</v>
      </c>
      <c r="C615" s="167">
        <v>88135</v>
      </c>
      <c r="D615" s="166" t="s">
        <v>1053</v>
      </c>
      <c r="E615" s="168" t="s">
        <v>1963</v>
      </c>
      <c r="F615" s="166">
        <v>1080</v>
      </c>
      <c r="G615" s="168"/>
      <c r="H615" s="168"/>
      <c r="I615" s="168"/>
      <c r="J615" s="168">
        <v>0</v>
      </c>
      <c r="K615" s="168" t="s">
        <v>1718</v>
      </c>
      <c r="L615" s="168"/>
      <c r="M615" s="168"/>
      <c r="N615" s="169">
        <v>40847</v>
      </c>
      <c r="O615" s="169">
        <v>40847</v>
      </c>
      <c r="P615" s="168" t="s">
        <v>1964</v>
      </c>
      <c r="Q615" s="166">
        <v>700</v>
      </c>
      <c r="R615" s="166">
        <v>14050</v>
      </c>
      <c r="S615" s="170">
        <v>38752.42</v>
      </c>
      <c r="T615" s="166">
        <v>14056</v>
      </c>
      <c r="U615" s="170">
        <v>38752.42</v>
      </c>
      <c r="V615" s="170">
        <f t="shared" si="29"/>
        <v>0</v>
      </c>
      <c r="W615" s="171">
        <v>0</v>
      </c>
      <c r="X615" s="166">
        <v>54260</v>
      </c>
      <c r="Y615" s="170">
        <v>0</v>
      </c>
      <c r="Z615" s="168" t="s">
        <v>1053</v>
      </c>
      <c r="AA615" s="168"/>
      <c r="AB615" s="168" t="s">
        <v>1965</v>
      </c>
      <c r="AC615" s="168"/>
      <c r="AD615" s="168" t="s">
        <v>1058</v>
      </c>
      <c r="AE615" s="168" t="s">
        <v>1059</v>
      </c>
      <c r="AF615" s="166" t="s">
        <v>284</v>
      </c>
      <c r="AG615" s="168"/>
      <c r="AH615" s="166" t="s">
        <v>1060</v>
      </c>
      <c r="AI615" s="168">
        <v>0</v>
      </c>
      <c r="AJ615" s="168">
        <v>0</v>
      </c>
      <c r="AP615" s="206"/>
      <c r="AQ615" s="207"/>
      <c r="AR615" s="207"/>
      <c r="AS615" s="207"/>
      <c r="AT615" s="208"/>
      <c r="AU615" s="207"/>
      <c r="AV615" s="208"/>
    </row>
    <row r="616" spans="1:48" s="205" customFormat="1" ht="15">
      <c r="A616" s="145"/>
      <c r="B616" s="166">
        <v>2183</v>
      </c>
      <c r="C616" s="167">
        <v>88134</v>
      </c>
      <c r="D616" s="166" t="s">
        <v>1053</v>
      </c>
      <c r="E616" s="168" t="s">
        <v>1717</v>
      </c>
      <c r="F616" s="166">
        <v>486</v>
      </c>
      <c r="G616" s="168"/>
      <c r="H616" s="168" t="s">
        <v>1966</v>
      </c>
      <c r="I616" s="168"/>
      <c r="J616" s="168">
        <v>0</v>
      </c>
      <c r="K616" s="168" t="s">
        <v>1718</v>
      </c>
      <c r="L616" s="168"/>
      <c r="M616" s="168"/>
      <c r="N616" s="169">
        <v>40845</v>
      </c>
      <c r="O616" s="169">
        <v>40845</v>
      </c>
      <c r="P616" s="168" t="s">
        <v>1964</v>
      </c>
      <c r="Q616" s="166">
        <v>700</v>
      </c>
      <c r="R616" s="166">
        <v>14050</v>
      </c>
      <c r="S616" s="170">
        <v>26699.38</v>
      </c>
      <c r="T616" s="166">
        <v>14056</v>
      </c>
      <c r="U616" s="170">
        <v>26699.38</v>
      </c>
      <c r="V616" s="170">
        <f t="shared" si="29"/>
        <v>0</v>
      </c>
      <c r="W616" s="171">
        <v>0</v>
      </c>
      <c r="X616" s="166">
        <v>54260</v>
      </c>
      <c r="Y616" s="170">
        <v>0</v>
      </c>
      <c r="Z616" s="168" t="s">
        <v>1053</v>
      </c>
      <c r="AA616" s="168"/>
      <c r="AB616" s="168" t="s">
        <v>1967</v>
      </c>
      <c r="AC616" s="168"/>
      <c r="AD616" s="168" t="s">
        <v>1058</v>
      </c>
      <c r="AE616" s="168" t="s">
        <v>1059</v>
      </c>
      <c r="AF616" s="166" t="s">
        <v>284</v>
      </c>
      <c r="AG616" s="168"/>
      <c r="AH616" s="166" t="s">
        <v>1060</v>
      </c>
      <c r="AI616" s="168">
        <v>0</v>
      </c>
      <c r="AJ616" s="168">
        <v>0</v>
      </c>
      <c r="AP616" s="206"/>
      <c r="AQ616" s="207"/>
      <c r="AR616" s="207"/>
      <c r="AS616" s="207"/>
      <c r="AT616" s="208"/>
      <c r="AU616" s="207"/>
      <c r="AV616" s="208"/>
    </row>
    <row r="617" spans="1:48" s="205" customFormat="1" ht="15">
      <c r="A617" s="145"/>
      <c r="B617" s="166">
        <v>2183</v>
      </c>
      <c r="C617" s="167">
        <v>87756</v>
      </c>
      <c r="D617" s="166" t="s">
        <v>1053</v>
      </c>
      <c r="E617" s="168" t="s">
        <v>1968</v>
      </c>
      <c r="F617" s="166">
        <v>0</v>
      </c>
      <c r="G617" s="168"/>
      <c r="H617" s="168" t="s">
        <v>1969</v>
      </c>
      <c r="I617" s="168"/>
      <c r="J617" s="168">
        <v>2012</v>
      </c>
      <c r="K617" s="168" t="s">
        <v>1879</v>
      </c>
      <c r="L617" s="168" t="s">
        <v>1584</v>
      </c>
      <c r="M617" s="168" t="s">
        <v>1152</v>
      </c>
      <c r="N617" s="169">
        <v>40848</v>
      </c>
      <c r="O617" s="169">
        <v>40848</v>
      </c>
      <c r="P617" s="168" t="s">
        <v>1970</v>
      </c>
      <c r="Q617" s="166">
        <v>1000</v>
      </c>
      <c r="R617" s="166">
        <v>14040</v>
      </c>
      <c r="S617" s="170">
        <v>289049.83</v>
      </c>
      <c r="T617" s="166">
        <v>14046</v>
      </c>
      <c r="U617" s="170">
        <v>289049.83</v>
      </c>
      <c r="V617" s="170">
        <f t="shared" si="29"/>
        <v>0</v>
      </c>
      <c r="W617" s="171">
        <v>24087.51</v>
      </c>
      <c r="X617" s="166">
        <v>51260</v>
      </c>
      <c r="Y617" s="170">
        <v>0</v>
      </c>
      <c r="Z617" s="168" t="s">
        <v>1053</v>
      </c>
      <c r="AA617" s="168"/>
      <c r="AB617" s="168">
        <v>4101815</v>
      </c>
      <c r="AC617" s="168">
        <v>3629</v>
      </c>
      <c r="AD617" s="168" t="s">
        <v>1058</v>
      </c>
      <c r="AE617" s="168" t="s">
        <v>1059</v>
      </c>
      <c r="AF617" s="166" t="s">
        <v>284</v>
      </c>
      <c r="AG617" s="168"/>
      <c r="AH617" s="166" t="s">
        <v>1060</v>
      </c>
      <c r="AI617" s="168">
        <v>0</v>
      </c>
      <c r="AJ617" s="168">
        <v>0</v>
      </c>
      <c r="AP617" s="206"/>
      <c r="AQ617" s="207"/>
      <c r="AR617" s="207"/>
      <c r="AS617" s="207"/>
      <c r="AT617" s="208"/>
      <c r="AU617" s="207"/>
      <c r="AV617" s="208"/>
    </row>
    <row r="618" spans="1:48" s="205" customFormat="1" ht="15">
      <c r="A618" s="145"/>
      <c r="B618" s="166">
        <v>2183</v>
      </c>
      <c r="C618" s="167">
        <v>86471</v>
      </c>
      <c r="D618" s="166" t="s">
        <v>1053</v>
      </c>
      <c r="E618" s="168" t="s">
        <v>1717</v>
      </c>
      <c r="F618" s="166">
        <v>486</v>
      </c>
      <c r="G618" s="168"/>
      <c r="H618" s="168"/>
      <c r="I618" s="168"/>
      <c r="J618" s="168">
        <v>0</v>
      </c>
      <c r="K618" s="168" t="s">
        <v>1718</v>
      </c>
      <c r="L618" s="168"/>
      <c r="M618" s="168"/>
      <c r="N618" s="169">
        <v>40810</v>
      </c>
      <c r="O618" s="169">
        <v>40810</v>
      </c>
      <c r="P618" s="168" t="s">
        <v>1971</v>
      </c>
      <c r="Q618" s="166">
        <v>700</v>
      </c>
      <c r="R618" s="166">
        <v>14050</v>
      </c>
      <c r="S618" s="170">
        <v>26699.38</v>
      </c>
      <c r="T618" s="166">
        <v>14056</v>
      </c>
      <c r="U618" s="170">
        <v>26699.38</v>
      </c>
      <c r="V618" s="170">
        <f t="shared" si="29"/>
        <v>0</v>
      </c>
      <c r="W618" s="171">
        <v>0</v>
      </c>
      <c r="X618" s="166">
        <v>54260</v>
      </c>
      <c r="Y618" s="170">
        <v>0</v>
      </c>
      <c r="Z618" s="168" t="s">
        <v>1053</v>
      </c>
      <c r="AA618" s="168"/>
      <c r="AB618" s="168" t="s">
        <v>1972</v>
      </c>
      <c r="AC618" s="168"/>
      <c r="AD618" s="168" t="s">
        <v>1058</v>
      </c>
      <c r="AE618" s="168" t="s">
        <v>1059</v>
      </c>
      <c r="AF618" s="166" t="s">
        <v>284</v>
      </c>
      <c r="AG618" s="168"/>
      <c r="AH618" s="166" t="s">
        <v>1060</v>
      </c>
      <c r="AI618" s="168">
        <v>0</v>
      </c>
      <c r="AJ618" s="168">
        <v>0</v>
      </c>
      <c r="AP618" s="206"/>
      <c r="AQ618" s="207"/>
      <c r="AR618" s="207"/>
      <c r="AS618" s="207"/>
      <c r="AT618" s="208"/>
      <c r="AU618" s="207"/>
      <c r="AV618" s="208"/>
    </row>
    <row r="619" spans="1:48" s="205" customFormat="1" ht="15">
      <c r="A619" s="145"/>
      <c r="B619" s="166">
        <v>2183</v>
      </c>
      <c r="C619" s="167">
        <v>85936</v>
      </c>
      <c r="D619" s="166" t="s">
        <v>1053</v>
      </c>
      <c r="E619" s="168" t="s">
        <v>1734</v>
      </c>
      <c r="F619" s="166">
        <v>68</v>
      </c>
      <c r="G619" s="168"/>
      <c r="H619" s="168"/>
      <c r="I619" s="168"/>
      <c r="J619" s="168">
        <v>0</v>
      </c>
      <c r="K619" s="168"/>
      <c r="L619" s="168"/>
      <c r="M619" s="168" t="s">
        <v>1353</v>
      </c>
      <c r="N619" s="169">
        <v>39755</v>
      </c>
      <c r="O619" s="169">
        <v>39755</v>
      </c>
      <c r="P619" s="168"/>
      <c r="Q619" s="166">
        <v>700</v>
      </c>
      <c r="R619" s="166">
        <v>14050</v>
      </c>
      <c r="S619" s="170">
        <v>146200</v>
      </c>
      <c r="T619" s="166">
        <v>14056</v>
      </c>
      <c r="U619" s="170">
        <v>146200</v>
      </c>
      <c r="V619" s="170">
        <f t="shared" si="29"/>
        <v>0</v>
      </c>
      <c r="W619" s="171">
        <v>0</v>
      </c>
      <c r="X619" s="166">
        <v>54260</v>
      </c>
      <c r="Y619" s="170">
        <v>0</v>
      </c>
      <c r="Z619" s="168" t="s">
        <v>1059</v>
      </c>
      <c r="AA619" s="168" t="s">
        <v>1140</v>
      </c>
      <c r="AB619" s="168"/>
      <c r="AC619" s="168"/>
      <c r="AD619" s="168" t="s">
        <v>1058</v>
      </c>
      <c r="AE619" s="168" t="s">
        <v>1059</v>
      </c>
      <c r="AF619" s="166" t="s">
        <v>284</v>
      </c>
      <c r="AG619" s="216">
        <v>39933</v>
      </c>
      <c r="AH619" s="166" t="s">
        <v>1060</v>
      </c>
      <c r="AI619" s="168">
        <v>0</v>
      </c>
      <c r="AJ619" s="168">
        <v>10442.86</v>
      </c>
      <c r="AP619" s="206"/>
      <c r="AQ619" s="207"/>
      <c r="AR619" s="207"/>
      <c r="AS619" s="207"/>
      <c r="AT619" s="208"/>
      <c r="AU619" s="207"/>
      <c r="AV619" s="208"/>
    </row>
    <row r="620" spans="1:48" s="205" customFormat="1" ht="15">
      <c r="A620" s="145"/>
      <c r="B620" s="166">
        <v>2183</v>
      </c>
      <c r="C620" s="167">
        <v>85655</v>
      </c>
      <c r="D620" s="166" t="s">
        <v>1053</v>
      </c>
      <c r="E620" s="168" t="s">
        <v>1973</v>
      </c>
      <c r="F620" s="166">
        <v>0</v>
      </c>
      <c r="G620" s="168"/>
      <c r="H620" s="168"/>
      <c r="I620" s="168"/>
      <c r="J620" s="168">
        <v>0</v>
      </c>
      <c r="K620" s="168" t="s">
        <v>1974</v>
      </c>
      <c r="L620" s="168"/>
      <c r="M620" s="168"/>
      <c r="N620" s="169">
        <v>40756</v>
      </c>
      <c r="O620" s="169">
        <v>40756</v>
      </c>
      <c r="P620" s="168" t="s">
        <v>1975</v>
      </c>
      <c r="Q620" s="166">
        <v>300</v>
      </c>
      <c r="R620" s="166">
        <v>14110</v>
      </c>
      <c r="S620" s="170">
        <v>1750</v>
      </c>
      <c r="T620" s="166">
        <v>14116</v>
      </c>
      <c r="U620" s="170">
        <v>1750</v>
      </c>
      <c r="V620" s="170">
        <f t="shared" si="29"/>
        <v>0</v>
      </c>
      <c r="W620" s="171">
        <v>0</v>
      </c>
      <c r="X620" s="166">
        <v>70260</v>
      </c>
      <c r="Y620" s="170">
        <v>0</v>
      </c>
      <c r="Z620" s="168" t="s">
        <v>1053</v>
      </c>
      <c r="AA620" s="168"/>
      <c r="AB620" s="168">
        <v>12472</v>
      </c>
      <c r="AC620" s="168"/>
      <c r="AD620" s="168" t="s">
        <v>1058</v>
      </c>
      <c r="AE620" s="168" t="s">
        <v>1059</v>
      </c>
      <c r="AF620" s="166" t="s">
        <v>284</v>
      </c>
      <c r="AG620" s="168"/>
      <c r="AH620" s="166" t="s">
        <v>1060</v>
      </c>
      <c r="AI620" s="168">
        <v>0</v>
      </c>
      <c r="AJ620" s="168">
        <v>0</v>
      </c>
      <c r="AP620" s="206"/>
      <c r="AQ620" s="207"/>
      <c r="AR620" s="207"/>
      <c r="AS620" s="207"/>
      <c r="AT620" s="208"/>
      <c r="AU620" s="207"/>
      <c r="AV620" s="208"/>
    </row>
    <row r="621" spans="1:48" s="205" customFormat="1" ht="15">
      <c r="A621" s="145"/>
      <c r="B621" s="166">
        <v>2183</v>
      </c>
      <c r="C621" s="167">
        <v>85605</v>
      </c>
      <c r="D621" s="166" t="s">
        <v>1053</v>
      </c>
      <c r="E621" s="168" t="s">
        <v>1717</v>
      </c>
      <c r="F621" s="166">
        <v>100</v>
      </c>
      <c r="G621" s="168"/>
      <c r="H621" s="168"/>
      <c r="I621" s="168"/>
      <c r="J621" s="168">
        <v>0</v>
      </c>
      <c r="K621" s="168" t="s">
        <v>1718</v>
      </c>
      <c r="L621" s="168"/>
      <c r="M621" s="168"/>
      <c r="N621" s="169">
        <v>40750</v>
      </c>
      <c r="O621" s="169">
        <v>40750</v>
      </c>
      <c r="P621" s="168" t="s">
        <v>1976</v>
      </c>
      <c r="Q621" s="166">
        <v>700</v>
      </c>
      <c r="R621" s="166">
        <v>14050</v>
      </c>
      <c r="S621" s="170">
        <v>5500.23</v>
      </c>
      <c r="T621" s="166">
        <v>14056</v>
      </c>
      <c r="U621" s="170">
        <v>5500.23</v>
      </c>
      <c r="V621" s="170">
        <f t="shared" si="29"/>
        <v>0</v>
      </c>
      <c r="W621" s="171">
        <v>0</v>
      </c>
      <c r="X621" s="166">
        <v>54260</v>
      </c>
      <c r="Y621" s="170">
        <v>0</v>
      </c>
      <c r="Z621" s="168" t="s">
        <v>1053</v>
      </c>
      <c r="AA621" s="168"/>
      <c r="AB621" s="168" t="s">
        <v>1977</v>
      </c>
      <c r="AC621" s="168"/>
      <c r="AD621" s="168" t="s">
        <v>1058</v>
      </c>
      <c r="AE621" s="168" t="s">
        <v>1059</v>
      </c>
      <c r="AF621" s="166" t="s">
        <v>284</v>
      </c>
      <c r="AG621" s="168"/>
      <c r="AH621" s="166" t="s">
        <v>1060</v>
      </c>
      <c r="AI621" s="168">
        <v>0</v>
      </c>
      <c r="AJ621" s="168">
        <v>0</v>
      </c>
      <c r="AP621" s="206"/>
      <c r="AQ621" s="207"/>
      <c r="AR621" s="207"/>
      <c r="AS621" s="207"/>
      <c r="AT621" s="208"/>
      <c r="AU621" s="207"/>
      <c r="AV621" s="208"/>
    </row>
    <row r="622" spans="1:48" s="205" customFormat="1" ht="15">
      <c r="A622" s="145"/>
      <c r="B622" s="166">
        <v>2183</v>
      </c>
      <c r="C622" s="167">
        <v>85604</v>
      </c>
      <c r="D622" s="166" t="s">
        <v>1053</v>
      </c>
      <c r="E622" s="168" t="s">
        <v>1723</v>
      </c>
      <c r="F622" s="166">
        <v>146</v>
      </c>
      <c r="G622" s="168"/>
      <c r="H622" s="168"/>
      <c r="I622" s="168"/>
      <c r="J622" s="168">
        <v>0</v>
      </c>
      <c r="K622" s="168" t="s">
        <v>1718</v>
      </c>
      <c r="L622" s="168"/>
      <c r="M622" s="168"/>
      <c r="N622" s="169">
        <v>40750</v>
      </c>
      <c r="O622" s="169">
        <v>40750</v>
      </c>
      <c r="P622" s="168" t="s">
        <v>1976</v>
      </c>
      <c r="Q622" s="166">
        <v>700</v>
      </c>
      <c r="R622" s="166">
        <v>14050</v>
      </c>
      <c r="S622" s="170">
        <v>7103.49</v>
      </c>
      <c r="T622" s="166">
        <v>14056</v>
      </c>
      <c r="U622" s="170">
        <v>7103.49</v>
      </c>
      <c r="V622" s="170">
        <f t="shared" si="29"/>
        <v>0</v>
      </c>
      <c r="W622" s="171">
        <v>0</v>
      </c>
      <c r="X622" s="166">
        <v>54260</v>
      </c>
      <c r="Y622" s="170">
        <v>0</v>
      </c>
      <c r="Z622" s="168" t="s">
        <v>1053</v>
      </c>
      <c r="AA622" s="168"/>
      <c r="AB622" s="168" t="s">
        <v>1978</v>
      </c>
      <c r="AC622" s="168"/>
      <c r="AD622" s="168" t="s">
        <v>1058</v>
      </c>
      <c r="AE622" s="168" t="s">
        <v>1059</v>
      </c>
      <c r="AF622" s="166" t="s">
        <v>284</v>
      </c>
      <c r="AG622" s="168"/>
      <c r="AH622" s="166" t="s">
        <v>1060</v>
      </c>
      <c r="AI622" s="168">
        <v>0</v>
      </c>
      <c r="AJ622" s="168">
        <v>0</v>
      </c>
      <c r="AP622" s="206"/>
      <c r="AQ622" s="207"/>
      <c r="AR622" s="207"/>
      <c r="AS622" s="207"/>
      <c r="AT622" s="208"/>
      <c r="AU622" s="207"/>
      <c r="AV622" s="208"/>
    </row>
    <row r="623" spans="1:48" s="205" customFormat="1" ht="15">
      <c r="A623" s="145"/>
      <c r="B623" s="166">
        <v>2183</v>
      </c>
      <c r="C623" s="167">
        <v>85603</v>
      </c>
      <c r="D623" s="166" t="s">
        <v>1053</v>
      </c>
      <c r="E623" s="168" t="s">
        <v>1721</v>
      </c>
      <c r="F623" s="166">
        <v>45</v>
      </c>
      <c r="G623" s="168"/>
      <c r="H623" s="168"/>
      <c r="I623" s="168"/>
      <c r="J623" s="168">
        <v>0</v>
      </c>
      <c r="K623" s="168" t="s">
        <v>1718</v>
      </c>
      <c r="L623" s="168"/>
      <c r="M623" s="168"/>
      <c r="N623" s="169">
        <v>40725</v>
      </c>
      <c r="O623" s="169">
        <v>40725</v>
      </c>
      <c r="P623" s="168" t="s">
        <v>1976</v>
      </c>
      <c r="Q623" s="166">
        <v>700</v>
      </c>
      <c r="R623" s="166">
        <v>14050</v>
      </c>
      <c r="S623" s="170">
        <v>3208.82</v>
      </c>
      <c r="T623" s="166">
        <v>14056</v>
      </c>
      <c r="U623" s="170">
        <v>3208.82</v>
      </c>
      <c r="V623" s="170">
        <f t="shared" si="29"/>
        <v>0</v>
      </c>
      <c r="W623" s="171">
        <v>0</v>
      </c>
      <c r="X623" s="166">
        <v>54260</v>
      </c>
      <c r="Y623" s="170">
        <v>0</v>
      </c>
      <c r="Z623" s="168" t="s">
        <v>1053</v>
      </c>
      <c r="AA623" s="168"/>
      <c r="AB623" s="168" t="s">
        <v>1979</v>
      </c>
      <c r="AC623" s="168"/>
      <c r="AD623" s="168" t="s">
        <v>1058</v>
      </c>
      <c r="AE623" s="168" t="s">
        <v>1059</v>
      </c>
      <c r="AF623" s="166" t="s">
        <v>284</v>
      </c>
      <c r="AG623" s="168"/>
      <c r="AH623" s="166" t="s">
        <v>1060</v>
      </c>
      <c r="AI623" s="168">
        <v>0</v>
      </c>
      <c r="AJ623" s="168">
        <v>0</v>
      </c>
      <c r="AP623" s="206"/>
      <c r="AQ623" s="207"/>
      <c r="AR623" s="207"/>
      <c r="AS623" s="207"/>
      <c r="AT623" s="208"/>
      <c r="AU623" s="207"/>
      <c r="AV623" s="208"/>
    </row>
    <row r="624" spans="1:48" s="205" customFormat="1" ht="15">
      <c r="A624" s="145"/>
      <c r="B624" s="166">
        <v>2183</v>
      </c>
      <c r="C624" s="167">
        <v>85602</v>
      </c>
      <c r="D624" s="166" t="s">
        <v>1053</v>
      </c>
      <c r="E624" s="168" t="s">
        <v>1721</v>
      </c>
      <c r="F624" s="166">
        <v>174</v>
      </c>
      <c r="G624" s="168"/>
      <c r="H624" s="168"/>
      <c r="I624" s="168"/>
      <c r="J624" s="168">
        <v>0</v>
      </c>
      <c r="K624" s="168" t="s">
        <v>1718</v>
      </c>
      <c r="L624" s="168"/>
      <c r="M624" s="168"/>
      <c r="N624" s="169">
        <v>40725</v>
      </c>
      <c r="O624" s="169">
        <v>40725</v>
      </c>
      <c r="P624" s="168" t="s">
        <v>1976</v>
      </c>
      <c r="Q624" s="166">
        <v>700</v>
      </c>
      <c r="R624" s="166">
        <v>14050</v>
      </c>
      <c r="S624" s="170">
        <v>9570.39</v>
      </c>
      <c r="T624" s="166">
        <v>14056</v>
      </c>
      <c r="U624" s="170">
        <v>9570.39</v>
      </c>
      <c r="V624" s="170">
        <f t="shared" si="29"/>
        <v>0</v>
      </c>
      <c r="W624" s="171">
        <v>0</v>
      </c>
      <c r="X624" s="166">
        <v>54260</v>
      </c>
      <c r="Y624" s="170">
        <v>0</v>
      </c>
      <c r="Z624" s="168" t="s">
        <v>1053</v>
      </c>
      <c r="AA624" s="168"/>
      <c r="AB624" s="168" t="s">
        <v>1980</v>
      </c>
      <c r="AC624" s="168"/>
      <c r="AD624" s="168" t="s">
        <v>1058</v>
      </c>
      <c r="AE624" s="168" t="s">
        <v>1059</v>
      </c>
      <c r="AF624" s="166" t="s">
        <v>284</v>
      </c>
      <c r="AG624" s="168"/>
      <c r="AH624" s="166" t="s">
        <v>1060</v>
      </c>
      <c r="AI624" s="168">
        <v>0</v>
      </c>
      <c r="AJ624" s="168">
        <v>0</v>
      </c>
      <c r="AP624" s="206"/>
      <c r="AQ624" s="207"/>
      <c r="AR624" s="207"/>
      <c r="AS624" s="207"/>
      <c r="AT624" s="208"/>
      <c r="AU624" s="207"/>
      <c r="AV624" s="208"/>
    </row>
    <row r="625" spans="1:48" s="205" customFormat="1" ht="15">
      <c r="A625" s="145"/>
      <c r="B625" s="166">
        <v>2183</v>
      </c>
      <c r="C625" s="167">
        <v>81015</v>
      </c>
      <c r="D625" s="166" t="s">
        <v>1053</v>
      </c>
      <c r="E625" s="168" t="s">
        <v>1981</v>
      </c>
      <c r="F625" s="166">
        <v>1080</v>
      </c>
      <c r="G625" s="168"/>
      <c r="H625" s="168" t="s">
        <v>1982</v>
      </c>
      <c r="I625" s="168"/>
      <c r="J625" s="168">
        <v>0</v>
      </c>
      <c r="K625" s="168" t="s">
        <v>1718</v>
      </c>
      <c r="L625" s="168"/>
      <c r="M625" s="168"/>
      <c r="N625" s="169">
        <v>40638</v>
      </c>
      <c r="O625" s="169">
        <v>40638</v>
      </c>
      <c r="P625" s="168" t="s">
        <v>1983</v>
      </c>
      <c r="Q625" s="166">
        <v>700</v>
      </c>
      <c r="R625" s="166">
        <v>14050</v>
      </c>
      <c r="S625" s="170">
        <v>36815.379999999997</v>
      </c>
      <c r="T625" s="166">
        <v>14056</v>
      </c>
      <c r="U625" s="170">
        <v>36815.379999999997</v>
      </c>
      <c r="V625" s="170">
        <f t="shared" si="29"/>
        <v>0</v>
      </c>
      <c r="W625" s="171">
        <v>0</v>
      </c>
      <c r="X625" s="166">
        <v>54260</v>
      </c>
      <c r="Y625" s="170">
        <v>0</v>
      </c>
      <c r="Z625" s="168" t="s">
        <v>1053</v>
      </c>
      <c r="AA625" s="168"/>
      <c r="AB625" s="168" t="s">
        <v>1984</v>
      </c>
      <c r="AC625" s="168"/>
      <c r="AD625" s="168" t="s">
        <v>1058</v>
      </c>
      <c r="AE625" s="168" t="s">
        <v>1059</v>
      </c>
      <c r="AF625" s="166" t="s">
        <v>284</v>
      </c>
      <c r="AG625" s="168"/>
      <c r="AH625" s="166" t="s">
        <v>1060</v>
      </c>
      <c r="AI625" s="168">
        <v>0</v>
      </c>
      <c r="AJ625" s="168">
        <v>0</v>
      </c>
      <c r="AP625" s="206"/>
      <c r="AQ625" s="207"/>
      <c r="AR625" s="207"/>
      <c r="AS625" s="207"/>
      <c r="AT625" s="208"/>
      <c r="AU625" s="207"/>
      <c r="AV625" s="208"/>
    </row>
    <row r="626" spans="1:48" s="205" customFormat="1" ht="15">
      <c r="A626" s="145"/>
      <c r="B626" s="166">
        <v>2183</v>
      </c>
      <c r="C626" s="167">
        <v>81014</v>
      </c>
      <c r="D626" s="166" t="s">
        <v>1053</v>
      </c>
      <c r="E626" s="168" t="s">
        <v>1985</v>
      </c>
      <c r="F626" s="166">
        <v>243</v>
      </c>
      <c r="G626" s="168"/>
      <c r="H626" s="168" t="s">
        <v>1986</v>
      </c>
      <c r="I626" s="168"/>
      <c r="J626" s="168">
        <v>0</v>
      </c>
      <c r="K626" s="168" t="s">
        <v>1718</v>
      </c>
      <c r="L626" s="168"/>
      <c r="M626" s="168"/>
      <c r="N626" s="169">
        <v>40638</v>
      </c>
      <c r="O626" s="169">
        <v>40638</v>
      </c>
      <c r="P626" s="168" t="s">
        <v>1983</v>
      </c>
      <c r="Q626" s="166">
        <v>700</v>
      </c>
      <c r="R626" s="166">
        <v>14050</v>
      </c>
      <c r="S626" s="170">
        <v>12929.7</v>
      </c>
      <c r="T626" s="166">
        <v>14056</v>
      </c>
      <c r="U626" s="170">
        <v>12929.7</v>
      </c>
      <c r="V626" s="170">
        <f t="shared" si="29"/>
        <v>0</v>
      </c>
      <c r="W626" s="171">
        <v>0</v>
      </c>
      <c r="X626" s="166">
        <v>54260</v>
      </c>
      <c r="Y626" s="170">
        <v>0</v>
      </c>
      <c r="Z626" s="168" t="s">
        <v>1053</v>
      </c>
      <c r="AA626" s="168"/>
      <c r="AB626" s="168" t="s">
        <v>1987</v>
      </c>
      <c r="AC626" s="168"/>
      <c r="AD626" s="168" t="s">
        <v>1058</v>
      </c>
      <c r="AE626" s="168" t="s">
        <v>1059</v>
      </c>
      <c r="AF626" s="166" t="s">
        <v>284</v>
      </c>
      <c r="AG626" s="168"/>
      <c r="AH626" s="166" t="s">
        <v>1060</v>
      </c>
      <c r="AI626" s="168">
        <v>0</v>
      </c>
      <c r="AJ626" s="168">
        <v>0</v>
      </c>
      <c r="AP626" s="206"/>
      <c r="AQ626" s="207"/>
      <c r="AR626" s="207"/>
      <c r="AS626" s="207"/>
      <c r="AT626" s="208"/>
      <c r="AU626" s="207"/>
      <c r="AV626" s="208"/>
    </row>
    <row r="627" spans="1:48" s="205" customFormat="1" ht="15">
      <c r="A627" s="145"/>
      <c r="B627" s="166">
        <v>2183</v>
      </c>
      <c r="C627" s="167">
        <v>81013</v>
      </c>
      <c r="D627" s="166" t="s">
        <v>1053</v>
      </c>
      <c r="E627" s="168" t="s">
        <v>1988</v>
      </c>
      <c r="F627" s="166">
        <v>100</v>
      </c>
      <c r="G627" s="168"/>
      <c r="H627" s="168" t="s">
        <v>1989</v>
      </c>
      <c r="I627" s="168"/>
      <c r="J627" s="168">
        <v>0</v>
      </c>
      <c r="K627" s="168" t="s">
        <v>1718</v>
      </c>
      <c r="L627" s="168"/>
      <c r="M627" s="168"/>
      <c r="N627" s="169">
        <v>40638</v>
      </c>
      <c r="O627" s="169">
        <v>40638</v>
      </c>
      <c r="P627" s="168" t="s">
        <v>1983</v>
      </c>
      <c r="Q627" s="166">
        <v>700</v>
      </c>
      <c r="R627" s="166">
        <v>14050</v>
      </c>
      <c r="S627" s="170">
        <v>5136.08</v>
      </c>
      <c r="T627" s="166">
        <v>14056</v>
      </c>
      <c r="U627" s="170">
        <v>5136.08</v>
      </c>
      <c r="V627" s="170">
        <f t="shared" si="29"/>
        <v>0</v>
      </c>
      <c r="W627" s="171">
        <v>0</v>
      </c>
      <c r="X627" s="166">
        <v>54260</v>
      </c>
      <c r="Y627" s="170">
        <v>0</v>
      </c>
      <c r="Z627" s="168" t="s">
        <v>1053</v>
      </c>
      <c r="AA627" s="168"/>
      <c r="AB627" s="168" t="s">
        <v>1990</v>
      </c>
      <c r="AC627" s="168"/>
      <c r="AD627" s="168" t="s">
        <v>1058</v>
      </c>
      <c r="AE627" s="168" t="s">
        <v>1059</v>
      </c>
      <c r="AF627" s="166" t="s">
        <v>284</v>
      </c>
      <c r="AG627" s="168"/>
      <c r="AH627" s="166" t="s">
        <v>1060</v>
      </c>
      <c r="AI627" s="168">
        <v>0</v>
      </c>
      <c r="AJ627" s="168">
        <v>0</v>
      </c>
      <c r="AP627" s="206"/>
      <c r="AQ627" s="207"/>
      <c r="AR627" s="207"/>
      <c r="AS627" s="207"/>
      <c r="AT627" s="208"/>
      <c r="AU627" s="207"/>
      <c r="AV627" s="208"/>
    </row>
    <row r="628" spans="1:48" s="205" customFormat="1" ht="15">
      <c r="A628" s="145"/>
      <c r="B628" s="166">
        <v>2183</v>
      </c>
      <c r="C628" s="167">
        <v>81012</v>
      </c>
      <c r="D628" s="166" t="s">
        <v>1053</v>
      </c>
      <c r="E628" s="168" t="s">
        <v>1988</v>
      </c>
      <c r="F628" s="166">
        <v>386</v>
      </c>
      <c r="G628" s="168"/>
      <c r="H628" s="168" t="s">
        <v>1991</v>
      </c>
      <c r="I628" s="168"/>
      <c r="J628" s="168">
        <v>0</v>
      </c>
      <c r="K628" s="168" t="s">
        <v>1718</v>
      </c>
      <c r="L628" s="168"/>
      <c r="M628" s="168"/>
      <c r="N628" s="169">
        <v>40638</v>
      </c>
      <c r="O628" s="169">
        <v>40638</v>
      </c>
      <c r="P628" s="168" t="s">
        <v>1983</v>
      </c>
      <c r="Q628" s="166">
        <v>700</v>
      </c>
      <c r="R628" s="166">
        <v>14050</v>
      </c>
      <c r="S628" s="170">
        <v>20538.54</v>
      </c>
      <c r="T628" s="166">
        <v>14056</v>
      </c>
      <c r="U628" s="170">
        <v>20538.54</v>
      </c>
      <c r="V628" s="170">
        <f t="shared" si="29"/>
        <v>0</v>
      </c>
      <c r="W628" s="171">
        <v>0</v>
      </c>
      <c r="X628" s="166">
        <v>54260</v>
      </c>
      <c r="Y628" s="170">
        <v>0</v>
      </c>
      <c r="Z628" s="168" t="s">
        <v>1053</v>
      </c>
      <c r="AA628" s="168"/>
      <c r="AB628" s="168" t="s">
        <v>1992</v>
      </c>
      <c r="AC628" s="168"/>
      <c r="AD628" s="168" t="s">
        <v>1058</v>
      </c>
      <c r="AE628" s="168" t="s">
        <v>1059</v>
      </c>
      <c r="AF628" s="166" t="s">
        <v>284</v>
      </c>
      <c r="AG628" s="168"/>
      <c r="AH628" s="166" t="s">
        <v>1060</v>
      </c>
      <c r="AI628" s="168">
        <v>0</v>
      </c>
      <c r="AJ628" s="168">
        <v>0</v>
      </c>
      <c r="AP628" s="206"/>
      <c r="AQ628" s="207"/>
      <c r="AR628" s="207"/>
      <c r="AS628" s="207"/>
      <c r="AT628" s="208"/>
      <c r="AU628" s="207"/>
      <c r="AV628" s="208"/>
    </row>
    <row r="629" spans="1:48" s="205" customFormat="1" ht="15">
      <c r="A629" s="145"/>
      <c r="B629" s="166">
        <v>2183</v>
      </c>
      <c r="C629" s="167">
        <v>80385</v>
      </c>
      <c r="D629" s="166" t="s">
        <v>1053</v>
      </c>
      <c r="E629" s="168" t="s">
        <v>1993</v>
      </c>
      <c r="F629" s="166">
        <v>0</v>
      </c>
      <c r="G629" s="168"/>
      <c r="H629" s="168"/>
      <c r="I629" s="168"/>
      <c r="J629" s="168">
        <v>0</v>
      </c>
      <c r="K629" s="168" t="s">
        <v>1974</v>
      </c>
      <c r="L629" s="168"/>
      <c r="M629" s="168"/>
      <c r="N629" s="169">
        <v>40609</v>
      </c>
      <c r="O629" s="169">
        <v>40609</v>
      </c>
      <c r="P629" s="168" t="s">
        <v>1994</v>
      </c>
      <c r="Q629" s="166">
        <v>300</v>
      </c>
      <c r="R629" s="166">
        <v>14110</v>
      </c>
      <c r="S629" s="170">
        <v>2625</v>
      </c>
      <c r="T629" s="166">
        <v>14116</v>
      </c>
      <c r="U629" s="170">
        <v>2625</v>
      </c>
      <c r="V629" s="170">
        <f t="shared" si="29"/>
        <v>0</v>
      </c>
      <c r="W629" s="171">
        <v>0</v>
      </c>
      <c r="X629" s="166">
        <v>70260</v>
      </c>
      <c r="Y629" s="170">
        <v>0</v>
      </c>
      <c r="Z629" s="168" t="s">
        <v>1053</v>
      </c>
      <c r="AA629" s="168"/>
      <c r="AB629" s="168">
        <v>11937</v>
      </c>
      <c r="AC629" s="168"/>
      <c r="AD629" s="168" t="s">
        <v>1058</v>
      </c>
      <c r="AE629" s="168" t="s">
        <v>1059</v>
      </c>
      <c r="AF629" s="166" t="s">
        <v>284</v>
      </c>
      <c r="AG629" s="168"/>
      <c r="AH629" s="166" t="s">
        <v>1060</v>
      </c>
      <c r="AI629" s="168">
        <v>0</v>
      </c>
      <c r="AJ629" s="168">
        <v>0</v>
      </c>
      <c r="AP629" s="206"/>
      <c r="AQ629" s="207"/>
      <c r="AR629" s="207"/>
      <c r="AS629" s="207"/>
      <c r="AT629" s="208"/>
      <c r="AU629" s="207"/>
      <c r="AV629" s="208"/>
    </row>
    <row r="630" spans="1:48" s="205" customFormat="1" ht="15">
      <c r="A630" s="145"/>
      <c r="B630" s="166">
        <v>2183</v>
      </c>
      <c r="C630" s="167">
        <v>79676</v>
      </c>
      <c r="D630" s="166" t="s">
        <v>1053</v>
      </c>
      <c r="E630" s="168" t="s">
        <v>1995</v>
      </c>
      <c r="F630" s="166">
        <v>0</v>
      </c>
      <c r="G630" s="168"/>
      <c r="H630" s="168"/>
      <c r="I630" s="168"/>
      <c r="J630" s="168">
        <v>0</v>
      </c>
      <c r="K630" s="168" t="s">
        <v>1996</v>
      </c>
      <c r="L630" s="168"/>
      <c r="M630" s="168"/>
      <c r="N630" s="169">
        <v>40544</v>
      </c>
      <c r="O630" s="169">
        <v>40544</v>
      </c>
      <c r="P630" s="168" t="s">
        <v>1997</v>
      </c>
      <c r="Q630" s="166">
        <v>300</v>
      </c>
      <c r="R630" s="166">
        <v>14110</v>
      </c>
      <c r="S630" s="170">
        <v>5850</v>
      </c>
      <c r="T630" s="166">
        <v>14116</v>
      </c>
      <c r="U630" s="170">
        <v>5850</v>
      </c>
      <c r="V630" s="170">
        <f t="shared" si="29"/>
        <v>0</v>
      </c>
      <c r="W630" s="171">
        <v>0</v>
      </c>
      <c r="X630" s="166">
        <v>70260</v>
      </c>
      <c r="Y630" s="170">
        <v>0</v>
      </c>
      <c r="Z630" s="168" t="s">
        <v>1053</v>
      </c>
      <c r="AA630" s="168"/>
      <c r="AB630" s="168" t="s">
        <v>1998</v>
      </c>
      <c r="AC630" s="168"/>
      <c r="AD630" s="168" t="s">
        <v>1058</v>
      </c>
      <c r="AE630" s="168" t="s">
        <v>1059</v>
      </c>
      <c r="AF630" s="166" t="s">
        <v>284</v>
      </c>
      <c r="AG630" s="168"/>
      <c r="AH630" s="166" t="s">
        <v>1060</v>
      </c>
      <c r="AI630" s="168">
        <v>0</v>
      </c>
      <c r="AJ630" s="168">
        <v>0</v>
      </c>
      <c r="AP630" s="206"/>
      <c r="AQ630" s="207"/>
      <c r="AR630" s="207"/>
      <c r="AS630" s="207"/>
      <c r="AT630" s="208"/>
      <c r="AU630" s="207"/>
      <c r="AV630" s="208"/>
    </row>
    <row r="631" spans="1:48" s="205" customFormat="1" ht="15">
      <c r="A631" s="145"/>
      <c r="B631" s="166">
        <v>2183</v>
      </c>
      <c r="C631" s="167">
        <v>79584</v>
      </c>
      <c r="D631" s="166">
        <v>79676</v>
      </c>
      <c r="E631" s="168" t="s">
        <v>1999</v>
      </c>
      <c r="F631" s="166">
        <v>0</v>
      </c>
      <c r="G631" s="168"/>
      <c r="H631" s="168"/>
      <c r="I631" s="168"/>
      <c r="J631" s="168">
        <v>0</v>
      </c>
      <c r="K631" s="168" t="s">
        <v>1996</v>
      </c>
      <c r="L631" s="168"/>
      <c r="M631" s="168"/>
      <c r="N631" s="169">
        <v>40543</v>
      </c>
      <c r="O631" s="169">
        <v>40543</v>
      </c>
      <c r="P631" s="168" t="s">
        <v>1997</v>
      </c>
      <c r="Q631" s="166">
        <v>300</v>
      </c>
      <c r="R631" s="166">
        <v>14110</v>
      </c>
      <c r="S631" s="170">
        <v>497.25</v>
      </c>
      <c r="T631" s="166">
        <v>14116</v>
      </c>
      <c r="U631" s="170">
        <v>497.25</v>
      </c>
      <c r="V631" s="170">
        <f t="shared" si="29"/>
        <v>0</v>
      </c>
      <c r="W631" s="171">
        <v>0</v>
      </c>
      <c r="X631" s="166">
        <v>70260</v>
      </c>
      <c r="Y631" s="170">
        <v>0</v>
      </c>
      <c r="Z631" s="168" t="s">
        <v>1053</v>
      </c>
      <c r="AA631" s="168"/>
      <c r="AB631" s="168" t="s">
        <v>1998</v>
      </c>
      <c r="AC631" s="168"/>
      <c r="AD631" s="168" t="s">
        <v>1058</v>
      </c>
      <c r="AE631" s="168" t="s">
        <v>1059</v>
      </c>
      <c r="AF631" s="166" t="s">
        <v>284</v>
      </c>
      <c r="AG631" s="168"/>
      <c r="AH631" s="166" t="s">
        <v>1060</v>
      </c>
      <c r="AI631" s="168">
        <v>0</v>
      </c>
      <c r="AJ631" s="168">
        <v>0</v>
      </c>
      <c r="AP631" s="206"/>
      <c r="AQ631" s="207"/>
      <c r="AR631" s="207"/>
      <c r="AS631" s="207"/>
      <c r="AT631" s="208"/>
      <c r="AU631" s="207"/>
      <c r="AV631" s="208"/>
    </row>
    <row r="632" spans="1:48" s="205" customFormat="1" ht="15">
      <c r="A632" s="145"/>
      <c r="B632" s="166">
        <v>2183</v>
      </c>
      <c r="C632" s="167">
        <v>79583</v>
      </c>
      <c r="D632" s="166">
        <v>78978</v>
      </c>
      <c r="E632" s="168" t="s">
        <v>2000</v>
      </c>
      <c r="F632" s="166">
        <v>0</v>
      </c>
      <c r="G632" s="168"/>
      <c r="H632" s="168"/>
      <c r="I632" s="168"/>
      <c r="J632" s="168">
        <v>0</v>
      </c>
      <c r="K632" s="168" t="s">
        <v>2001</v>
      </c>
      <c r="L632" s="168"/>
      <c r="M632" s="168"/>
      <c r="N632" s="169">
        <v>40543</v>
      </c>
      <c r="O632" s="169">
        <v>40543</v>
      </c>
      <c r="P632" s="168" t="s">
        <v>2002</v>
      </c>
      <c r="Q632" s="166">
        <v>500</v>
      </c>
      <c r="R632" s="166">
        <v>14100</v>
      </c>
      <c r="S632" s="170">
        <v>2931.7</v>
      </c>
      <c r="T632" s="166">
        <v>14106</v>
      </c>
      <c r="U632" s="170">
        <v>2931.7</v>
      </c>
      <c r="V632" s="170">
        <f t="shared" si="29"/>
        <v>0</v>
      </c>
      <c r="W632" s="171">
        <v>0</v>
      </c>
      <c r="X632" s="166">
        <v>70260</v>
      </c>
      <c r="Y632" s="170">
        <v>0</v>
      </c>
      <c r="Z632" s="168" t="s">
        <v>1053</v>
      </c>
      <c r="AA632" s="168"/>
      <c r="AB632" s="168">
        <v>16591</v>
      </c>
      <c r="AC632" s="168"/>
      <c r="AD632" s="168" t="s">
        <v>1058</v>
      </c>
      <c r="AE632" s="168" t="s">
        <v>1059</v>
      </c>
      <c r="AF632" s="166" t="s">
        <v>284</v>
      </c>
      <c r="AG632" s="168"/>
      <c r="AH632" s="166" t="s">
        <v>1060</v>
      </c>
      <c r="AI632" s="168">
        <v>0</v>
      </c>
      <c r="AJ632" s="168">
        <v>0</v>
      </c>
      <c r="AP632" s="206"/>
      <c r="AQ632" s="207"/>
      <c r="AR632" s="207"/>
      <c r="AS632" s="207"/>
      <c r="AT632" s="208"/>
      <c r="AU632" s="207"/>
      <c r="AV632" s="208"/>
    </row>
    <row r="633" spans="1:48" s="205" customFormat="1" ht="15">
      <c r="A633" s="145"/>
      <c r="B633" s="166">
        <v>2183</v>
      </c>
      <c r="C633" s="167">
        <v>79582</v>
      </c>
      <c r="D633" s="166">
        <v>78978</v>
      </c>
      <c r="E633" s="168" t="s">
        <v>2003</v>
      </c>
      <c r="F633" s="166">
        <v>0</v>
      </c>
      <c r="G633" s="168"/>
      <c r="H633" s="168"/>
      <c r="I633" s="168"/>
      <c r="J633" s="168">
        <v>0</v>
      </c>
      <c r="K633" s="168" t="s">
        <v>2001</v>
      </c>
      <c r="L633" s="168"/>
      <c r="M633" s="168"/>
      <c r="N633" s="169">
        <v>40543</v>
      </c>
      <c r="O633" s="169">
        <v>40543</v>
      </c>
      <c r="P633" s="168" t="s">
        <v>2002</v>
      </c>
      <c r="Q633" s="166">
        <v>500</v>
      </c>
      <c r="R633" s="166">
        <v>14100</v>
      </c>
      <c r="S633" s="170">
        <v>29.67</v>
      </c>
      <c r="T633" s="166">
        <v>14106</v>
      </c>
      <c r="U633" s="170">
        <v>29.67</v>
      </c>
      <c r="V633" s="170">
        <f t="shared" si="29"/>
        <v>0</v>
      </c>
      <c r="W633" s="171">
        <v>0</v>
      </c>
      <c r="X633" s="166">
        <v>70260</v>
      </c>
      <c r="Y633" s="170">
        <v>0</v>
      </c>
      <c r="Z633" s="168" t="s">
        <v>1053</v>
      </c>
      <c r="AA633" s="168"/>
      <c r="AB633" s="168">
        <v>16560</v>
      </c>
      <c r="AC633" s="168"/>
      <c r="AD633" s="168" t="s">
        <v>1058</v>
      </c>
      <c r="AE633" s="168" t="s">
        <v>1059</v>
      </c>
      <c r="AF633" s="166" t="s">
        <v>284</v>
      </c>
      <c r="AG633" s="168"/>
      <c r="AH633" s="166" t="s">
        <v>1060</v>
      </c>
      <c r="AI633" s="168">
        <v>0</v>
      </c>
      <c r="AJ633" s="168">
        <v>0</v>
      </c>
      <c r="AP633" s="206"/>
      <c r="AQ633" s="207"/>
      <c r="AR633" s="207"/>
      <c r="AS633" s="207"/>
      <c r="AT633" s="208"/>
      <c r="AU633" s="207"/>
      <c r="AV633" s="208"/>
    </row>
    <row r="634" spans="1:48" s="205" customFormat="1" ht="15">
      <c r="A634" s="145"/>
      <c r="B634" s="166">
        <v>2183</v>
      </c>
      <c r="C634" s="167">
        <v>79581</v>
      </c>
      <c r="D634" s="166">
        <v>78978</v>
      </c>
      <c r="E634" s="168" t="s">
        <v>2004</v>
      </c>
      <c r="F634" s="166">
        <v>0</v>
      </c>
      <c r="G634" s="168"/>
      <c r="H634" s="168"/>
      <c r="I634" s="168"/>
      <c r="J634" s="168">
        <v>0</v>
      </c>
      <c r="K634" s="168" t="s">
        <v>2001</v>
      </c>
      <c r="L634" s="168"/>
      <c r="M634" s="168"/>
      <c r="N634" s="169">
        <v>40543</v>
      </c>
      <c r="O634" s="169">
        <v>40543</v>
      </c>
      <c r="P634" s="168" t="s">
        <v>2002</v>
      </c>
      <c r="Q634" s="166">
        <v>500</v>
      </c>
      <c r="R634" s="166">
        <v>14100</v>
      </c>
      <c r="S634" s="170">
        <v>2130.35</v>
      </c>
      <c r="T634" s="166">
        <v>14106</v>
      </c>
      <c r="U634" s="170">
        <v>2130.35</v>
      </c>
      <c r="V634" s="170">
        <f t="shared" si="29"/>
        <v>0</v>
      </c>
      <c r="W634" s="171">
        <v>0</v>
      </c>
      <c r="X634" s="166">
        <v>70260</v>
      </c>
      <c r="Y634" s="170">
        <v>0</v>
      </c>
      <c r="Z634" s="168" t="s">
        <v>1053</v>
      </c>
      <c r="AA634" s="168"/>
      <c r="AB634" s="168">
        <v>16588</v>
      </c>
      <c r="AC634" s="168"/>
      <c r="AD634" s="168" t="s">
        <v>1058</v>
      </c>
      <c r="AE634" s="168" t="s">
        <v>1059</v>
      </c>
      <c r="AF634" s="166" t="s">
        <v>284</v>
      </c>
      <c r="AG634" s="168"/>
      <c r="AH634" s="166" t="s">
        <v>1060</v>
      </c>
      <c r="AI634" s="168">
        <v>0</v>
      </c>
      <c r="AJ634" s="168">
        <v>0</v>
      </c>
      <c r="AP634" s="206"/>
      <c r="AQ634" s="207"/>
      <c r="AR634" s="207"/>
      <c r="AS634" s="207"/>
      <c r="AT634" s="208"/>
      <c r="AU634" s="207"/>
      <c r="AV634" s="208"/>
    </row>
    <row r="635" spans="1:48" s="205" customFormat="1" ht="15">
      <c r="A635" s="145"/>
      <c r="B635" s="166">
        <v>2183</v>
      </c>
      <c r="C635" s="167">
        <v>79580</v>
      </c>
      <c r="D635" s="166">
        <v>78978</v>
      </c>
      <c r="E635" s="168" t="s">
        <v>2005</v>
      </c>
      <c r="F635" s="166">
        <v>0</v>
      </c>
      <c r="G635" s="168"/>
      <c r="H635" s="168"/>
      <c r="I635" s="168"/>
      <c r="J635" s="168">
        <v>0</v>
      </c>
      <c r="K635" s="168" t="s">
        <v>2001</v>
      </c>
      <c r="L635" s="168"/>
      <c r="M635" s="168"/>
      <c r="N635" s="169">
        <v>40543</v>
      </c>
      <c r="O635" s="169">
        <v>40543</v>
      </c>
      <c r="P635" s="168" t="s">
        <v>2002</v>
      </c>
      <c r="Q635" s="166">
        <v>500</v>
      </c>
      <c r="R635" s="166">
        <v>14100</v>
      </c>
      <c r="S635" s="170">
        <v>1521.68</v>
      </c>
      <c r="T635" s="166">
        <v>14106</v>
      </c>
      <c r="U635" s="170">
        <v>1521.68</v>
      </c>
      <c r="V635" s="170">
        <f t="shared" si="29"/>
        <v>0</v>
      </c>
      <c r="W635" s="171">
        <v>0</v>
      </c>
      <c r="X635" s="166">
        <v>70260</v>
      </c>
      <c r="Y635" s="170">
        <v>0</v>
      </c>
      <c r="Z635" s="168" t="s">
        <v>1053</v>
      </c>
      <c r="AA635" s="168"/>
      <c r="AB635" s="168">
        <v>15899</v>
      </c>
      <c r="AC635" s="168"/>
      <c r="AD635" s="168" t="s">
        <v>1058</v>
      </c>
      <c r="AE635" s="168" t="s">
        <v>1059</v>
      </c>
      <c r="AF635" s="166" t="s">
        <v>284</v>
      </c>
      <c r="AG635" s="168"/>
      <c r="AH635" s="166" t="s">
        <v>1060</v>
      </c>
      <c r="AI635" s="168">
        <v>0</v>
      </c>
      <c r="AJ635" s="168">
        <v>0</v>
      </c>
      <c r="AP635" s="206"/>
      <c r="AQ635" s="207"/>
      <c r="AR635" s="207"/>
      <c r="AS635" s="207"/>
      <c r="AT635" s="208"/>
      <c r="AU635" s="207"/>
      <c r="AV635" s="208"/>
    </row>
    <row r="636" spans="1:48" s="205" customFormat="1" ht="15">
      <c r="A636" s="145"/>
      <c r="B636" s="166">
        <v>2183</v>
      </c>
      <c r="C636" s="167">
        <v>79579</v>
      </c>
      <c r="D636" s="166">
        <v>78978</v>
      </c>
      <c r="E636" s="168" t="s">
        <v>2006</v>
      </c>
      <c r="F636" s="166">
        <v>0</v>
      </c>
      <c r="G636" s="168"/>
      <c r="H636" s="168"/>
      <c r="I636" s="168"/>
      <c r="J636" s="168">
        <v>0</v>
      </c>
      <c r="K636" s="168" t="s">
        <v>2001</v>
      </c>
      <c r="L636" s="168"/>
      <c r="M636" s="168"/>
      <c r="N636" s="169">
        <v>40543</v>
      </c>
      <c r="O636" s="169">
        <v>40543</v>
      </c>
      <c r="P636" s="168" t="s">
        <v>2002</v>
      </c>
      <c r="Q636" s="166">
        <v>500</v>
      </c>
      <c r="R636" s="166">
        <v>14100</v>
      </c>
      <c r="S636" s="170">
        <v>2434.69</v>
      </c>
      <c r="T636" s="166">
        <v>14106</v>
      </c>
      <c r="U636" s="170">
        <v>2434.69</v>
      </c>
      <c r="V636" s="170">
        <f t="shared" si="29"/>
        <v>0</v>
      </c>
      <c r="W636" s="171">
        <v>0</v>
      </c>
      <c r="X636" s="166">
        <v>70260</v>
      </c>
      <c r="Y636" s="170">
        <v>0</v>
      </c>
      <c r="Z636" s="168" t="s">
        <v>1053</v>
      </c>
      <c r="AA636" s="168"/>
      <c r="AB636" s="168">
        <v>16457</v>
      </c>
      <c r="AC636" s="168"/>
      <c r="AD636" s="168" t="s">
        <v>1058</v>
      </c>
      <c r="AE636" s="168" t="s">
        <v>1059</v>
      </c>
      <c r="AF636" s="166" t="s">
        <v>284</v>
      </c>
      <c r="AG636" s="168"/>
      <c r="AH636" s="166" t="s">
        <v>1060</v>
      </c>
      <c r="AI636" s="168">
        <v>0</v>
      </c>
      <c r="AJ636" s="168">
        <v>0</v>
      </c>
      <c r="AP636" s="206"/>
      <c r="AQ636" s="207"/>
      <c r="AR636" s="207"/>
      <c r="AS636" s="207"/>
      <c r="AT636" s="208"/>
      <c r="AU636" s="207"/>
      <c r="AV636" s="208"/>
    </row>
    <row r="637" spans="1:48" s="205" customFormat="1" ht="15">
      <c r="A637" s="145"/>
      <c r="B637" s="166">
        <v>2183</v>
      </c>
      <c r="C637" s="167">
        <v>79490</v>
      </c>
      <c r="D637" s="166">
        <v>78978</v>
      </c>
      <c r="E637" s="168" t="s">
        <v>2007</v>
      </c>
      <c r="F637" s="166">
        <v>0</v>
      </c>
      <c r="G637" s="168"/>
      <c r="H637" s="168"/>
      <c r="I637" s="168"/>
      <c r="J637" s="168">
        <v>0</v>
      </c>
      <c r="K637" s="168" t="s">
        <v>2008</v>
      </c>
      <c r="L637" s="168"/>
      <c r="M637" s="168"/>
      <c r="N637" s="169">
        <v>40543</v>
      </c>
      <c r="O637" s="169">
        <v>40543</v>
      </c>
      <c r="P637" s="168" t="s">
        <v>2002</v>
      </c>
      <c r="Q637" s="166">
        <v>500</v>
      </c>
      <c r="R637" s="166">
        <v>14100</v>
      </c>
      <c r="S637" s="170">
        <v>710</v>
      </c>
      <c r="T637" s="166">
        <v>14106</v>
      </c>
      <c r="U637" s="170">
        <v>710</v>
      </c>
      <c r="V637" s="170">
        <f t="shared" si="29"/>
        <v>0</v>
      </c>
      <c r="W637" s="171">
        <v>0</v>
      </c>
      <c r="X637" s="166">
        <v>70260</v>
      </c>
      <c r="Y637" s="170">
        <v>0</v>
      </c>
      <c r="Z637" s="168" t="s">
        <v>1053</v>
      </c>
      <c r="AA637" s="168"/>
      <c r="AB637" s="168" t="s">
        <v>2009</v>
      </c>
      <c r="AC637" s="168"/>
      <c r="AD637" s="168" t="s">
        <v>1058</v>
      </c>
      <c r="AE637" s="168" t="s">
        <v>1059</v>
      </c>
      <c r="AF637" s="166" t="s">
        <v>284</v>
      </c>
      <c r="AG637" s="168"/>
      <c r="AH637" s="166" t="s">
        <v>1060</v>
      </c>
      <c r="AI637" s="168">
        <v>0</v>
      </c>
      <c r="AJ637" s="168">
        <v>0</v>
      </c>
      <c r="AP637" s="206"/>
      <c r="AQ637" s="207"/>
      <c r="AR637" s="207"/>
      <c r="AS637" s="207"/>
      <c r="AT637" s="208"/>
      <c r="AU637" s="207"/>
      <c r="AV637" s="208"/>
    </row>
    <row r="638" spans="1:48" s="205" customFormat="1" ht="15">
      <c r="A638" s="145"/>
      <c r="B638" s="166">
        <v>2183</v>
      </c>
      <c r="C638" s="167">
        <v>79489</v>
      </c>
      <c r="D638" s="166">
        <v>78978</v>
      </c>
      <c r="E638" s="168" t="s">
        <v>2007</v>
      </c>
      <c r="F638" s="166">
        <v>0</v>
      </c>
      <c r="G638" s="168"/>
      <c r="H638" s="168"/>
      <c r="I638" s="168"/>
      <c r="J638" s="168">
        <v>0</v>
      </c>
      <c r="K638" s="168" t="s">
        <v>2008</v>
      </c>
      <c r="L638" s="168"/>
      <c r="M638" s="168"/>
      <c r="N638" s="169">
        <v>40543</v>
      </c>
      <c r="O638" s="169">
        <v>40543</v>
      </c>
      <c r="P638" s="168" t="s">
        <v>2002</v>
      </c>
      <c r="Q638" s="166">
        <v>500</v>
      </c>
      <c r="R638" s="166">
        <v>14100</v>
      </c>
      <c r="S638" s="170">
        <v>1764</v>
      </c>
      <c r="T638" s="166">
        <v>14106</v>
      </c>
      <c r="U638" s="170">
        <v>1764</v>
      </c>
      <c r="V638" s="170">
        <f t="shared" si="29"/>
        <v>0</v>
      </c>
      <c r="W638" s="171">
        <v>0</v>
      </c>
      <c r="X638" s="166">
        <v>70260</v>
      </c>
      <c r="Y638" s="170">
        <v>0</v>
      </c>
      <c r="Z638" s="168" t="s">
        <v>1053</v>
      </c>
      <c r="AA638" s="168"/>
      <c r="AB638" s="168" t="s">
        <v>2010</v>
      </c>
      <c r="AC638" s="168"/>
      <c r="AD638" s="168" t="s">
        <v>1058</v>
      </c>
      <c r="AE638" s="168" t="s">
        <v>1059</v>
      </c>
      <c r="AF638" s="166" t="s">
        <v>284</v>
      </c>
      <c r="AG638" s="168"/>
      <c r="AH638" s="166" t="s">
        <v>1060</v>
      </c>
      <c r="AI638" s="168">
        <v>0</v>
      </c>
      <c r="AJ638" s="168">
        <v>0</v>
      </c>
      <c r="AP638" s="206"/>
      <c r="AQ638" s="207"/>
      <c r="AR638" s="207"/>
      <c r="AS638" s="207"/>
      <c r="AT638" s="208"/>
      <c r="AU638" s="207"/>
      <c r="AV638" s="208"/>
    </row>
    <row r="639" spans="1:48" s="205" customFormat="1" ht="15">
      <c r="A639" s="145"/>
      <c r="B639" s="166">
        <v>2183</v>
      </c>
      <c r="C639" s="167">
        <v>79488</v>
      </c>
      <c r="D639" s="166">
        <v>78978</v>
      </c>
      <c r="E639" s="168" t="s">
        <v>2007</v>
      </c>
      <c r="F639" s="166">
        <v>0</v>
      </c>
      <c r="G639" s="168"/>
      <c r="H639" s="168"/>
      <c r="I639" s="168"/>
      <c r="J639" s="168">
        <v>0</v>
      </c>
      <c r="K639" s="168" t="s">
        <v>2008</v>
      </c>
      <c r="L639" s="168"/>
      <c r="M639" s="168"/>
      <c r="N639" s="169">
        <v>40543</v>
      </c>
      <c r="O639" s="169">
        <v>40543</v>
      </c>
      <c r="P639" s="168" t="s">
        <v>2002</v>
      </c>
      <c r="Q639" s="166">
        <v>500</v>
      </c>
      <c r="R639" s="166">
        <v>14100</v>
      </c>
      <c r="S639" s="170">
        <v>7988.4</v>
      </c>
      <c r="T639" s="166">
        <v>14106</v>
      </c>
      <c r="U639" s="170">
        <v>7988.4</v>
      </c>
      <c r="V639" s="170">
        <f t="shared" si="29"/>
        <v>0</v>
      </c>
      <c r="W639" s="171">
        <v>0</v>
      </c>
      <c r="X639" s="166">
        <v>70260</v>
      </c>
      <c r="Y639" s="170">
        <v>0</v>
      </c>
      <c r="Z639" s="168" t="s">
        <v>1053</v>
      </c>
      <c r="AA639" s="168"/>
      <c r="AB639" s="168" t="s">
        <v>2011</v>
      </c>
      <c r="AC639" s="168"/>
      <c r="AD639" s="168" t="s">
        <v>1058</v>
      </c>
      <c r="AE639" s="168" t="s">
        <v>1059</v>
      </c>
      <c r="AF639" s="166" t="s">
        <v>284</v>
      </c>
      <c r="AG639" s="168"/>
      <c r="AH639" s="166" t="s">
        <v>1060</v>
      </c>
      <c r="AI639" s="168">
        <v>0</v>
      </c>
      <c r="AJ639" s="168">
        <v>0</v>
      </c>
      <c r="AP639" s="206"/>
      <c r="AQ639" s="207"/>
      <c r="AR639" s="207"/>
      <c r="AS639" s="207"/>
      <c r="AT639" s="208"/>
      <c r="AU639" s="207"/>
      <c r="AV639" s="208"/>
    </row>
    <row r="640" spans="1:48" s="205" customFormat="1" ht="15">
      <c r="A640" s="145"/>
      <c r="B640" s="166">
        <v>2183</v>
      </c>
      <c r="C640" s="167">
        <v>79487</v>
      </c>
      <c r="D640" s="166">
        <v>78978</v>
      </c>
      <c r="E640" s="168" t="s">
        <v>2012</v>
      </c>
      <c r="F640" s="166">
        <v>0</v>
      </c>
      <c r="G640" s="168"/>
      <c r="H640" s="168"/>
      <c r="I640" s="168"/>
      <c r="J640" s="168">
        <v>0</v>
      </c>
      <c r="K640" s="168" t="s">
        <v>2008</v>
      </c>
      <c r="L640" s="168"/>
      <c r="M640" s="168"/>
      <c r="N640" s="169">
        <v>40543</v>
      </c>
      <c r="O640" s="169">
        <v>40543</v>
      </c>
      <c r="P640" s="168" t="s">
        <v>2002</v>
      </c>
      <c r="Q640" s="166">
        <v>500</v>
      </c>
      <c r="R640" s="166">
        <v>14100</v>
      </c>
      <c r="S640" s="170">
        <v>25062.9</v>
      </c>
      <c r="T640" s="166">
        <v>14106</v>
      </c>
      <c r="U640" s="170">
        <v>25062.9</v>
      </c>
      <c r="V640" s="170">
        <f t="shared" si="29"/>
        <v>0</v>
      </c>
      <c r="W640" s="171">
        <v>0</v>
      </c>
      <c r="X640" s="166">
        <v>70260</v>
      </c>
      <c r="Y640" s="170">
        <v>0</v>
      </c>
      <c r="Z640" s="168" t="s">
        <v>1053</v>
      </c>
      <c r="AA640" s="168"/>
      <c r="AB640" s="168" t="s">
        <v>2013</v>
      </c>
      <c r="AC640" s="168"/>
      <c r="AD640" s="168" t="s">
        <v>1058</v>
      </c>
      <c r="AE640" s="168" t="s">
        <v>1059</v>
      </c>
      <c r="AF640" s="166" t="s">
        <v>284</v>
      </c>
      <c r="AG640" s="168"/>
      <c r="AH640" s="166" t="s">
        <v>1060</v>
      </c>
      <c r="AI640" s="168">
        <v>0</v>
      </c>
      <c r="AJ640" s="168">
        <v>0</v>
      </c>
      <c r="AP640" s="206"/>
      <c r="AQ640" s="207"/>
      <c r="AR640" s="207"/>
      <c r="AS640" s="207"/>
      <c r="AT640" s="208"/>
      <c r="AU640" s="207"/>
      <c r="AV640" s="208"/>
    </row>
    <row r="641" spans="1:48" s="205" customFormat="1" ht="15">
      <c r="A641" s="145"/>
      <c r="B641" s="166">
        <v>2183</v>
      </c>
      <c r="C641" s="167">
        <v>79486</v>
      </c>
      <c r="D641" s="166">
        <v>78978</v>
      </c>
      <c r="E641" s="168" t="s">
        <v>2012</v>
      </c>
      <c r="F641" s="166">
        <v>0</v>
      </c>
      <c r="G641" s="168"/>
      <c r="H641" s="168"/>
      <c r="I641" s="168"/>
      <c r="J641" s="168">
        <v>0</v>
      </c>
      <c r="K641" s="168" t="s">
        <v>2008</v>
      </c>
      <c r="L641" s="168"/>
      <c r="M641" s="168"/>
      <c r="N641" s="169">
        <v>40543</v>
      </c>
      <c r="O641" s="169">
        <v>40543</v>
      </c>
      <c r="P641" s="168" t="s">
        <v>2002</v>
      </c>
      <c r="Q641" s="166">
        <v>500</v>
      </c>
      <c r="R641" s="166">
        <v>14100</v>
      </c>
      <c r="S641" s="170">
        <v>349</v>
      </c>
      <c r="T641" s="166">
        <v>14106</v>
      </c>
      <c r="U641" s="170">
        <v>349</v>
      </c>
      <c r="V641" s="170">
        <f t="shared" si="29"/>
        <v>0</v>
      </c>
      <c r="W641" s="171">
        <v>0</v>
      </c>
      <c r="X641" s="166">
        <v>70260</v>
      </c>
      <c r="Y641" s="170">
        <v>0</v>
      </c>
      <c r="Z641" s="168" t="s">
        <v>1053</v>
      </c>
      <c r="AA641" s="168"/>
      <c r="AB641" s="168" t="s">
        <v>2014</v>
      </c>
      <c r="AC641" s="168"/>
      <c r="AD641" s="168" t="s">
        <v>1058</v>
      </c>
      <c r="AE641" s="168" t="s">
        <v>1059</v>
      </c>
      <c r="AF641" s="166" t="s">
        <v>284</v>
      </c>
      <c r="AG641" s="168"/>
      <c r="AH641" s="166" t="s">
        <v>1060</v>
      </c>
      <c r="AI641" s="168">
        <v>0</v>
      </c>
      <c r="AJ641" s="168">
        <v>0</v>
      </c>
      <c r="AP641" s="206"/>
      <c r="AQ641" s="207"/>
      <c r="AR641" s="207"/>
      <c r="AS641" s="207"/>
      <c r="AT641" s="208"/>
      <c r="AU641" s="207"/>
      <c r="AV641" s="208"/>
    </row>
    <row r="642" spans="1:48" s="205" customFormat="1" ht="15">
      <c r="A642" s="145"/>
      <c r="B642" s="166">
        <v>2183</v>
      </c>
      <c r="C642" s="167">
        <v>78978</v>
      </c>
      <c r="D642" s="166" t="s">
        <v>1053</v>
      </c>
      <c r="E642" s="168" t="s">
        <v>2015</v>
      </c>
      <c r="F642" s="166">
        <v>0</v>
      </c>
      <c r="G642" s="168"/>
      <c r="H642" s="168"/>
      <c r="I642" s="168"/>
      <c r="J642" s="168">
        <v>0</v>
      </c>
      <c r="K642" s="168"/>
      <c r="L642" s="168"/>
      <c r="M642" s="168"/>
      <c r="N642" s="169">
        <v>40543</v>
      </c>
      <c r="O642" s="169">
        <v>40543</v>
      </c>
      <c r="P642" s="168" t="s">
        <v>2002</v>
      </c>
      <c r="Q642" s="166">
        <v>500</v>
      </c>
      <c r="R642" s="166">
        <v>14100</v>
      </c>
      <c r="S642" s="170">
        <v>47401.52</v>
      </c>
      <c r="T642" s="166">
        <v>14106</v>
      </c>
      <c r="U642" s="170">
        <v>47401.52</v>
      </c>
      <c r="V642" s="170">
        <f t="shared" si="29"/>
        <v>0</v>
      </c>
      <c r="W642" s="171">
        <v>0</v>
      </c>
      <c r="X642" s="166">
        <v>70260</v>
      </c>
      <c r="Y642" s="170">
        <v>0</v>
      </c>
      <c r="Z642" s="168" t="s">
        <v>1053</v>
      </c>
      <c r="AA642" s="168"/>
      <c r="AB642" s="168" t="s">
        <v>2016</v>
      </c>
      <c r="AC642" s="168"/>
      <c r="AD642" s="168" t="s">
        <v>1058</v>
      </c>
      <c r="AE642" s="168" t="s">
        <v>1059</v>
      </c>
      <c r="AF642" s="166" t="s">
        <v>284</v>
      </c>
      <c r="AG642" s="168"/>
      <c r="AH642" s="166" t="s">
        <v>1060</v>
      </c>
      <c r="AI642" s="168">
        <v>0</v>
      </c>
      <c r="AJ642" s="168">
        <v>0</v>
      </c>
      <c r="AP642" s="206"/>
      <c r="AQ642" s="207"/>
      <c r="AR642" s="207"/>
      <c r="AS642" s="207"/>
      <c r="AT642" s="208"/>
      <c r="AU642" s="207"/>
      <c r="AV642" s="208"/>
    </row>
    <row r="643" spans="1:48" s="205" customFormat="1" ht="15">
      <c r="A643" s="145"/>
      <c r="B643" s="166">
        <v>2183</v>
      </c>
      <c r="C643" s="167">
        <v>78790</v>
      </c>
      <c r="D643" s="166" t="s">
        <v>1053</v>
      </c>
      <c r="E643" s="168" t="s">
        <v>2017</v>
      </c>
      <c r="F643" s="166">
        <v>0</v>
      </c>
      <c r="G643" s="168"/>
      <c r="H643" s="168" t="s">
        <v>2018</v>
      </c>
      <c r="I643" s="168"/>
      <c r="J643" s="168">
        <v>0</v>
      </c>
      <c r="K643" s="168" t="s">
        <v>2019</v>
      </c>
      <c r="L643" s="168"/>
      <c r="M643" s="168"/>
      <c r="N643" s="169">
        <v>40520</v>
      </c>
      <c r="O643" s="169">
        <v>40520</v>
      </c>
      <c r="P643" s="168" t="s">
        <v>2020</v>
      </c>
      <c r="Q643" s="166">
        <v>500</v>
      </c>
      <c r="R643" s="166">
        <v>14070</v>
      </c>
      <c r="S643" s="170">
        <v>5900.24</v>
      </c>
      <c r="T643" s="166">
        <v>14076</v>
      </c>
      <c r="U643" s="170">
        <v>5900.24</v>
      </c>
      <c r="V643" s="170">
        <f t="shared" si="29"/>
        <v>0</v>
      </c>
      <c r="W643" s="171">
        <v>0</v>
      </c>
      <c r="X643" s="166">
        <v>51260</v>
      </c>
      <c r="Y643" s="170">
        <v>0</v>
      </c>
      <c r="Z643" s="168" t="s">
        <v>1053</v>
      </c>
      <c r="AA643" s="168"/>
      <c r="AB643" s="168">
        <v>101907719</v>
      </c>
      <c r="AC643" s="168"/>
      <c r="AD643" s="168" t="s">
        <v>1058</v>
      </c>
      <c r="AE643" s="168" t="s">
        <v>1059</v>
      </c>
      <c r="AF643" s="166" t="s">
        <v>284</v>
      </c>
      <c r="AG643" s="168"/>
      <c r="AH643" s="166" t="s">
        <v>1060</v>
      </c>
      <c r="AI643" s="168">
        <v>0</v>
      </c>
      <c r="AJ643" s="168">
        <v>0</v>
      </c>
      <c r="AP643" s="206"/>
      <c r="AQ643" s="207"/>
      <c r="AR643" s="207"/>
      <c r="AS643" s="207"/>
      <c r="AT643" s="208"/>
      <c r="AU643" s="207"/>
      <c r="AV643" s="208"/>
    </row>
    <row r="644" spans="1:48" s="205" customFormat="1" ht="15">
      <c r="A644" s="145"/>
      <c r="B644" s="166">
        <v>2183</v>
      </c>
      <c r="C644" s="167">
        <v>78782</v>
      </c>
      <c r="D644" s="166" t="s">
        <v>1053</v>
      </c>
      <c r="E644" s="168" t="s">
        <v>2021</v>
      </c>
      <c r="F644" s="166">
        <v>360</v>
      </c>
      <c r="G644" s="168"/>
      <c r="H644" s="168" t="s">
        <v>2022</v>
      </c>
      <c r="I644" s="168"/>
      <c r="J644" s="168">
        <v>0</v>
      </c>
      <c r="K644" s="168" t="s">
        <v>2023</v>
      </c>
      <c r="L644" s="168"/>
      <c r="M644" s="168"/>
      <c r="N644" s="169">
        <v>40510</v>
      </c>
      <c r="O644" s="169">
        <v>40510</v>
      </c>
      <c r="P644" s="168" t="s">
        <v>2024</v>
      </c>
      <c r="Q644" s="166">
        <v>700</v>
      </c>
      <c r="R644" s="166">
        <v>14050</v>
      </c>
      <c r="S644" s="170">
        <v>17592.62</v>
      </c>
      <c r="T644" s="166">
        <v>14056</v>
      </c>
      <c r="U644" s="170">
        <v>17592.62</v>
      </c>
      <c r="V644" s="170">
        <f t="shared" si="29"/>
        <v>0</v>
      </c>
      <c r="W644" s="171">
        <v>0</v>
      </c>
      <c r="X644" s="166">
        <v>54260</v>
      </c>
      <c r="Y644" s="170">
        <v>0</v>
      </c>
      <c r="Z644" s="168" t="s">
        <v>1053</v>
      </c>
      <c r="AA644" s="168"/>
      <c r="AB644" s="168" t="s">
        <v>2025</v>
      </c>
      <c r="AC644" s="168"/>
      <c r="AD644" s="168" t="s">
        <v>1058</v>
      </c>
      <c r="AE644" s="168" t="s">
        <v>1059</v>
      </c>
      <c r="AF644" s="166" t="s">
        <v>284</v>
      </c>
      <c r="AG644" s="168"/>
      <c r="AH644" s="166" t="s">
        <v>1060</v>
      </c>
      <c r="AI644" s="168">
        <v>0</v>
      </c>
      <c r="AJ644" s="168">
        <v>0</v>
      </c>
      <c r="AP644" s="206"/>
      <c r="AQ644" s="207"/>
      <c r="AR644" s="207"/>
      <c r="AS644" s="207"/>
      <c r="AT644" s="208"/>
      <c r="AU644" s="207"/>
      <c r="AV644" s="208"/>
    </row>
    <row r="645" spans="1:48" s="205" customFormat="1" ht="15">
      <c r="A645" s="145"/>
      <c r="B645" s="166">
        <v>2183</v>
      </c>
      <c r="C645" s="167">
        <v>78781</v>
      </c>
      <c r="D645" s="166" t="s">
        <v>1053</v>
      </c>
      <c r="E645" s="168" t="s">
        <v>2026</v>
      </c>
      <c r="F645" s="166">
        <v>270</v>
      </c>
      <c r="G645" s="168"/>
      <c r="H645" s="168" t="s">
        <v>2027</v>
      </c>
      <c r="I645" s="168"/>
      <c r="J645" s="168">
        <v>0</v>
      </c>
      <c r="K645" s="168" t="s">
        <v>2023</v>
      </c>
      <c r="L645" s="168"/>
      <c r="M645" s="168"/>
      <c r="N645" s="169">
        <v>40510</v>
      </c>
      <c r="O645" s="169">
        <v>40510</v>
      </c>
      <c r="P645" s="168" t="s">
        <v>2024</v>
      </c>
      <c r="Q645" s="166">
        <v>700</v>
      </c>
      <c r="R645" s="166">
        <v>14050</v>
      </c>
      <c r="S645" s="170">
        <v>9025.7900000000009</v>
      </c>
      <c r="T645" s="166">
        <v>14056</v>
      </c>
      <c r="U645" s="170">
        <v>9025.7900000000009</v>
      </c>
      <c r="V645" s="170">
        <f t="shared" si="29"/>
        <v>0</v>
      </c>
      <c r="W645" s="171">
        <v>0</v>
      </c>
      <c r="X645" s="166">
        <v>54260</v>
      </c>
      <c r="Y645" s="170">
        <v>0</v>
      </c>
      <c r="Z645" s="168" t="s">
        <v>1053</v>
      </c>
      <c r="AA645" s="168"/>
      <c r="AB645" s="168" t="s">
        <v>2028</v>
      </c>
      <c r="AC645" s="168"/>
      <c r="AD645" s="168" t="s">
        <v>1058</v>
      </c>
      <c r="AE645" s="168" t="s">
        <v>1059</v>
      </c>
      <c r="AF645" s="166" t="s">
        <v>284</v>
      </c>
      <c r="AG645" s="168"/>
      <c r="AH645" s="166" t="s">
        <v>1060</v>
      </c>
      <c r="AI645" s="168">
        <v>0</v>
      </c>
      <c r="AJ645" s="168">
        <v>0</v>
      </c>
      <c r="AP645" s="206"/>
      <c r="AQ645" s="207"/>
      <c r="AR645" s="207"/>
      <c r="AS645" s="207"/>
      <c r="AT645" s="208"/>
      <c r="AU645" s="207"/>
      <c r="AV645" s="208"/>
    </row>
    <row r="646" spans="1:48" s="205" customFormat="1" ht="15">
      <c r="A646" s="145"/>
      <c r="B646" s="166">
        <v>2183</v>
      </c>
      <c r="C646" s="167">
        <v>78664</v>
      </c>
      <c r="D646" s="166" t="s">
        <v>1053</v>
      </c>
      <c r="E646" s="168" t="s">
        <v>2029</v>
      </c>
      <c r="F646" s="166">
        <v>648</v>
      </c>
      <c r="G646" s="168"/>
      <c r="H646" s="168" t="s">
        <v>2030</v>
      </c>
      <c r="I646" s="168"/>
      <c r="J646" s="168">
        <v>0</v>
      </c>
      <c r="K646" s="168" t="s">
        <v>2023</v>
      </c>
      <c r="L646" s="168"/>
      <c r="M646" s="168"/>
      <c r="N646" s="169">
        <v>40510</v>
      </c>
      <c r="O646" s="169">
        <v>40510</v>
      </c>
      <c r="P646" s="168" t="s">
        <v>2024</v>
      </c>
      <c r="Q646" s="166">
        <v>700</v>
      </c>
      <c r="R646" s="166">
        <v>14050</v>
      </c>
      <c r="S646" s="170">
        <v>27321.69</v>
      </c>
      <c r="T646" s="166">
        <v>14056</v>
      </c>
      <c r="U646" s="170">
        <v>27321.69</v>
      </c>
      <c r="V646" s="170">
        <f t="shared" si="29"/>
        <v>0</v>
      </c>
      <c r="W646" s="171">
        <v>0</v>
      </c>
      <c r="X646" s="166">
        <v>54260</v>
      </c>
      <c r="Y646" s="170">
        <v>0</v>
      </c>
      <c r="Z646" s="168" t="s">
        <v>1053</v>
      </c>
      <c r="AA646" s="168"/>
      <c r="AB646" s="168" t="s">
        <v>2031</v>
      </c>
      <c r="AC646" s="168"/>
      <c r="AD646" s="168" t="s">
        <v>1058</v>
      </c>
      <c r="AE646" s="168" t="s">
        <v>1059</v>
      </c>
      <c r="AF646" s="166" t="s">
        <v>284</v>
      </c>
      <c r="AG646" s="168"/>
      <c r="AH646" s="166" t="s">
        <v>1060</v>
      </c>
      <c r="AI646" s="168">
        <v>0</v>
      </c>
      <c r="AJ646" s="168">
        <v>0</v>
      </c>
      <c r="AP646" s="206"/>
      <c r="AQ646" s="207"/>
      <c r="AR646" s="207"/>
      <c r="AS646" s="207"/>
      <c r="AT646" s="208"/>
      <c r="AU646" s="207"/>
      <c r="AV646" s="208"/>
    </row>
    <row r="647" spans="1:48" s="205" customFormat="1" ht="15">
      <c r="A647" s="145"/>
      <c r="B647" s="166">
        <v>2183</v>
      </c>
      <c r="C647" s="167">
        <v>78223</v>
      </c>
      <c r="D647" s="166" t="s">
        <v>1053</v>
      </c>
      <c r="E647" s="168" t="s">
        <v>2032</v>
      </c>
      <c r="F647" s="166">
        <v>20</v>
      </c>
      <c r="G647" s="168"/>
      <c r="H647" s="168"/>
      <c r="I647" s="168"/>
      <c r="J647" s="168">
        <v>0</v>
      </c>
      <c r="K647" s="168" t="s">
        <v>2023</v>
      </c>
      <c r="L647" s="168"/>
      <c r="M647" s="168" t="s">
        <v>2033</v>
      </c>
      <c r="N647" s="169">
        <v>40476</v>
      </c>
      <c r="O647" s="169">
        <v>40476</v>
      </c>
      <c r="P647" s="168" t="s">
        <v>2034</v>
      </c>
      <c r="Q647" s="166">
        <v>700</v>
      </c>
      <c r="R647" s="166">
        <v>14050</v>
      </c>
      <c r="S647" s="170">
        <v>14298.63</v>
      </c>
      <c r="T647" s="166">
        <v>14056</v>
      </c>
      <c r="U647" s="170">
        <v>14298.63</v>
      </c>
      <c r="V647" s="170">
        <f t="shared" si="29"/>
        <v>0</v>
      </c>
      <c r="W647" s="171">
        <v>0</v>
      </c>
      <c r="X647" s="166">
        <v>54260</v>
      </c>
      <c r="Y647" s="170">
        <v>0</v>
      </c>
      <c r="Z647" s="168" t="s">
        <v>1053</v>
      </c>
      <c r="AA647" s="168"/>
      <c r="AB647" s="168" t="s">
        <v>2035</v>
      </c>
      <c r="AC647" s="168"/>
      <c r="AD647" s="168" t="s">
        <v>1058</v>
      </c>
      <c r="AE647" s="168" t="s">
        <v>1059</v>
      </c>
      <c r="AF647" s="166" t="s">
        <v>284</v>
      </c>
      <c r="AG647" s="168"/>
      <c r="AH647" s="166" t="s">
        <v>1060</v>
      </c>
      <c r="AI647" s="168">
        <v>0</v>
      </c>
      <c r="AJ647" s="168">
        <v>0</v>
      </c>
      <c r="AP647" s="206"/>
      <c r="AQ647" s="207"/>
      <c r="AR647" s="207"/>
      <c r="AS647" s="207"/>
      <c r="AT647" s="208"/>
      <c r="AU647" s="207"/>
      <c r="AV647" s="208"/>
    </row>
    <row r="648" spans="1:48" s="205" customFormat="1" ht="15">
      <c r="A648" s="145"/>
      <c r="B648" s="166">
        <v>2183</v>
      </c>
      <c r="C648" s="167">
        <v>77836</v>
      </c>
      <c r="D648" s="166">
        <v>75159</v>
      </c>
      <c r="E648" s="168" t="s">
        <v>2036</v>
      </c>
      <c r="F648" s="166">
        <v>0</v>
      </c>
      <c r="G648" s="168"/>
      <c r="H648" s="168"/>
      <c r="I648" s="168"/>
      <c r="J648" s="168">
        <v>0</v>
      </c>
      <c r="K648" s="168" t="s">
        <v>2037</v>
      </c>
      <c r="L648" s="168"/>
      <c r="M648" s="168"/>
      <c r="N648" s="169">
        <v>40344</v>
      </c>
      <c r="O648" s="169">
        <v>40344</v>
      </c>
      <c r="P648" s="168" t="s">
        <v>2038</v>
      </c>
      <c r="Q648" s="166">
        <v>500</v>
      </c>
      <c r="R648" s="166">
        <v>14070</v>
      </c>
      <c r="S648" s="170">
        <v>1224.1600000000001</v>
      </c>
      <c r="T648" s="166">
        <v>14076</v>
      </c>
      <c r="U648" s="170">
        <v>1224.1600000000001</v>
      </c>
      <c r="V648" s="170">
        <f t="shared" si="29"/>
        <v>0</v>
      </c>
      <c r="W648" s="171">
        <v>0</v>
      </c>
      <c r="X648" s="166">
        <v>51260</v>
      </c>
      <c r="Y648" s="170">
        <v>0</v>
      </c>
      <c r="Z648" s="168" t="s">
        <v>1053</v>
      </c>
      <c r="AA648" s="168"/>
      <c r="AB648" s="168" t="s">
        <v>2039</v>
      </c>
      <c r="AC648" s="168"/>
      <c r="AD648" s="168" t="s">
        <v>1058</v>
      </c>
      <c r="AE648" s="168" t="s">
        <v>1059</v>
      </c>
      <c r="AF648" s="166" t="s">
        <v>284</v>
      </c>
      <c r="AG648" s="168"/>
      <c r="AH648" s="166" t="s">
        <v>1060</v>
      </c>
      <c r="AI648" s="168">
        <v>0</v>
      </c>
      <c r="AJ648" s="168">
        <v>0</v>
      </c>
      <c r="AP648" s="206"/>
      <c r="AQ648" s="207"/>
      <c r="AR648" s="207"/>
      <c r="AS648" s="207"/>
      <c r="AT648" s="208"/>
      <c r="AU648" s="207"/>
      <c r="AV648" s="208"/>
    </row>
    <row r="649" spans="1:48" s="205" customFormat="1" ht="15">
      <c r="A649" s="145"/>
      <c r="B649" s="166">
        <v>2183</v>
      </c>
      <c r="C649" s="167">
        <v>77835</v>
      </c>
      <c r="D649" s="166">
        <v>75159</v>
      </c>
      <c r="E649" s="168" t="s">
        <v>2040</v>
      </c>
      <c r="F649" s="166">
        <v>0</v>
      </c>
      <c r="G649" s="168"/>
      <c r="H649" s="168"/>
      <c r="I649" s="168"/>
      <c r="J649" s="168">
        <v>0</v>
      </c>
      <c r="K649" s="168" t="s">
        <v>2037</v>
      </c>
      <c r="L649" s="168"/>
      <c r="M649" s="168"/>
      <c r="N649" s="169">
        <v>40344</v>
      </c>
      <c r="O649" s="169">
        <v>40344</v>
      </c>
      <c r="P649" s="168" t="s">
        <v>2038</v>
      </c>
      <c r="Q649" s="166">
        <v>500</v>
      </c>
      <c r="R649" s="166">
        <v>14070</v>
      </c>
      <c r="S649" s="170">
        <v>12.13</v>
      </c>
      <c r="T649" s="166">
        <v>14076</v>
      </c>
      <c r="U649" s="170">
        <v>12.13</v>
      </c>
      <c r="V649" s="170">
        <f t="shared" si="29"/>
        <v>0</v>
      </c>
      <c r="W649" s="171">
        <v>0</v>
      </c>
      <c r="X649" s="166">
        <v>51260</v>
      </c>
      <c r="Y649" s="170">
        <v>0</v>
      </c>
      <c r="Z649" s="168" t="s">
        <v>1053</v>
      </c>
      <c r="AA649" s="168"/>
      <c r="AB649" s="168" t="s">
        <v>2041</v>
      </c>
      <c r="AC649" s="168"/>
      <c r="AD649" s="168" t="s">
        <v>1058</v>
      </c>
      <c r="AE649" s="168" t="s">
        <v>1059</v>
      </c>
      <c r="AF649" s="166" t="s">
        <v>284</v>
      </c>
      <c r="AG649" s="168"/>
      <c r="AH649" s="166" t="s">
        <v>1060</v>
      </c>
      <c r="AI649" s="168">
        <v>0</v>
      </c>
      <c r="AJ649" s="168">
        <v>0</v>
      </c>
      <c r="AP649" s="206"/>
      <c r="AQ649" s="207"/>
      <c r="AR649" s="207"/>
      <c r="AS649" s="207"/>
      <c r="AT649" s="208"/>
      <c r="AU649" s="207"/>
      <c r="AV649" s="208"/>
    </row>
    <row r="650" spans="1:48" s="205" customFormat="1" ht="15">
      <c r="A650" s="145"/>
      <c r="B650" s="166">
        <v>2183</v>
      </c>
      <c r="C650" s="167">
        <v>77834</v>
      </c>
      <c r="D650" s="166">
        <v>75159</v>
      </c>
      <c r="E650" s="168" t="s">
        <v>2042</v>
      </c>
      <c r="F650" s="166">
        <v>0</v>
      </c>
      <c r="G650" s="168"/>
      <c r="H650" s="168"/>
      <c r="I650" s="168"/>
      <c r="J650" s="168">
        <v>0</v>
      </c>
      <c r="K650" s="168" t="s">
        <v>2037</v>
      </c>
      <c r="L650" s="168"/>
      <c r="M650" s="168"/>
      <c r="N650" s="169">
        <v>40344</v>
      </c>
      <c r="O650" s="169">
        <v>40344</v>
      </c>
      <c r="P650" s="168" t="s">
        <v>2038</v>
      </c>
      <c r="Q650" s="166">
        <v>500</v>
      </c>
      <c r="R650" s="166">
        <v>14070</v>
      </c>
      <c r="S650" s="170">
        <v>418.68</v>
      </c>
      <c r="T650" s="166">
        <v>14076</v>
      </c>
      <c r="U650" s="170">
        <v>418.68</v>
      </c>
      <c r="V650" s="170">
        <f t="shared" si="29"/>
        <v>0</v>
      </c>
      <c r="W650" s="171">
        <v>0</v>
      </c>
      <c r="X650" s="166">
        <v>51260</v>
      </c>
      <c r="Y650" s="170">
        <v>0</v>
      </c>
      <c r="Z650" s="168" t="s">
        <v>1053</v>
      </c>
      <c r="AA650" s="168"/>
      <c r="AB650" s="168" t="s">
        <v>2043</v>
      </c>
      <c r="AC650" s="168"/>
      <c r="AD650" s="168" t="s">
        <v>1058</v>
      </c>
      <c r="AE650" s="168" t="s">
        <v>1059</v>
      </c>
      <c r="AF650" s="166" t="s">
        <v>284</v>
      </c>
      <c r="AG650" s="168"/>
      <c r="AH650" s="166" t="s">
        <v>1060</v>
      </c>
      <c r="AI650" s="168">
        <v>0</v>
      </c>
      <c r="AJ650" s="168">
        <v>0</v>
      </c>
      <c r="AP650" s="206"/>
      <c r="AQ650" s="207"/>
      <c r="AR650" s="207"/>
      <c r="AS650" s="207"/>
      <c r="AT650" s="208"/>
      <c r="AU650" s="207"/>
      <c r="AV650" s="208"/>
    </row>
    <row r="651" spans="1:48" s="205" customFormat="1" ht="15">
      <c r="A651" s="145"/>
      <c r="B651" s="166">
        <v>2183</v>
      </c>
      <c r="C651" s="167">
        <v>77791</v>
      </c>
      <c r="D651" s="166" t="s">
        <v>1053</v>
      </c>
      <c r="E651" s="168" t="s">
        <v>2044</v>
      </c>
      <c r="F651" s="166">
        <v>0</v>
      </c>
      <c r="G651" s="168"/>
      <c r="H651" s="168"/>
      <c r="I651" s="168"/>
      <c r="J651" s="168">
        <v>0</v>
      </c>
      <c r="K651" s="168" t="s">
        <v>2045</v>
      </c>
      <c r="L651" s="168"/>
      <c r="M651" s="168"/>
      <c r="N651" s="169">
        <v>40435</v>
      </c>
      <c r="O651" s="169">
        <v>40435</v>
      </c>
      <c r="P651" s="168" t="s">
        <v>2046</v>
      </c>
      <c r="Q651" s="166">
        <v>1000</v>
      </c>
      <c r="R651" s="166">
        <v>14010</v>
      </c>
      <c r="S651" s="170">
        <v>1098.69</v>
      </c>
      <c r="T651" s="166">
        <v>14016</v>
      </c>
      <c r="U651" s="170">
        <v>1098.69</v>
      </c>
      <c r="V651" s="170">
        <f t="shared" si="29"/>
        <v>0</v>
      </c>
      <c r="W651" s="171">
        <v>0</v>
      </c>
      <c r="X651" s="166">
        <v>57260</v>
      </c>
      <c r="Y651" s="170">
        <v>0</v>
      </c>
      <c r="Z651" s="168" t="s">
        <v>1053</v>
      </c>
      <c r="AA651" s="168"/>
      <c r="AB651" s="168">
        <v>23562</v>
      </c>
      <c r="AC651" s="168"/>
      <c r="AD651" s="168" t="s">
        <v>1058</v>
      </c>
      <c r="AE651" s="168" t="s">
        <v>1059</v>
      </c>
      <c r="AF651" s="166" t="s">
        <v>284</v>
      </c>
      <c r="AG651" s="168"/>
      <c r="AH651" s="166" t="s">
        <v>1060</v>
      </c>
      <c r="AI651" s="168">
        <v>0</v>
      </c>
      <c r="AJ651" s="168">
        <v>0</v>
      </c>
      <c r="AP651" s="206"/>
      <c r="AQ651" s="207"/>
      <c r="AR651" s="207"/>
      <c r="AS651" s="207"/>
      <c r="AT651" s="208"/>
      <c r="AU651" s="207"/>
      <c r="AV651" s="208"/>
    </row>
    <row r="652" spans="1:48" s="205" customFormat="1" ht="15">
      <c r="A652" s="145"/>
      <c r="B652" s="166">
        <v>2183</v>
      </c>
      <c r="C652" s="167">
        <v>77760</v>
      </c>
      <c r="D652" s="166" t="s">
        <v>1053</v>
      </c>
      <c r="E652" s="168" t="s">
        <v>2047</v>
      </c>
      <c r="F652" s="166">
        <v>0</v>
      </c>
      <c r="G652" s="168"/>
      <c r="H652" s="168" t="s">
        <v>2048</v>
      </c>
      <c r="I652" s="168"/>
      <c r="J652" s="168">
        <v>2010</v>
      </c>
      <c r="K652" s="168" t="s">
        <v>2049</v>
      </c>
      <c r="L652" s="168" t="s">
        <v>1413</v>
      </c>
      <c r="M652" s="168" t="s">
        <v>1286</v>
      </c>
      <c r="N652" s="169">
        <v>40452</v>
      </c>
      <c r="O652" s="169">
        <v>40452</v>
      </c>
      <c r="P652" s="168" t="s">
        <v>2050</v>
      </c>
      <c r="Q652" s="166">
        <v>900</v>
      </c>
      <c r="R652" s="166">
        <v>14040</v>
      </c>
      <c r="S652" s="170">
        <v>232081.5</v>
      </c>
      <c r="T652" s="166">
        <v>14046</v>
      </c>
      <c r="U652" s="170">
        <v>232081.5</v>
      </c>
      <c r="V652" s="170">
        <f t="shared" si="29"/>
        <v>0</v>
      </c>
      <c r="W652" s="171">
        <v>0</v>
      </c>
      <c r="X652" s="166">
        <v>51260</v>
      </c>
      <c r="Y652" s="170">
        <v>0</v>
      </c>
      <c r="Z652" s="168" t="s">
        <v>1053</v>
      </c>
      <c r="AA652" s="168"/>
      <c r="AB652" s="168">
        <v>1421690</v>
      </c>
      <c r="AC652" s="168">
        <v>2035</v>
      </c>
      <c r="AD652" s="168" t="s">
        <v>1058</v>
      </c>
      <c r="AE652" s="168" t="s">
        <v>1059</v>
      </c>
      <c r="AF652" s="166" t="s">
        <v>284</v>
      </c>
      <c r="AG652" s="168"/>
      <c r="AH652" s="166" t="s">
        <v>1060</v>
      </c>
      <c r="AI652" s="168">
        <v>0</v>
      </c>
      <c r="AJ652" s="168">
        <v>0</v>
      </c>
      <c r="AP652" s="206"/>
      <c r="AQ652" s="207"/>
      <c r="AR652" s="207"/>
      <c r="AS652" s="207"/>
      <c r="AT652" s="208"/>
      <c r="AU652" s="207"/>
      <c r="AV652" s="208"/>
    </row>
    <row r="653" spans="1:48" s="205" customFormat="1" ht="15">
      <c r="A653" s="145"/>
      <c r="B653" s="166">
        <v>2183</v>
      </c>
      <c r="C653" s="167">
        <v>77561</v>
      </c>
      <c r="D653" s="166" t="s">
        <v>1053</v>
      </c>
      <c r="E653" s="168" t="s">
        <v>2051</v>
      </c>
      <c r="F653" s="166">
        <v>0</v>
      </c>
      <c r="G653" s="168"/>
      <c r="H653" s="168"/>
      <c r="I653" s="168"/>
      <c r="J653" s="168">
        <v>0</v>
      </c>
      <c r="K653" s="168" t="s">
        <v>1974</v>
      </c>
      <c r="L653" s="168"/>
      <c r="M653" s="168"/>
      <c r="N653" s="169">
        <v>40452</v>
      </c>
      <c r="O653" s="169">
        <v>40452</v>
      </c>
      <c r="P653" s="168" t="s">
        <v>2052</v>
      </c>
      <c r="Q653" s="166">
        <v>300</v>
      </c>
      <c r="R653" s="166">
        <v>14110</v>
      </c>
      <c r="S653" s="170">
        <v>20775</v>
      </c>
      <c r="T653" s="166">
        <v>14116</v>
      </c>
      <c r="U653" s="170">
        <v>20775</v>
      </c>
      <c r="V653" s="170">
        <f t="shared" si="29"/>
        <v>0</v>
      </c>
      <c r="W653" s="171">
        <v>0</v>
      </c>
      <c r="X653" s="166">
        <v>70260</v>
      </c>
      <c r="Y653" s="170">
        <v>0</v>
      </c>
      <c r="Z653" s="168" t="s">
        <v>1053</v>
      </c>
      <c r="AA653" s="168"/>
      <c r="AB653" s="168">
        <v>11482</v>
      </c>
      <c r="AC653" s="168"/>
      <c r="AD653" s="168" t="s">
        <v>1058</v>
      </c>
      <c r="AE653" s="168" t="s">
        <v>1059</v>
      </c>
      <c r="AF653" s="166" t="s">
        <v>284</v>
      </c>
      <c r="AG653" s="168"/>
      <c r="AH653" s="166" t="s">
        <v>1060</v>
      </c>
      <c r="AI653" s="168">
        <v>0</v>
      </c>
      <c r="AJ653" s="168">
        <v>0</v>
      </c>
      <c r="AP653" s="206"/>
      <c r="AQ653" s="207"/>
      <c r="AR653" s="207"/>
      <c r="AS653" s="207"/>
      <c r="AT653" s="208"/>
      <c r="AU653" s="207"/>
      <c r="AV653" s="208"/>
    </row>
    <row r="654" spans="1:48" s="205" customFormat="1" ht="15">
      <c r="A654" s="145"/>
      <c r="B654" s="166">
        <v>2183</v>
      </c>
      <c r="C654" s="167">
        <v>77322</v>
      </c>
      <c r="D654" s="166" t="s">
        <v>1053</v>
      </c>
      <c r="E654" s="168" t="s">
        <v>415</v>
      </c>
      <c r="F654" s="166">
        <v>0</v>
      </c>
      <c r="G654" s="168"/>
      <c r="H654" s="168"/>
      <c r="I654" s="168"/>
      <c r="J654" s="168">
        <v>0</v>
      </c>
      <c r="K654" s="168" t="s">
        <v>2053</v>
      </c>
      <c r="L654" s="168"/>
      <c r="M654" s="168"/>
      <c r="N654" s="169">
        <v>40405</v>
      </c>
      <c r="O654" s="169">
        <v>40405</v>
      </c>
      <c r="P654" s="168" t="s">
        <v>2054</v>
      </c>
      <c r="Q654" s="166">
        <v>1000</v>
      </c>
      <c r="R654" s="166">
        <v>14080</v>
      </c>
      <c r="S654" s="170">
        <v>1127.8399999999999</v>
      </c>
      <c r="T654" s="166">
        <v>14086</v>
      </c>
      <c r="U654" s="170">
        <v>1127.8399999999999</v>
      </c>
      <c r="V654" s="170">
        <f t="shared" ref="V654:V717" si="30">S654-U654</f>
        <v>0</v>
      </c>
      <c r="W654" s="171">
        <v>0</v>
      </c>
      <c r="X654" s="166">
        <v>57260</v>
      </c>
      <c r="Y654" s="170">
        <v>0</v>
      </c>
      <c r="Z654" s="168" t="s">
        <v>1053</v>
      </c>
      <c r="AA654" s="168"/>
      <c r="AB654" s="168">
        <v>36900</v>
      </c>
      <c r="AC654" s="168"/>
      <c r="AD654" s="168" t="s">
        <v>1058</v>
      </c>
      <c r="AE654" s="168" t="s">
        <v>1059</v>
      </c>
      <c r="AF654" s="166" t="s">
        <v>284</v>
      </c>
      <c r="AG654" s="168"/>
      <c r="AH654" s="166" t="s">
        <v>1060</v>
      </c>
      <c r="AI654" s="168">
        <v>0</v>
      </c>
      <c r="AJ654" s="168">
        <v>0</v>
      </c>
      <c r="AP654" s="206"/>
      <c r="AQ654" s="207"/>
      <c r="AR654" s="207"/>
      <c r="AS654" s="207"/>
      <c r="AT654" s="208"/>
      <c r="AU654" s="207"/>
      <c r="AV654" s="208"/>
    </row>
    <row r="655" spans="1:48" s="205" customFormat="1" ht="15">
      <c r="A655" s="145"/>
      <c r="B655" s="166">
        <v>2183</v>
      </c>
      <c r="C655" s="167">
        <v>77321</v>
      </c>
      <c r="D655" s="166" t="s">
        <v>1053</v>
      </c>
      <c r="E655" s="168" t="s">
        <v>413</v>
      </c>
      <c r="F655" s="166">
        <v>0</v>
      </c>
      <c r="G655" s="168"/>
      <c r="H655" s="168"/>
      <c r="I655" s="168"/>
      <c r="J655" s="168">
        <v>0</v>
      </c>
      <c r="K655" s="168" t="s">
        <v>2055</v>
      </c>
      <c r="L655" s="168"/>
      <c r="M655" s="168"/>
      <c r="N655" s="169">
        <v>40405</v>
      </c>
      <c r="O655" s="169">
        <v>40405</v>
      </c>
      <c r="P655" s="168" t="s">
        <v>2054</v>
      </c>
      <c r="Q655" s="166">
        <v>1000</v>
      </c>
      <c r="R655" s="166">
        <v>14080</v>
      </c>
      <c r="S655" s="170">
        <v>790.01</v>
      </c>
      <c r="T655" s="166">
        <v>14086</v>
      </c>
      <c r="U655" s="170">
        <v>790.01</v>
      </c>
      <c r="V655" s="170">
        <f t="shared" si="30"/>
        <v>0</v>
      </c>
      <c r="W655" s="171">
        <v>0</v>
      </c>
      <c r="X655" s="166">
        <v>57260</v>
      </c>
      <c r="Y655" s="170">
        <v>0</v>
      </c>
      <c r="Z655" s="168" t="s">
        <v>1053</v>
      </c>
      <c r="AA655" s="168"/>
      <c r="AB655" s="168">
        <v>36818</v>
      </c>
      <c r="AC655" s="168"/>
      <c r="AD655" s="168" t="s">
        <v>1058</v>
      </c>
      <c r="AE655" s="168" t="s">
        <v>1059</v>
      </c>
      <c r="AF655" s="166" t="s">
        <v>284</v>
      </c>
      <c r="AG655" s="168"/>
      <c r="AH655" s="166" t="s">
        <v>1060</v>
      </c>
      <c r="AI655" s="168">
        <v>0</v>
      </c>
      <c r="AJ655" s="168">
        <v>0</v>
      </c>
      <c r="AP655" s="206"/>
      <c r="AQ655" s="207"/>
      <c r="AR655" s="207"/>
      <c r="AS655" s="207"/>
      <c r="AT655" s="208"/>
      <c r="AU655" s="207"/>
      <c r="AV655" s="208"/>
    </row>
    <row r="656" spans="1:48" s="205" customFormat="1" ht="15">
      <c r="A656" s="145"/>
      <c r="B656" s="166">
        <v>2183</v>
      </c>
      <c r="C656" s="167">
        <v>77219</v>
      </c>
      <c r="D656" s="166" t="s">
        <v>1053</v>
      </c>
      <c r="E656" s="168" t="s">
        <v>2056</v>
      </c>
      <c r="F656" s="166">
        <v>100</v>
      </c>
      <c r="G656" s="168"/>
      <c r="H656" s="168"/>
      <c r="I656" s="168"/>
      <c r="J656" s="168">
        <v>0</v>
      </c>
      <c r="K656" s="168" t="s">
        <v>2023</v>
      </c>
      <c r="L656" s="168"/>
      <c r="M656" s="168"/>
      <c r="N656" s="169">
        <v>40432</v>
      </c>
      <c r="O656" s="169">
        <v>40432</v>
      </c>
      <c r="P656" s="168" t="s">
        <v>2057</v>
      </c>
      <c r="Q656" s="166">
        <v>700</v>
      </c>
      <c r="R656" s="166">
        <v>14050</v>
      </c>
      <c r="S656" s="170">
        <v>4841.2700000000004</v>
      </c>
      <c r="T656" s="166">
        <v>14056</v>
      </c>
      <c r="U656" s="170">
        <v>4841.2700000000004</v>
      </c>
      <c r="V656" s="170">
        <f t="shared" si="30"/>
        <v>0</v>
      </c>
      <c r="W656" s="171">
        <v>0</v>
      </c>
      <c r="X656" s="166">
        <v>54260</v>
      </c>
      <c r="Y656" s="170">
        <v>0</v>
      </c>
      <c r="Z656" s="168" t="s">
        <v>1053</v>
      </c>
      <c r="AA656" s="168"/>
      <c r="AB656" s="168" t="s">
        <v>2058</v>
      </c>
      <c r="AC656" s="168"/>
      <c r="AD656" s="168" t="s">
        <v>1058</v>
      </c>
      <c r="AE656" s="168" t="s">
        <v>1059</v>
      </c>
      <c r="AF656" s="166" t="s">
        <v>284</v>
      </c>
      <c r="AG656" s="168"/>
      <c r="AH656" s="166" t="s">
        <v>1060</v>
      </c>
      <c r="AI656" s="168">
        <v>0</v>
      </c>
      <c r="AJ656" s="168">
        <v>0</v>
      </c>
      <c r="AP656" s="206"/>
      <c r="AQ656" s="207"/>
      <c r="AR656" s="207"/>
      <c r="AS656" s="207"/>
      <c r="AT656" s="208"/>
      <c r="AU656" s="207"/>
      <c r="AV656" s="208"/>
    </row>
    <row r="657" spans="1:48" s="205" customFormat="1" ht="15">
      <c r="A657" s="145"/>
      <c r="B657" s="166">
        <v>2183</v>
      </c>
      <c r="C657" s="167">
        <v>77218</v>
      </c>
      <c r="D657" s="166" t="s">
        <v>1053</v>
      </c>
      <c r="E657" s="168" t="s">
        <v>2059</v>
      </c>
      <c r="F657" s="166">
        <v>386</v>
      </c>
      <c r="G657" s="168"/>
      <c r="H657" s="168"/>
      <c r="I657" s="168"/>
      <c r="J657" s="168">
        <v>0</v>
      </c>
      <c r="K657" s="168" t="s">
        <v>2023</v>
      </c>
      <c r="L657" s="168"/>
      <c r="M657" s="168"/>
      <c r="N657" s="169">
        <v>40432</v>
      </c>
      <c r="O657" s="169">
        <v>40432</v>
      </c>
      <c r="P657" s="168" t="s">
        <v>2057</v>
      </c>
      <c r="Q657" s="166">
        <v>700</v>
      </c>
      <c r="R657" s="166">
        <v>14050</v>
      </c>
      <c r="S657" s="170">
        <v>18687.3</v>
      </c>
      <c r="T657" s="166">
        <v>14056</v>
      </c>
      <c r="U657" s="170">
        <v>18687.3</v>
      </c>
      <c r="V657" s="170">
        <f t="shared" si="30"/>
        <v>0</v>
      </c>
      <c r="W657" s="171">
        <v>0</v>
      </c>
      <c r="X657" s="166">
        <v>54260</v>
      </c>
      <c r="Y657" s="170">
        <v>0</v>
      </c>
      <c r="Z657" s="168" t="s">
        <v>1053</v>
      </c>
      <c r="AA657" s="168"/>
      <c r="AB657" s="168" t="s">
        <v>2060</v>
      </c>
      <c r="AC657" s="168"/>
      <c r="AD657" s="168" t="s">
        <v>1058</v>
      </c>
      <c r="AE657" s="168" t="s">
        <v>1059</v>
      </c>
      <c r="AF657" s="166" t="s">
        <v>284</v>
      </c>
      <c r="AG657" s="168"/>
      <c r="AH657" s="166" t="s">
        <v>1060</v>
      </c>
      <c r="AI657" s="168">
        <v>0</v>
      </c>
      <c r="AJ657" s="168">
        <v>0</v>
      </c>
      <c r="AP657" s="206"/>
      <c r="AQ657" s="207"/>
      <c r="AR657" s="207"/>
      <c r="AS657" s="207"/>
      <c r="AT657" s="208"/>
      <c r="AU657" s="207"/>
      <c r="AV657" s="208"/>
    </row>
    <row r="658" spans="1:48" s="205" customFormat="1" ht="15">
      <c r="A658" s="145"/>
      <c r="B658" s="166">
        <v>2183</v>
      </c>
      <c r="C658" s="167">
        <v>77217</v>
      </c>
      <c r="D658" s="166" t="s">
        <v>1053</v>
      </c>
      <c r="E658" s="168" t="s">
        <v>2061</v>
      </c>
      <c r="F658" s="166">
        <v>486</v>
      </c>
      <c r="G658" s="168"/>
      <c r="H658" s="168"/>
      <c r="I658" s="168"/>
      <c r="J658" s="168">
        <v>0</v>
      </c>
      <c r="K658" s="168" t="s">
        <v>2023</v>
      </c>
      <c r="L658" s="168"/>
      <c r="M658" s="168"/>
      <c r="N658" s="169">
        <v>40432</v>
      </c>
      <c r="O658" s="169">
        <v>40432</v>
      </c>
      <c r="P658" s="168" t="s">
        <v>2057</v>
      </c>
      <c r="Q658" s="166">
        <v>700</v>
      </c>
      <c r="R658" s="166">
        <v>14050</v>
      </c>
      <c r="S658" s="170">
        <v>24055.88</v>
      </c>
      <c r="T658" s="166">
        <v>14056</v>
      </c>
      <c r="U658" s="170">
        <v>24055.88</v>
      </c>
      <c r="V658" s="170">
        <f t="shared" si="30"/>
        <v>0</v>
      </c>
      <c r="W658" s="171">
        <v>0</v>
      </c>
      <c r="X658" s="166">
        <v>54260</v>
      </c>
      <c r="Y658" s="170">
        <v>0</v>
      </c>
      <c r="Z658" s="168" t="s">
        <v>1053</v>
      </c>
      <c r="AA658" s="168"/>
      <c r="AB658" s="168" t="s">
        <v>2062</v>
      </c>
      <c r="AC658" s="168"/>
      <c r="AD658" s="168" t="s">
        <v>1058</v>
      </c>
      <c r="AE658" s="168" t="s">
        <v>1059</v>
      </c>
      <c r="AF658" s="166" t="s">
        <v>284</v>
      </c>
      <c r="AG658" s="168"/>
      <c r="AH658" s="166" t="s">
        <v>1060</v>
      </c>
      <c r="AI658" s="168">
        <v>0</v>
      </c>
      <c r="AJ658" s="168">
        <v>0</v>
      </c>
      <c r="AP658" s="206"/>
      <c r="AQ658" s="207"/>
      <c r="AR658" s="207"/>
      <c r="AS658" s="207"/>
      <c r="AT658" s="208"/>
      <c r="AU658" s="207"/>
      <c r="AV658" s="208"/>
    </row>
    <row r="659" spans="1:48" s="205" customFormat="1" ht="15">
      <c r="A659" s="145"/>
      <c r="B659" s="166">
        <v>2183</v>
      </c>
      <c r="C659" s="167">
        <v>77100</v>
      </c>
      <c r="D659" s="166" t="s">
        <v>1053</v>
      </c>
      <c r="E659" s="168" t="s">
        <v>2063</v>
      </c>
      <c r="F659" s="166">
        <v>0</v>
      </c>
      <c r="G659" s="168"/>
      <c r="H659" s="168"/>
      <c r="I659" s="168"/>
      <c r="J659" s="168">
        <v>0</v>
      </c>
      <c r="K659" s="168" t="s">
        <v>2045</v>
      </c>
      <c r="L659" s="168"/>
      <c r="M659" s="168"/>
      <c r="N659" s="169">
        <v>40435</v>
      </c>
      <c r="O659" s="169">
        <v>40435</v>
      </c>
      <c r="P659" s="168" t="s">
        <v>2046</v>
      </c>
      <c r="Q659" s="166">
        <v>1000</v>
      </c>
      <c r="R659" s="166">
        <v>14010</v>
      </c>
      <c r="S659" s="170">
        <v>932.5</v>
      </c>
      <c r="T659" s="166">
        <v>14016</v>
      </c>
      <c r="U659" s="170">
        <v>932.5</v>
      </c>
      <c r="V659" s="170">
        <f t="shared" si="30"/>
        <v>0</v>
      </c>
      <c r="W659" s="171">
        <v>0</v>
      </c>
      <c r="X659" s="166">
        <v>57260</v>
      </c>
      <c r="Y659" s="170">
        <v>0</v>
      </c>
      <c r="Z659" s="168" t="s">
        <v>1053</v>
      </c>
      <c r="AA659" s="168"/>
      <c r="AB659" s="168">
        <v>23345</v>
      </c>
      <c r="AC659" s="168"/>
      <c r="AD659" s="168" t="s">
        <v>1058</v>
      </c>
      <c r="AE659" s="168" t="s">
        <v>1059</v>
      </c>
      <c r="AF659" s="166" t="s">
        <v>284</v>
      </c>
      <c r="AG659" s="168"/>
      <c r="AH659" s="166" t="s">
        <v>1060</v>
      </c>
      <c r="AI659" s="168">
        <v>0</v>
      </c>
      <c r="AJ659" s="168">
        <v>0</v>
      </c>
      <c r="AP659" s="206"/>
      <c r="AQ659" s="207"/>
      <c r="AR659" s="207"/>
      <c r="AS659" s="207"/>
      <c r="AT659" s="208"/>
      <c r="AU659" s="207"/>
      <c r="AV659" s="208"/>
    </row>
    <row r="660" spans="1:48" s="205" customFormat="1" ht="15">
      <c r="A660" s="145"/>
      <c r="B660" s="166">
        <v>2183</v>
      </c>
      <c r="C660" s="167">
        <v>76937</v>
      </c>
      <c r="D660" s="166" t="s">
        <v>1053</v>
      </c>
      <c r="E660" s="168" t="s">
        <v>2064</v>
      </c>
      <c r="F660" s="166">
        <v>1080</v>
      </c>
      <c r="G660" s="168"/>
      <c r="H660" s="168"/>
      <c r="I660" s="168"/>
      <c r="J660" s="168">
        <v>0</v>
      </c>
      <c r="K660" s="168" t="s">
        <v>2023</v>
      </c>
      <c r="L660" s="168"/>
      <c r="M660" s="168"/>
      <c r="N660" s="169">
        <v>40407</v>
      </c>
      <c r="O660" s="169">
        <v>40407</v>
      </c>
      <c r="P660" s="168" t="s">
        <v>2065</v>
      </c>
      <c r="Q660" s="166">
        <v>700</v>
      </c>
      <c r="R660" s="166">
        <v>14050</v>
      </c>
      <c r="S660" s="170">
        <v>36068</v>
      </c>
      <c r="T660" s="166">
        <v>14056</v>
      </c>
      <c r="U660" s="170">
        <v>36068</v>
      </c>
      <c r="V660" s="170">
        <f t="shared" si="30"/>
        <v>0</v>
      </c>
      <c r="W660" s="171">
        <v>0</v>
      </c>
      <c r="X660" s="166">
        <v>54260</v>
      </c>
      <c r="Y660" s="170">
        <v>0</v>
      </c>
      <c r="Z660" s="168" t="s">
        <v>1053</v>
      </c>
      <c r="AA660" s="168"/>
      <c r="AB660" s="168" t="s">
        <v>2066</v>
      </c>
      <c r="AC660" s="168"/>
      <c r="AD660" s="168" t="s">
        <v>1058</v>
      </c>
      <c r="AE660" s="168" t="s">
        <v>1059</v>
      </c>
      <c r="AF660" s="166" t="s">
        <v>284</v>
      </c>
      <c r="AG660" s="168"/>
      <c r="AH660" s="166" t="s">
        <v>1060</v>
      </c>
      <c r="AI660" s="168">
        <v>0</v>
      </c>
      <c r="AJ660" s="168">
        <v>0</v>
      </c>
      <c r="AP660" s="206"/>
      <c r="AQ660" s="207"/>
      <c r="AR660" s="207"/>
      <c r="AS660" s="207"/>
      <c r="AT660" s="208"/>
      <c r="AU660" s="207"/>
      <c r="AV660" s="208"/>
    </row>
    <row r="661" spans="1:48" s="205" customFormat="1" ht="15">
      <c r="A661" s="145"/>
      <c r="B661" s="166">
        <v>2183</v>
      </c>
      <c r="C661" s="167">
        <v>76800</v>
      </c>
      <c r="D661" s="166" t="s">
        <v>1053</v>
      </c>
      <c r="E661" s="168" t="s">
        <v>416</v>
      </c>
      <c r="F661" s="166">
        <v>0</v>
      </c>
      <c r="G661" s="168"/>
      <c r="H661" s="168"/>
      <c r="I661" s="168"/>
      <c r="J661" s="168">
        <v>0</v>
      </c>
      <c r="K661" s="168" t="s">
        <v>2067</v>
      </c>
      <c r="L661" s="168"/>
      <c r="M661" s="168"/>
      <c r="N661" s="169">
        <v>40405</v>
      </c>
      <c r="O661" s="169">
        <v>40405</v>
      </c>
      <c r="P661" s="168" t="s">
        <v>2054</v>
      </c>
      <c r="Q661" s="166">
        <v>1000</v>
      </c>
      <c r="R661" s="166">
        <v>14100</v>
      </c>
      <c r="S661" s="170">
        <v>8574.6</v>
      </c>
      <c r="T661" s="166">
        <v>14106</v>
      </c>
      <c r="U661" s="170">
        <v>8574.6</v>
      </c>
      <c r="V661" s="170">
        <f t="shared" si="30"/>
        <v>0</v>
      </c>
      <c r="W661" s="171">
        <v>0</v>
      </c>
      <c r="X661" s="166">
        <v>70260</v>
      </c>
      <c r="Y661" s="170">
        <v>0</v>
      </c>
      <c r="Z661" s="168" t="s">
        <v>1053</v>
      </c>
      <c r="AA661" s="168"/>
      <c r="AB661" s="168" t="s">
        <v>2068</v>
      </c>
      <c r="AC661" s="168"/>
      <c r="AD661" s="168" t="s">
        <v>1058</v>
      </c>
      <c r="AE661" s="168" t="s">
        <v>1059</v>
      </c>
      <c r="AF661" s="166" t="s">
        <v>284</v>
      </c>
      <c r="AG661" s="168"/>
      <c r="AH661" s="166" t="s">
        <v>1060</v>
      </c>
      <c r="AI661" s="168">
        <v>0</v>
      </c>
      <c r="AJ661" s="168">
        <v>0</v>
      </c>
      <c r="AP661" s="206"/>
      <c r="AQ661" s="207"/>
      <c r="AR661" s="207"/>
      <c r="AS661" s="207"/>
      <c r="AT661" s="208"/>
      <c r="AU661" s="207"/>
      <c r="AV661" s="208"/>
    </row>
    <row r="662" spans="1:48" s="205" customFormat="1" ht="15">
      <c r="A662" s="145"/>
      <c r="B662" s="166">
        <v>2183</v>
      </c>
      <c r="C662" s="167">
        <v>76744</v>
      </c>
      <c r="D662" s="166">
        <v>76648</v>
      </c>
      <c r="E662" s="168" t="s">
        <v>2069</v>
      </c>
      <c r="F662" s="166">
        <v>0</v>
      </c>
      <c r="G662" s="168"/>
      <c r="H662" s="168"/>
      <c r="I662" s="168"/>
      <c r="J662" s="168">
        <v>0</v>
      </c>
      <c r="K662" s="168" t="s">
        <v>2070</v>
      </c>
      <c r="L662" s="168"/>
      <c r="M662" s="168"/>
      <c r="N662" s="169">
        <v>40420</v>
      </c>
      <c r="O662" s="169">
        <v>40420</v>
      </c>
      <c r="P662" s="168" t="s">
        <v>2046</v>
      </c>
      <c r="Q662" s="166">
        <v>1000</v>
      </c>
      <c r="R662" s="166">
        <v>14010</v>
      </c>
      <c r="S662" s="170">
        <v>15273.58</v>
      </c>
      <c r="T662" s="166">
        <v>14016</v>
      </c>
      <c r="U662" s="170">
        <v>15273.58</v>
      </c>
      <c r="V662" s="170">
        <f t="shared" si="30"/>
        <v>0</v>
      </c>
      <c r="W662" s="171">
        <v>0</v>
      </c>
      <c r="X662" s="166">
        <v>57260</v>
      </c>
      <c r="Y662" s="170">
        <v>0</v>
      </c>
      <c r="Z662" s="168" t="s">
        <v>1053</v>
      </c>
      <c r="AA662" s="168"/>
      <c r="AB662" s="168" t="s">
        <v>2071</v>
      </c>
      <c r="AC662" s="168"/>
      <c r="AD662" s="168" t="s">
        <v>1058</v>
      </c>
      <c r="AE662" s="168" t="s">
        <v>1059</v>
      </c>
      <c r="AF662" s="166" t="s">
        <v>284</v>
      </c>
      <c r="AG662" s="168"/>
      <c r="AH662" s="166" t="s">
        <v>1060</v>
      </c>
      <c r="AI662" s="168">
        <v>0</v>
      </c>
      <c r="AJ662" s="168">
        <v>0</v>
      </c>
      <c r="AP662" s="206"/>
      <c r="AQ662" s="207"/>
      <c r="AR662" s="207"/>
      <c r="AS662" s="207"/>
      <c r="AT662" s="208"/>
      <c r="AU662" s="207"/>
      <c r="AV662" s="208"/>
    </row>
    <row r="663" spans="1:48" s="205" customFormat="1" ht="15">
      <c r="A663" s="145"/>
      <c r="B663" s="166">
        <v>2183</v>
      </c>
      <c r="C663" s="167">
        <v>76648</v>
      </c>
      <c r="D663" s="166" t="s">
        <v>1053</v>
      </c>
      <c r="E663" s="168" t="s">
        <v>411</v>
      </c>
      <c r="F663" s="166">
        <v>0</v>
      </c>
      <c r="G663" s="168"/>
      <c r="H663" s="168"/>
      <c r="I663" s="168"/>
      <c r="J663" s="168">
        <v>0</v>
      </c>
      <c r="K663" s="168" t="s">
        <v>2072</v>
      </c>
      <c r="L663" s="168"/>
      <c r="M663" s="168"/>
      <c r="N663" s="169">
        <v>40420</v>
      </c>
      <c r="O663" s="169">
        <v>40420</v>
      </c>
      <c r="P663" s="168" t="s">
        <v>2046</v>
      </c>
      <c r="Q663" s="166">
        <v>1000</v>
      </c>
      <c r="R663" s="166">
        <v>14010</v>
      </c>
      <c r="S663" s="170">
        <v>4595.6400000000003</v>
      </c>
      <c r="T663" s="166">
        <v>14016</v>
      </c>
      <c r="U663" s="170">
        <v>4595.6400000000003</v>
      </c>
      <c r="V663" s="170">
        <f t="shared" si="30"/>
        <v>0</v>
      </c>
      <c r="W663" s="171">
        <v>0</v>
      </c>
      <c r="X663" s="166">
        <v>57260</v>
      </c>
      <c r="Y663" s="170">
        <v>0</v>
      </c>
      <c r="Z663" s="168" t="s">
        <v>1053</v>
      </c>
      <c r="AA663" s="168"/>
      <c r="AB663" s="168">
        <v>22933</v>
      </c>
      <c r="AC663" s="168"/>
      <c r="AD663" s="168" t="s">
        <v>1058</v>
      </c>
      <c r="AE663" s="168" t="s">
        <v>1059</v>
      </c>
      <c r="AF663" s="166" t="s">
        <v>284</v>
      </c>
      <c r="AG663" s="168"/>
      <c r="AH663" s="166" t="s">
        <v>1060</v>
      </c>
      <c r="AI663" s="168">
        <v>0</v>
      </c>
      <c r="AJ663" s="168">
        <v>0</v>
      </c>
      <c r="AP663" s="206"/>
      <c r="AQ663" s="207"/>
      <c r="AR663" s="207"/>
      <c r="AS663" s="207"/>
      <c r="AT663" s="208"/>
      <c r="AU663" s="207"/>
      <c r="AV663" s="208"/>
    </row>
    <row r="664" spans="1:48" s="205" customFormat="1" ht="15">
      <c r="A664" s="145"/>
      <c r="B664" s="166">
        <v>2183</v>
      </c>
      <c r="C664" s="167">
        <v>76639</v>
      </c>
      <c r="D664" s="166" t="s">
        <v>1053</v>
      </c>
      <c r="E664" s="168" t="s">
        <v>414</v>
      </c>
      <c r="F664" s="166">
        <v>0</v>
      </c>
      <c r="G664" s="168"/>
      <c r="H664" s="168"/>
      <c r="I664" s="168"/>
      <c r="J664" s="168">
        <v>0</v>
      </c>
      <c r="K664" s="168" t="s">
        <v>2073</v>
      </c>
      <c r="L664" s="168"/>
      <c r="M664" s="168"/>
      <c r="N664" s="169">
        <v>40405</v>
      </c>
      <c r="O664" s="169">
        <v>40405</v>
      </c>
      <c r="P664" s="168" t="s">
        <v>2054</v>
      </c>
      <c r="Q664" s="166">
        <v>1000</v>
      </c>
      <c r="R664" s="166">
        <v>14080</v>
      </c>
      <c r="S664" s="170">
        <v>7000</v>
      </c>
      <c r="T664" s="166">
        <v>14086</v>
      </c>
      <c r="U664" s="170">
        <v>7000</v>
      </c>
      <c r="V664" s="170">
        <f t="shared" si="30"/>
        <v>0</v>
      </c>
      <c r="W664" s="171">
        <v>0</v>
      </c>
      <c r="X664" s="166">
        <v>57260</v>
      </c>
      <c r="Y664" s="170">
        <v>0</v>
      </c>
      <c r="Z664" s="168" t="s">
        <v>1053</v>
      </c>
      <c r="AA664" s="168"/>
      <c r="AB664" s="168">
        <v>43616</v>
      </c>
      <c r="AC664" s="168"/>
      <c r="AD664" s="168" t="s">
        <v>1058</v>
      </c>
      <c r="AE664" s="168" t="s">
        <v>1059</v>
      </c>
      <c r="AF664" s="166" t="s">
        <v>284</v>
      </c>
      <c r="AG664" s="168"/>
      <c r="AH664" s="166" t="s">
        <v>1060</v>
      </c>
      <c r="AI664" s="168">
        <v>0</v>
      </c>
      <c r="AJ664" s="168">
        <v>0</v>
      </c>
      <c r="AP664" s="206"/>
      <c r="AQ664" s="207"/>
      <c r="AR664" s="207"/>
      <c r="AS664" s="207"/>
      <c r="AT664" s="208"/>
      <c r="AU664" s="207"/>
      <c r="AV664" s="208"/>
    </row>
    <row r="665" spans="1:48" s="205" customFormat="1" ht="15">
      <c r="A665" s="145"/>
      <c r="B665" s="166">
        <v>2183</v>
      </c>
      <c r="C665" s="167">
        <v>76066</v>
      </c>
      <c r="D665" s="166" t="s">
        <v>1053</v>
      </c>
      <c r="E665" s="168" t="s">
        <v>417</v>
      </c>
      <c r="F665" s="166">
        <v>0</v>
      </c>
      <c r="G665" s="168"/>
      <c r="H665" s="168"/>
      <c r="I665" s="168"/>
      <c r="J665" s="168">
        <v>0</v>
      </c>
      <c r="K665" s="168" t="s">
        <v>1261</v>
      </c>
      <c r="L665" s="168"/>
      <c r="M665" s="168"/>
      <c r="N665" s="169">
        <v>40374</v>
      </c>
      <c r="O665" s="169">
        <v>40374</v>
      </c>
      <c r="P665" s="168" t="s">
        <v>2074</v>
      </c>
      <c r="Q665" s="166">
        <v>300</v>
      </c>
      <c r="R665" s="166">
        <v>14110</v>
      </c>
      <c r="S665" s="170">
        <v>1808.47</v>
      </c>
      <c r="T665" s="166">
        <v>14116</v>
      </c>
      <c r="U665" s="170">
        <v>1808.47</v>
      </c>
      <c r="V665" s="170">
        <f t="shared" si="30"/>
        <v>0</v>
      </c>
      <c r="W665" s="171">
        <v>0</v>
      </c>
      <c r="X665" s="166">
        <v>70260</v>
      </c>
      <c r="Y665" s="170">
        <v>0</v>
      </c>
      <c r="Z665" s="168" t="s">
        <v>1053</v>
      </c>
      <c r="AA665" s="168"/>
      <c r="AB665" s="168" t="s">
        <v>2075</v>
      </c>
      <c r="AC665" s="168"/>
      <c r="AD665" s="168" t="s">
        <v>1058</v>
      </c>
      <c r="AE665" s="168" t="s">
        <v>1059</v>
      </c>
      <c r="AF665" s="166" t="s">
        <v>284</v>
      </c>
      <c r="AG665" s="168"/>
      <c r="AH665" s="166" t="s">
        <v>1060</v>
      </c>
      <c r="AI665" s="168">
        <v>0</v>
      </c>
      <c r="AJ665" s="168">
        <v>0</v>
      </c>
      <c r="AP665" s="206"/>
      <c r="AQ665" s="207"/>
      <c r="AR665" s="207"/>
      <c r="AS665" s="207"/>
      <c r="AT665" s="208"/>
      <c r="AU665" s="207"/>
      <c r="AV665" s="208"/>
    </row>
    <row r="666" spans="1:48" s="205" customFormat="1" ht="15">
      <c r="A666" s="145"/>
      <c r="B666" s="166">
        <v>2183</v>
      </c>
      <c r="C666" s="167">
        <v>75671</v>
      </c>
      <c r="D666" s="166" t="s">
        <v>1053</v>
      </c>
      <c r="E666" s="168" t="s">
        <v>2076</v>
      </c>
      <c r="F666" s="166">
        <v>0</v>
      </c>
      <c r="G666" s="168"/>
      <c r="H666" s="168" t="s">
        <v>2077</v>
      </c>
      <c r="I666" s="168"/>
      <c r="J666" s="168">
        <v>2005</v>
      </c>
      <c r="K666" s="168" t="s">
        <v>2078</v>
      </c>
      <c r="L666" s="168" t="s">
        <v>2079</v>
      </c>
      <c r="M666" s="168" t="s">
        <v>1254</v>
      </c>
      <c r="N666" s="169">
        <v>40374</v>
      </c>
      <c r="O666" s="169">
        <v>40374</v>
      </c>
      <c r="P666" s="168" t="s">
        <v>2080</v>
      </c>
      <c r="Q666" s="166">
        <v>300</v>
      </c>
      <c r="R666" s="166">
        <v>14040</v>
      </c>
      <c r="S666" s="170">
        <v>15000.01</v>
      </c>
      <c r="T666" s="166">
        <v>14046</v>
      </c>
      <c r="U666" s="170">
        <v>15000.01</v>
      </c>
      <c r="V666" s="170">
        <f t="shared" si="30"/>
        <v>0</v>
      </c>
      <c r="W666" s="171">
        <v>0</v>
      </c>
      <c r="X666" s="166">
        <v>51260</v>
      </c>
      <c r="Y666" s="170">
        <v>0</v>
      </c>
      <c r="Z666" s="168" t="s">
        <v>1053</v>
      </c>
      <c r="AA666" s="168"/>
      <c r="AB666" s="168" t="s">
        <v>2081</v>
      </c>
      <c r="AC666" s="168">
        <v>6050</v>
      </c>
      <c r="AD666" s="168" t="s">
        <v>1058</v>
      </c>
      <c r="AE666" s="168" t="s">
        <v>1059</v>
      </c>
      <c r="AF666" s="166" t="s">
        <v>284</v>
      </c>
      <c r="AG666" s="168"/>
      <c r="AH666" s="166" t="s">
        <v>1060</v>
      </c>
      <c r="AI666" s="168">
        <v>0</v>
      </c>
      <c r="AJ666" s="168">
        <v>0</v>
      </c>
      <c r="AP666" s="206"/>
      <c r="AQ666" s="207"/>
      <c r="AR666" s="207"/>
      <c r="AS666" s="207"/>
      <c r="AT666" s="208"/>
      <c r="AU666" s="207"/>
      <c r="AV666" s="208"/>
    </row>
    <row r="667" spans="1:48" s="205" customFormat="1" ht="15">
      <c r="A667" s="145"/>
      <c r="B667" s="166">
        <v>2183</v>
      </c>
      <c r="C667" s="167">
        <v>75159</v>
      </c>
      <c r="D667" s="166" t="s">
        <v>1053</v>
      </c>
      <c r="E667" s="168" t="s">
        <v>2082</v>
      </c>
      <c r="F667" s="166">
        <v>0</v>
      </c>
      <c r="G667" s="168"/>
      <c r="H667" s="168"/>
      <c r="I667" s="168"/>
      <c r="J667" s="168">
        <v>0</v>
      </c>
      <c r="K667" s="168"/>
      <c r="L667" s="168"/>
      <c r="M667" s="168"/>
      <c r="N667" s="169">
        <v>40344</v>
      </c>
      <c r="O667" s="169">
        <v>40344</v>
      </c>
      <c r="P667" s="168" t="s">
        <v>2038</v>
      </c>
      <c r="Q667" s="166">
        <v>500</v>
      </c>
      <c r="R667" s="166">
        <v>14070</v>
      </c>
      <c r="S667" s="170">
        <v>9526.59</v>
      </c>
      <c r="T667" s="166">
        <v>14076</v>
      </c>
      <c r="U667" s="170">
        <v>9526.59</v>
      </c>
      <c r="V667" s="170">
        <f t="shared" si="30"/>
        <v>0</v>
      </c>
      <c r="W667" s="171">
        <v>0</v>
      </c>
      <c r="X667" s="166">
        <v>51260</v>
      </c>
      <c r="Y667" s="170">
        <v>0</v>
      </c>
      <c r="Z667" s="168" t="s">
        <v>1053</v>
      </c>
      <c r="AA667" s="168"/>
      <c r="AB667" s="168">
        <v>92441</v>
      </c>
      <c r="AC667" s="168"/>
      <c r="AD667" s="168" t="s">
        <v>1058</v>
      </c>
      <c r="AE667" s="168" t="s">
        <v>1059</v>
      </c>
      <c r="AF667" s="166" t="s">
        <v>284</v>
      </c>
      <c r="AG667" s="168"/>
      <c r="AH667" s="166" t="s">
        <v>1060</v>
      </c>
      <c r="AI667" s="168">
        <v>0</v>
      </c>
      <c r="AJ667" s="168">
        <v>0</v>
      </c>
      <c r="AP667" s="206"/>
      <c r="AQ667" s="207"/>
      <c r="AR667" s="207"/>
      <c r="AS667" s="207"/>
      <c r="AT667" s="208"/>
      <c r="AU667" s="207"/>
      <c r="AV667" s="208"/>
    </row>
    <row r="668" spans="1:48" s="205" customFormat="1" ht="15">
      <c r="A668" s="145"/>
      <c r="B668" s="166">
        <v>2183</v>
      </c>
      <c r="C668" s="167">
        <v>73808</v>
      </c>
      <c r="D668" s="166" t="s">
        <v>1053</v>
      </c>
      <c r="E668" s="168" t="s">
        <v>1988</v>
      </c>
      <c r="F668" s="166">
        <v>396</v>
      </c>
      <c r="G668" s="168"/>
      <c r="H668" s="168"/>
      <c r="I668" s="168"/>
      <c r="J668" s="168">
        <v>0</v>
      </c>
      <c r="K668" s="168" t="s">
        <v>2023</v>
      </c>
      <c r="L668" s="168"/>
      <c r="M668" s="168"/>
      <c r="N668" s="169">
        <v>40287</v>
      </c>
      <c r="O668" s="169">
        <v>40287</v>
      </c>
      <c r="P668" s="168" t="s">
        <v>2083</v>
      </c>
      <c r="Q668" s="166">
        <v>700</v>
      </c>
      <c r="R668" s="166">
        <v>14050</v>
      </c>
      <c r="S668" s="170">
        <v>19261.66</v>
      </c>
      <c r="T668" s="166">
        <v>14056</v>
      </c>
      <c r="U668" s="170">
        <v>19261.66</v>
      </c>
      <c r="V668" s="170">
        <f t="shared" si="30"/>
        <v>0</v>
      </c>
      <c r="W668" s="171">
        <v>0</v>
      </c>
      <c r="X668" s="166">
        <v>54260</v>
      </c>
      <c r="Y668" s="170">
        <v>0</v>
      </c>
      <c r="Z668" s="168" t="s">
        <v>1053</v>
      </c>
      <c r="AA668" s="168"/>
      <c r="AB668" s="168" t="s">
        <v>2084</v>
      </c>
      <c r="AC668" s="168"/>
      <c r="AD668" s="168" t="s">
        <v>1058</v>
      </c>
      <c r="AE668" s="168" t="s">
        <v>1059</v>
      </c>
      <c r="AF668" s="166" t="s">
        <v>284</v>
      </c>
      <c r="AG668" s="168"/>
      <c r="AH668" s="166" t="s">
        <v>1060</v>
      </c>
      <c r="AI668" s="168">
        <v>0</v>
      </c>
      <c r="AJ668" s="168">
        <v>0</v>
      </c>
      <c r="AP668" s="206"/>
      <c r="AQ668" s="207"/>
      <c r="AR668" s="207"/>
      <c r="AS668" s="207"/>
      <c r="AT668" s="208"/>
      <c r="AU668" s="207"/>
      <c r="AV668" s="208"/>
    </row>
    <row r="669" spans="1:48" s="205" customFormat="1" ht="15">
      <c r="A669" s="145"/>
      <c r="B669" s="166">
        <v>2183</v>
      </c>
      <c r="C669" s="167">
        <v>73807</v>
      </c>
      <c r="D669" s="166" t="s">
        <v>1053</v>
      </c>
      <c r="E669" s="168" t="s">
        <v>1981</v>
      </c>
      <c r="F669" s="166">
        <v>1080</v>
      </c>
      <c r="G669" s="168"/>
      <c r="H669" s="168"/>
      <c r="I669" s="168"/>
      <c r="J669" s="168">
        <v>0</v>
      </c>
      <c r="K669" s="168" t="s">
        <v>2023</v>
      </c>
      <c r="L669" s="168"/>
      <c r="M669" s="168"/>
      <c r="N669" s="169">
        <v>40281</v>
      </c>
      <c r="O669" s="169">
        <v>40281</v>
      </c>
      <c r="P669" s="168" t="s">
        <v>2085</v>
      </c>
      <c r="Q669" s="166">
        <v>700</v>
      </c>
      <c r="R669" s="166">
        <v>14050</v>
      </c>
      <c r="S669" s="170">
        <v>36044.57</v>
      </c>
      <c r="T669" s="166">
        <v>14056</v>
      </c>
      <c r="U669" s="170">
        <v>36044.57</v>
      </c>
      <c r="V669" s="170">
        <f t="shared" si="30"/>
        <v>0</v>
      </c>
      <c r="W669" s="171">
        <v>0</v>
      </c>
      <c r="X669" s="166">
        <v>54260</v>
      </c>
      <c r="Y669" s="170">
        <v>0</v>
      </c>
      <c r="Z669" s="168" t="s">
        <v>1053</v>
      </c>
      <c r="AA669" s="168"/>
      <c r="AB669" s="168" t="s">
        <v>2086</v>
      </c>
      <c r="AC669" s="168"/>
      <c r="AD669" s="168" t="s">
        <v>1058</v>
      </c>
      <c r="AE669" s="168" t="s">
        <v>1059</v>
      </c>
      <c r="AF669" s="166" t="s">
        <v>284</v>
      </c>
      <c r="AG669" s="168"/>
      <c r="AH669" s="166" t="s">
        <v>1060</v>
      </c>
      <c r="AI669" s="168">
        <v>0</v>
      </c>
      <c r="AJ669" s="168">
        <v>0</v>
      </c>
      <c r="AP669" s="206"/>
      <c r="AQ669" s="207"/>
      <c r="AR669" s="207"/>
      <c r="AS669" s="207"/>
      <c r="AT669" s="208"/>
      <c r="AU669" s="207"/>
      <c r="AV669" s="208"/>
    </row>
    <row r="670" spans="1:48" s="205" customFormat="1" ht="15">
      <c r="A670" s="145"/>
      <c r="B670" s="166">
        <v>2183</v>
      </c>
      <c r="C670" s="167">
        <v>71310</v>
      </c>
      <c r="D670" s="166" t="s">
        <v>1053</v>
      </c>
      <c r="E670" s="168" t="s">
        <v>2087</v>
      </c>
      <c r="F670" s="166">
        <v>486</v>
      </c>
      <c r="G670" s="168"/>
      <c r="H670" s="168"/>
      <c r="I670" s="168"/>
      <c r="J670" s="168">
        <v>0</v>
      </c>
      <c r="K670" s="168" t="s">
        <v>2023</v>
      </c>
      <c r="L670" s="168"/>
      <c r="M670" s="168"/>
      <c r="N670" s="169">
        <v>40154</v>
      </c>
      <c r="O670" s="169">
        <v>40154</v>
      </c>
      <c r="P670" s="168" t="s">
        <v>2088</v>
      </c>
      <c r="Q670" s="166">
        <v>700</v>
      </c>
      <c r="R670" s="166">
        <v>14050</v>
      </c>
      <c r="S670" s="170">
        <v>24198.25</v>
      </c>
      <c r="T670" s="166">
        <v>14056</v>
      </c>
      <c r="U670" s="170">
        <v>24198.25</v>
      </c>
      <c r="V670" s="170">
        <f t="shared" si="30"/>
        <v>0</v>
      </c>
      <c r="W670" s="171">
        <v>0</v>
      </c>
      <c r="X670" s="166">
        <v>54260</v>
      </c>
      <c r="Y670" s="170">
        <v>0</v>
      </c>
      <c r="Z670" s="168" t="s">
        <v>1053</v>
      </c>
      <c r="AA670" s="168"/>
      <c r="AB670" s="168" t="s">
        <v>2089</v>
      </c>
      <c r="AC670" s="168"/>
      <c r="AD670" s="168" t="s">
        <v>1058</v>
      </c>
      <c r="AE670" s="168" t="s">
        <v>1059</v>
      </c>
      <c r="AF670" s="166" t="s">
        <v>284</v>
      </c>
      <c r="AG670" s="168"/>
      <c r="AH670" s="166" t="s">
        <v>1060</v>
      </c>
      <c r="AI670" s="168">
        <v>0</v>
      </c>
      <c r="AJ670" s="168">
        <v>0</v>
      </c>
      <c r="AP670" s="206"/>
      <c r="AQ670" s="207"/>
      <c r="AR670" s="207"/>
      <c r="AS670" s="207"/>
      <c r="AT670" s="208"/>
      <c r="AU670" s="207"/>
      <c r="AV670" s="208"/>
    </row>
    <row r="671" spans="1:48" s="205" customFormat="1" ht="15">
      <c r="A671" s="145"/>
      <c r="B671" s="166">
        <v>2183</v>
      </c>
      <c r="C671" s="167">
        <v>70659</v>
      </c>
      <c r="D671" s="166" t="s">
        <v>1053</v>
      </c>
      <c r="E671" s="168" t="s">
        <v>2090</v>
      </c>
      <c r="F671" s="166">
        <v>846</v>
      </c>
      <c r="G671" s="168"/>
      <c r="H671" s="168"/>
      <c r="I671" s="168"/>
      <c r="J671" s="168">
        <v>0</v>
      </c>
      <c r="K671" s="168" t="s">
        <v>2023</v>
      </c>
      <c r="L671" s="168"/>
      <c r="M671" s="168"/>
      <c r="N671" s="169">
        <v>40137</v>
      </c>
      <c r="O671" s="169">
        <v>40137</v>
      </c>
      <c r="P671" s="168" t="s">
        <v>2088</v>
      </c>
      <c r="Q671" s="166">
        <v>700</v>
      </c>
      <c r="R671" s="166">
        <v>14050</v>
      </c>
      <c r="S671" s="170">
        <v>29308.86</v>
      </c>
      <c r="T671" s="166">
        <v>14056</v>
      </c>
      <c r="U671" s="170">
        <v>29308.86</v>
      </c>
      <c r="V671" s="170">
        <f t="shared" si="30"/>
        <v>0</v>
      </c>
      <c r="W671" s="171">
        <v>0</v>
      </c>
      <c r="X671" s="166">
        <v>54260</v>
      </c>
      <c r="Y671" s="170">
        <v>0</v>
      </c>
      <c r="Z671" s="168" t="s">
        <v>1053</v>
      </c>
      <c r="AA671" s="168"/>
      <c r="AB671" s="168" t="s">
        <v>2091</v>
      </c>
      <c r="AC671" s="168"/>
      <c r="AD671" s="168" t="s">
        <v>1058</v>
      </c>
      <c r="AE671" s="168" t="s">
        <v>1059</v>
      </c>
      <c r="AF671" s="166" t="s">
        <v>284</v>
      </c>
      <c r="AG671" s="168"/>
      <c r="AH671" s="166" t="s">
        <v>1060</v>
      </c>
      <c r="AI671" s="168">
        <v>0</v>
      </c>
      <c r="AJ671" s="168">
        <v>0</v>
      </c>
      <c r="AP671" s="206"/>
      <c r="AQ671" s="207"/>
      <c r="AR671" s="207"/>
      <c r="AS671" s="207"/>
      <c r="AT671" s="208"/>
      <c r="AU671" s="207"/>
      <c r="AV671" s="208"/>
    </row>
    <row r="672" spans="1:48" s="205" customFormat="1" ht="15">
      <c r="A672" s="145"/>
      <c r="B672" s="166">
        <v>2183</v>
      </c>
      <c r="C672" s="167">
        <v>68612</v>
      </c>
      <c r="D672" s="166" t="s">
        <v>1053</v>
      </c>
      <c r="E672" s="168" t="s">
        <v>1738</v>
      </c>
      <c r="F672" s="166">
        <v>0</v>
      </c>
      <c r="G672" s="168"/>
      <c r="H672" s="168"/>
      <c r="I672" s="168"/>
      <c r="J672" s="168">
        <v>0</v>
      </c>
      <c r="K672" s="168" t="s">
        <v>790</v>
      </c>
      <c r="L672" s="168"/>
      <c r="M672" s="168"/>
      <c r="N672" s="169">
        <v>40025</v>
      </c>
      <c r="O672" s="169">
        <v>40025</v>
      </c>
      <c r="P672" s="168" t="s">
        <v>2092</v>
      </c>
      <c r="Q672" s="166">
        <v>500</v>
      </c>
      <c r="R672" s="166">
        <v>14070</v>
      </c>
      <c r="S672" s="170">
        <v>14393.06</v>
      </c>
      <c r="T672" s="166">
        <v>14076</v>
      </c>
      <c r="U672" s="170">
        <v>14393.06</v>
      </c>
      <c r="V672" s="170">
        <f t="shared" si="30"/>
        <v>0</v>
      </c>
      <c r="W672" s="171">
        <v>0</v>
      </c>
      <c r="X672" s="166">
        <v>51260</v>
      </c>
      <c r="Y672" s="170">
        <v>0</v>
      </c>
      <c r="Z672" s="168" t="s">
        <v>1053</v>
      </c>
      <c r="AA672" s="168"/>
      <c r="AB672" s="168" t="s">
        <v>1740</v>
      </c>
      <c r="AC672" s="168"/>
      <c r="AD672" s="168" t="s">
        <v>1058</v>
      </c>
      <c r="AE672" s="168" t="s">
        <v>1059</v>
      </c>
      <c r="AF672" s="166" t="s">
        <v>284</v>
      </c>
      <c r="AG672" s="168"/>
      <c r="AH672" s="166" t="s">
        <v>1060</v>
      </c>
      <c r="AI672" s="168">
        <v>0</v>
      </c>
      <c r="AJ672" s="168">
        <v>0</v>
      </c>
      <c r="AP672" s="206"/>
      <c r="AQ672" s="207"/>
      <c r="AR672" s="207"/>
      <c r="AS672" s="207"/>
      <c r="AT672" s="208"/>
      <c r="AU672" s="207"/>
      <c r="AV672" s="208"/>
    </row>
    <row r="673" spans="1:48" s="205" customFormat="1" ht="15">
      <c r="A673" s="145"/>
      <c r="B673" s="166">
        <v>2183</v>
      </c>
      <c r="C673" s="167">
        <v>68611</v>
      </c>
      <c r="D673" s="166" t="s">
        <v>1053</v>
      </c>
      <c r="E673" s="168" t="s">
        <v>1738</v>
      </c>
      <c r="F673" s="166">
        <v>0</v>
      </c>
      <c r="G673" s="168"/>
      <c r="H673" s="168"/>
      <c r="I673" s="168"/>
      <c r="J673" s="168">
        <v>0</v>
      </c>
      <c r="K673" s="168" t="s">
        <v>790</v>
      </c>
      <c r="L673" s="168"/>
      <c r="M673" s="168"/>
      <c r="N673" s="169">
        <v>40025</v>
      </c>
      <c r="O673" s="169">
        <v>40025</v>
      </c>
      <c r="P673" s="168" t="s">
        <v>2092</v>
      </c>
      <c r="Q673" s="166">
        <v>500</v>
      </c>
      <c r="R673" s="166">
        <v>14070</v>
      </c>
      <c r="S673" s="170">
        <v>-1085</v>
      </c>
      <c r="T673" s="166">
        <v>14076</v>
      </c>
      <c r="U673" s="170">
        <v>-1085</v>
      </c>
      <c r="V673" s="170">
        <f t="shared" si="30"/>
        <v>0</v>
      </c>
      <c r="W673" s="171">
        <v>0</v>
      </c>
      <c r="X673" s="166">
        <v>51260</v>
      </c>
      <c r="Y673" s="170">
        <v>0</v>
      </c>
      <c r="Z673" s="168" t="s">
        <v>1053</v>
      </c>
      <c r="AA673" s="168"/>
      <c r="AB673" s="168" t="s">
        <v>2093</v>
      </c>
      <c r="AC673" s="168"/>
      <c r="AD673" s="168" t="s">
        <v>1058</v>
      </c>
      <c r="AE673" s="168" t="s">
        <v>1059</v>
      </c>
      <c r="AF673" s="166" t="s">
        <v>284</v>
      </c>
      <c r="AG673" s="168"/>
      <c r="AH673" s="166" t="s">
        <v>1060</v>
      </c>
      <c r="AI673" s="168">
        <v>0</v>
      </c>
      <c r="AJ673" s="168">
        <v>0</v>
      </c>
      <c r="AP673" s="206"/>
      <c r="AQ673" s="207"/>
      <c r="AR673" s="207"/>
      <c r="AS673" s="207"/>
      <c r="AT673" s="208"/>
      <c r="AU673" s="207"/>
      <c r="AV673" s="208"/>
    </row>
    <row r="674" spans="1:48" s="205" customFormat="1" ht="15">
      <c r="A674" s="145"/>
      <c r="B674" s="166">
        <v>2183</v>
      </c>
      <c r="C674" s="167">
        <v>68180</v>
      </c>
      <c r="D674" s="166" t="s">
        <v>1053</v>
      </c>
      <c r="E674" s="168" t="s">
        <v>2094</v>
      </c>
      <c r="F674" s="166">
        <v>144</v>
      </c>
      <c r="G674" s="168"/>
      <c r="H674" s="168"/>
      <c r="I674" s="168"/>
      <c r="J674" s="168">
        <v>0</v>
      </c>
      <c r="K674" s="168" t="s">
        <v>2023</v>
      </c>
      <c r="L674" s="168"/>
      <c r="M674" s="168"/>
      <c r="N674" s="169">
        <v>40001</v>
      </c>
      <c r="O674" s="169">
        <v>40001</v>
      </c>
      <c r="P674" s="168" t="s">
        <v>2095</v>
      </c>
      <c r="Q674" s="166">
        <v>700</v>
      </c>
      <c r="R674" s="166">
        <v>14050</v>
      </c>
      <c r="S674" s="170">
        <v>8294.7900000000009</v>
      </c>
      <c r="T674" s="166">
        <v>14056</v>
      </c>
      <c r="U674" s="170">
        <v>8294.7900000000009</v>
      </c>
      <c r="V674" s="170">
        <f t="shared" si="30"/>
        <v>0</v>
      </c>
      <c r="W674" s="171">
        <v>0</v>
      </c>
      <c r="X674" s="166">
        <v>54260</v>
      </c>
      <c r="Y674" s="170">
        <v>0</v>
      </c>
      <c r="Z674" s="168" t="s">
        <v>1053</v>
      </c>
      <c r="AA674" s="168"/>
      <c r="AB674" s="168" t="s">
        <v>2096</v>
      </c>
      <c r="AC674" s="168"/>
      <c r="AD674" s="168" t="s">
        <v>1058</v>
      </c>
      <c r="AE674" s="168" t="s">
        <v>1059</v>
      </c>
      <c r="AF674" s="166" t="s">
        <v>284</v>
      </c>
      <c r="AG674" s="168"/>
      <c r="AH674" s="166" t="s">
        <v>1060</v>
      </c>
      <c r="AI674" s="168">
        <v>0</v>
      </c>
      <c r="AJ674" s="168">
        <v>0</v>
      </c>
      <c r="AP674" s="206"/>
      <c r="AQ674" s="207"/>
      <c r="AR674" s="207"/>
      <c r="AS674" s="207"/>
      <c r="AT674" s="208"/>
      <c r="AU674" s="207"/>
      <c r="AV674" s="208"/>
    </row>
    <row r="675" spans="1:48" s="205" customFormat="1" ht="15">
      <c r="A675" s="145"/>
      <c r="B675" s="166">
        <v>2183</v>
      </c>
      <c r="C675" s="167">
        <v>68179</v>
      </c>
      <c r="D675" s="166" t="s">
        <v>1053</v>
      </c>
      <c r="E675" s="168" t="s">
        <v>2094</v>
      </c>
      <c r="F675" s="166">
        <v>54</v>
      </c>
      <c r="G675" s="168"/>
      <c r="H675" s="168"/>
      <c r="I675" s="168"/>
      <c r="J675" s="168">
        <v>0</v>
      </c>
      <c r="K675" s="168" t="s">
        <v>2023</v>
      </c>
      <c r="L675" s="168"/>
      <c r="M675" s="168"/>
      <c r="N675" s="169">
        <v>40001</v>
      </c>
      <c r="O675" s="169">
        <v>40001</v>
      </c>
      <c r="P675" s="168" t="s">
        <v>2095</v>
      </c>
      <c r="Q675" s="166">
        <v>700</v>
      </c>
      <c r="R675" s="166">
        <v>14050</v>
      </c>
      <c r="S675" s="170">
        <v>2934.78</v>
      </c>
      <c r="T675" s="166">
        <v>14056</v>
      </c>
      <c r="U675" s="170">
        <v>2934.78</v>
      </c>
      <c r="V675" s="170">
        <f t="shared" si="30"/>
        <v>0</v>
      </c>
      <c r="W675" s="171">
        <v>0</v>
      </c>
      <c r="X675" s="166">
        <v>54260</v>
      </c>
      <c r="Y675" s="170">
        <v>0</v>
      </c>
      <c r="Z675" s="168" t="s">
        <v>1053</v>
      </c>
      <c r="AA675" s="168"/>
      <c r="AB675" s="168" t="s">
        <v>2097</v>
      </c>
      <c r="AC675" s="168"/>
      <c r="AD675" s="168" t="s">
        <v>1058</v>
      </c>
      <c r="AE675" s="168" t="s">
        <v>1059</v>
      </c>
      <c r="AF675" s="166" t="s">
        <v>284</v>
      </c>
      <c r="AG675" s="168"/>
      <c r="AH675" s="166" t="s">
        <v>1060</v>
      </c>
      <c r="AI675" s="168">
        <v>0</v>
      </c>
      <c r="AJ675" s="168">
        <v>0</v>
      </c>
      <c r="AP675" s="206"/>
      <c r="AQ675" s="207"/>
      <c r="AR675" s="207"/>
      <c r="AS675" s="207"/>
      <c r="AT675" s="208"/>
      <c r="AU675" s="207"/>
      <c r="AV675" s="208"/>
    </row>
    <row r="676" spans="1:48" s="205" customFormat="1" ht="15">
      <c r="A676" s="145"/>
      <c r="B676" s="166">
        <v>2183</v>
      </c>
      <c r="C676" s="167">
        <v>68178</v>
      </c>
      <c r="D676" s="166" t="s">
        <v>1053</v>
      </c>
      <c r="E676" s="168" t="s">
        <v>2098</v>
      </c>
      <c r="F676" s="166">
        <v>243</v>
      </c>
      <c r="G676" s="168"/>
      <c r="H676" s="168"/>
      <c r="I676" s="168"/>
      <c r="J676" s="168">
        <v>0</v>
      </c>
      <c r="K676" s="168" t="s">
        <v>2023</v>
      </c>
      <c r="L676" s="168"/>
      <c r="M676" s="168"/>
      <c r="N676" s="169">
        <v>40001</v>
      </c>
      <c r="O676" s="169">
        <v>40001</v>
      </c>
      <c r="P676" s="168" t="s">
        <v>2095</v>
      </c>
      <c r="Q676" s="166">
        <v>700</v>
      </c>
      <c r="R676" s="166">
        <v>14050</v>
      </c>
      <c r="S676" s="170">
        <v>11698.36</v>
      </c>
      <c r="T676" s="166">
        <v>14056</v>
      </c>
      <c r="U676" s="170">
        <v>11698.36</v>
      </c>
      <c r="V676" s="170">
        <f t="shared" si="30"/>
        <v>0</v>
      </c>
      <c r="W676" s="171">
        <v>0</v>
      </c>
      <c r="X676" s="166">
        <v>54260</v>
      </c>
      <c r="Y676" s="170">
        <v>0</v>
      </c>
      <c r="Z676" s="168" t="s">
        <v>1053</v>
      </c>
      <c r="AA676" s="168"/>
      <c r="AB676" s="168" t="s">
        <v>2099</v>
      </c>
      <c r="AC676" s="168"/>
      <c r="AD676" s="168" t="s">
        <v>1058</v>
      </c>
      <c r="AE676" s="168" t="s">
        <v>1059</v>
      </c>
      <c r="AF676" s="166" t="s">
        <v>284</v>
      </c>
      <c r="AG676" s="168"/>
      <c r="AH676" s="166" t="s">
        <v>1060</v>
      </c>
      <c r="AI676" s="168">
        <v>0</v>
      </c>
      <c r="AJ676" s="168">
        <v>0</v>
      </c>
      <c r="AP676" s="206"/>
      <c r="AQ676" s="207"/>
      <c r="AR676" s="207"/>
      <c r="AS676" s="207"/>
      <c r="AT676" s="208"/>
      <c r="AU676" s="207"/>
      <c r="AV676" s="208"/>
    </row>
    <row r="677" spans="1:48" s="205" customFormat="1" ht="15">
      <c r="A677" s="145"/>
      <c r="B677" s="166">
        <v>2183</v>
      </c>
      <c r="C677" s="167">
        <v>67258</v>
      </c>
      <c r="D677" s="166" t="s">
        <v>1053</v>
      </c>
      <c r="E677" s="168" t="s">
        <v>1741</v>
      </c>
      <c r="F677" s="166">
        <v>0</v>
      </c>
      <c r="G677" s="168"/>
      <c r="H677" s="168"/>
      <c r="I677" s="168"/>
      <c r="J677" s="168">
        <v>0</v>
      </c>
      <c r="K677" s="168" t="s">
        <v>790</v>
      </c>
      <c r="L677" s="168"/>
      <c r="M677" s="168"/>
      <c r="N677" s="169">
        <v>39994</v>
      </c>
      <c r="O677" s="169">
        <v>39994</v>
      </c>
      <c r="P677" s="168" t="s">
        <v>2092</v>
      </c>
      <c r="Q677" s="166">
        <v>500</v>
      </c>
      <c r="R677" s="166">
        <v>14070</v>
      </c>
      <c r="S677" s="170">
        <v>42016.67</v>
      </c>
      <c r="T677" s="166">
        <v>14076</v>
      </c>
      <c r="U677" s="170">
        <v>42016.67</v>
      </c>
      <c r="V677" s="170">
        <f t="shared" si="30"/>
        <v>0</v>
      </c>
      <c r="W677" s="171">
        <v>0</v>
      </c>
      <c r="X677" s="166">
        <v>51260</v>
      </c>
      <c r="Y677" s="170">
        <v>0</v>
      </c>
      <c r="Z677" s="168" t="s">
        <v>1053</v>
      </c>
      <c r="AA677" s="168"/>
      <c r="AB677" s="168" t="s">
        <v>1742</v>
      </c>
      <c r="AC677" s="168"/>
      <c r="AD677" s="168" t="s">
        <v>1058</v>
      </c>
      <c r="AE677" s="168" t="s">
        <v>1059</v>
      </c>
      <c r="AF677" s="166" t="s">
        <v>284</v>
      </c>
      <c r="AG677" s="168"/>
      <c r="AH677" s="166" t="s">
        <v>1060</v>
      </c>
      <c r="AI677" s="168">
        <v>0</v>
      </c>
      <c r="AJ677" s="168">
        <v>0</v>
      </c>
      <c r="AP677" s="206"/>
      <c r="AQ677" s="207"/>
      <c r="AR677" s="207"/>
      <c r="AS677" s="207"/>
      <c r="AT677" s="208"/>
      <c r="AU677" s="207"/>
      <c r="AV677" s="208"/>
    </row>
    <row r="678" spans="1:48" s="205" customFormat="1" ht="15">
      <c r="A678" s="145"/>
      <c r="B678" s="166">
        <v>2183</v>
      </c>
      <c r="C678" s="167">
        <v>67016</v>
      </c>
      <c r="D678" s="166">
        <v>67015</v>
      </c>
      <c r="E678" s="168" t="s">
        <v>2100</v>
      </c>
      <c r="F678" s="166">
        <v>0</v>
      </c>
      <c r="G678" s="168"/>
      <c r="H678" s="168">
        <v>272641</v>
      </c>
      <c r="I678" s="168"/>
      <c r="J678" s="168">
        <v>1996</v>
      </c>
      <c r="K678" s="168"/>
      <c r="L678" s="168"/>
      <c r="M678" s="168" t="s">
        <v>1108</v>
      </c>
      <c r="N678" s="169">
        <v>39965</v>
      </c>
      <c r="O678" s="169">
        <v>39965</v>
      </c>
      <c r="P678" s="168" t="s">
        <v>2101</v>
      </c>
      <c r="Q678" s="166">
        <v>300</v>
      </c>
      <c r="R678" s="166">
        <v>14040</v>
      </c>
      <c r="S678" s="170">
        <v>3096.41</v>
      </c>
      <c r="T678" s="166">
        <v>14046</v>
      </c>
      <c r="U678" s="170">
        <v>3096.41</v>
      </c>
      <c r="V678" s="170">
        <f t="shared" si="30"/>
        <v>0</v>
      </c>
      <c r="W678" s="171">
        <v>0</v>
      </c>
      <c r="X678" s="166">
        <v>51260</v>
      </c>
      <c r="Y678" s="170">
        <v>0</v>
      </c>
      <c r="Z678" s="168" t="s">
        <v>1053</v>
      </c>
      <c r="AA678" s="168"/>
      <c r="AB678" s="168">
        <v>957931</v>
      </c>
      <c r="AC678" s="168">
        <v>4511</v>
      </c>
      <c r="AD678" s="168" t="s">
        <v>1058</v>
      </c>
      <c r="AE678" s="168" t="s">
        <v>1059</v>
      </c>
      <c r="AF678" s="166" t="s">
        <v>284</v>
      </c>
      <c r="AG678" s="216">
        <v>40025</v>
      </c>
      <c r="AH678" s="166" t="s">
        <v>1060</v>
      </c>
      <c r="AI678" s="168">
        <v>0</v>
      </c>
      <c r="AJ678" s="168">
        <v>172.02</v>
      </c>
      <c r="AP678" s="206"/>
      <c r="AQ678" s="207"/>
      <c r="AR678" s="207"/>
      <c r="AS678" s="207"/>
      <c r="AT678" s="208"/>
      <c r="AU678" s="207"/>
      <c r="AV678" s="208"/>
    </row>
    <row r="679" spans="1:48" s="205" customFormat="1" ht="15">
      <c r="A679" s="145"/>
      <c r="B679" s="166">
        <v>2183</v>
      </c>
      <c r="C679" s="167">
        <v>67015</v>
      </c>
      <c r="D679" s="166" t="s">
        <v>1053</v>
      </c>
      <c r="E679" s="168" t="s">
        <v>2102</v>
      </c>
      <c r="F679" s="166">
        <v>0</v>
      </c>
      <c r="G679" s="168"/>
      <c r="H679" s="168" t="s">
        <v>2103</v>
      </c>
      <c r="I679" s="168"/>
      <c r="J679" s="168">
        <v>1996</v>
      </c>
      <c r="K679" s="168" t="s">
        <v>1463</v>
      </c>
      <c r="L679" s="168" t="s">
        <v>1309</v>
      </c>
      <c r="M679" s="168" t="s">
        <v>1244</v>
      </c>
      <c r="N679" s="169">
        <v>39755</v>
      </c>
      <c r="O679" s="169">
        <v>39755</v>
      </c>
      <c r="P679" s="168"/>
      <c r="Q679" s="166">
        <v>300</v>
      </c>
      <c r="R679" s="166">
        <v>14040</v>
      </c>
      <c r="S679" s="170">
        <v>21500</v>
      </c>
      <c r="T679" s="166">
        <v>14046</v>
      </c>
      <c r="U679" s="170">
        <v>21500</v>
      </c>
      <c r="V679" s="170">
        <f t="shared" si="30"/>
        <v>0</v>
      </c>
      <c r="W679" s="171">
        <v>0</v>
      </c>
      <c r="X679" s="166">
        <v>51260</v>
      </c>
      <c r="Y679" s="170">
        <v>0</v>
      </c>
      <c r="Z679" s="168" t="s">
        <v>1059</v>
      </c>
      <c r="AA679" s="168" t="s">
        <v>1140</v>
      </c>
      <c r="AB679" s="168"/>
      <c r="AC679" s="168">
        <v>4511</v>
      </c>
      <c r="AD679" s="168" t="s">
        <v>1058</v>
      </c>
      <c r="AE679" s="168" t="s">
        <v>1059</v>
      </c>
      <c r="AF679" s="166" t="s">
        <v>284</v>
      </c>
      <c r="AG679" s="216">
        <v>40025</v>
      </c>
      <c r="AH679" s="166" t="s">
        <v>1060</v>
      </c>
      <c r="AI679" s="168">
        <v>0</v>
      </c>
      <c r="AJ679" s="168">
        <v>5375.01</v>
      </c>
      <c r="AP679" s="206"/>
      <c r="AQ679" s="207"/>
      <c r="AR679" s="207"/>
      <c r="AS679" s="207"/>
      <c r="AT679" s="208"/>
      <c r="AU679" s="207"/>
      <c r="AV679" s="208"/>
    </row>
    <row r="680" spans="1:48" s="205" customFormat="1" ht="15">
      <c r="A680" s="145"/>
      <c r="B680" s="166">
        <v>2183</v>
      </c>
      <c r="C680" s="167">
        <v>66604</v>
      </c>
      <c r="D680" s="166" t="s">
        <v>1053</v>
      </c>
      <c r="E680" s="168" t="s">
        <v>2104</v>
      </c>
      <c r="F680" s="166">
        <v>0</v>
      </c>
      <c r="G680" s="168"/>
      <c r="H680" s="168"/>
      <c r="I680" s="168"/>
      <c r="J680" s="168">
        <v>0</v>
      </c>
      <c r="K680" s="168" t="s">
        <v>2105</v>
      </c>
      <c r="L680" s="168"/>
      <c r="M680" s="168"/>
      <c r="N680" s="169">
        <v>39995</v>
      </c>
      <c r="O680" s="169">
        <v>39995</v>
      </c>
      <c r="P680" s="168" t="s">
        <v>2106</v>
      </c>
      <c r="Q680" s="166">
        <v>500</v>
      </c>
      <c r="R680" s="166">
        <v>14070</v>
      </c>
      <c r="S680" s="170">
        <v>2347.9299999999998</v>
      </c>
      <c r="T680" s="166">
        <v>14076</v>
      </c>
      <c r="U680" s="170">
        <v>2347.9299999999998</v>
      </c>
      <c r="V680" s="170">
        <f t="shared" si="30"/>
        <v>0</v>
      </c>
      <c r="W680" s="171">
        <v>0</v>
      </c>
      <c r="X680" s="166">
        <v>51260</v>
      </c>
      <c r="Y680" s="170">
        <v>0</v>
      </c>
      <c r="Z680" s="168" t="s">
        <v>1053</v>
      </c>
      <c r="AA680" s="168"/>
      <c r="AB680" s="168">
        <v>7505910</v>
      </c>
      <c r="AC680" s="168"/>
      <c r="AD680" s="168" t="s">
        <v>1058</v>
      </c>
      <c r="AE680" s="168" t="s">
        <v>1059</v>
      </c>
      <c r="AF680" s="166" t="s">
        <v>284</v>
      </c>
      <c r="AG680" s="168"/>
      <c r="AH680" s="166" t="s">
        <v>1060</v>
      </c>
      <c r="AI680" s="168">
        <v>0</v>
      </c>
      <c r="AJ680" s="168">
        <v>0</v>
      </c>
      <c r="AP680" s="206"/>
      <c r="AQ680" s="207"/>
      <c r="AR680" s="207"/>
      <c r="AS680" s="207"/>
      <c r="AT680" s="208"/>
      <c r="AU680" s="207"/>
      <c r="AV680" s="208"/>
    </row>
    <row r="681" spans="1:48" s="205" customFormat="1" ht="15">
      <c r="A681" s="145"/>
      <c r="B681" s="166">
        <v>2183</v>
      </c>
      <c r="C681" s="167">
        <v>66103</v>
      </c>
      <c r="D681" s="166" t="s">
        <v>1053</v>
      </c>
      <c r="E681" s="168" t="s">
        <v>1963</v>
      </c>
      <c r="F681" s="166">
        <v>540</v>
      </c>
      <c r="G681" s="168"/>
      <c r="H681" s="168"/>
      <c r="I681" s="168"/>
      <c r="J681" s="168">
        <v>0</v>
      </c>
      <c r="K681" s="168" t="s">
        <v>2023</v>
      </c>
      <c r="L681" s="168"/>
      <c r="M681" s="168"/>
      <c r="N681" s="169">
        <v>40001</v>
      </c>
      <c r="O681" s="169">
        <v>40001</v>
      </c>
      <c r="P681" s="168" t="s">
        <v>2095</v>
      </c>
      <c r="Q681" s="166">
        <v>700</v>
      </c>
      <c r="R681" s="166">
        <v>14050</v>
      </c>
      <c r="S681" s="170">
        <v>18474.009999999998</v>
      </c>
      <c r="T681" s="166">
        <v>14056</v>
      </c>
      <c r="U681" s="170">
        <v>18474.009999999998</v>
      </c>
      <c r="V681" s="170">
        <f t="shared" si="30"/>
        <v>0</v>
      </c>
      <c r="W681" s="171">
        <v>0</v>
      </c>
      <c r="X681" s="166">
        <v>54260</v>
      </c>
      <c r="Y681" s="170">
        <v>0</v>
      </c>
      <c r="Z681" s="168" t="s">
        <v>1053</v>
      </c>
      <c r="AA681" s="168"/>
      <c r="AB681" s="168" t="s">
        <v>2107</v>
      </c>
      <c r="AC681" s="168"/>
      <c r="AD681" s="168" t="s">
        <v>1058</v>
      </c>
      <c r="AE681" s="168" t="s">
        <v>1059</v>
      </c>
      <c r="AF681" s="166" t="s">
        <v>284</v>
      </c>
      <c r="AG681" s="168"/>
      <c r="AH681" s="166" t="s">
        <v>1060</v>
      </c>
      <c r="AI681" s="168">
        <v>0</v>
      </c>
      <c r="AJ681" s="168">
        <v>0</v>
      </c>
      <c r="AP681" s="206"/>
      <c r="AQ681" s="207"/>
      <c r="AR681" s="207"/>
      <c r="AS681" s="207"/>
      <c r="AT681" s="208"/>
      <c r="AU681" s="207"/>
      <c r="AV681" s="208"/>
    </row>
    <row r="682" spans="1:48" s="205" customFormat="1" ht="15">
      <c r="A682" s="145"/>
      <c r="B682" s="166">
        <v>2183</v>
      </c>
      <c r="C682" s="167">
        <v>65997</v>
      </c>
      <c r="D682" s="166" t="s">
        <v>1053</v>
      </c>
      <c r="E682" s="168" t="s">
        <v>2108</v>
      </c>
      <c r="F682" s="166">
        <v>0</v>
      </c>
      <c r="G682" s="168"/>
      <c r="H682" s="168"/>
      <c r="I682" s="168"/>
      <c r="J682" s="168">
        <v>0</v>
      </c>
      <c r="K682" s="168" t="s">
        <v>2109</v>
      </c>
      <c r="L682" s="168"/>
      <c r="M682" s="168"/>
      <c r="N682" s="169">
        <v>39984</v>
      </c>
      <c r="O682" s="169">
        <v>39984</v>
      </c>
      <c r="P682" s="168" t="s">
        <v>2106</v>
      </c>
      <c r="Q682" s="166">
        <v>500</v>
      </c>
      <c r="R682" s="166">
        <v>14070</v>
      </c>
      <c r="S682" s="170">
        <v>4147.3100000000004</v>
      </c>
      <c r="T682" s="166">
        <v>14076</v>
      </c>
      <c r="U682" s="170">
        <v>4147.3100000000004</v>
      </c>
      <c r="V682" s="170">
        <f t="shared" si="30"/>
        <v>0</v>
      </c>
      <c r="W682" s="171">
        <v>0</v>
      </c>
      <c r="X682" s="166">
        <v>51260</v>
      </c>
      <c r="Y682" s="170">
        <v>0</v>
      </c>
      <c r="Z682" s="168" t="s">
        <v>1053</v>
      </c>
      <c r="AA682" s="168"/>
      <c r="AB682" s="168">
        <v>6440</v>
      </c>
      <c r="AC682" s="168"/>
      <c r="AD682" s="168" t="s">
        <v>1058</v>
      </c>
      <c r="AE682" s="168" t="s">
        <v>1059</v>
      </c>
      <c r="AF682" s="166" t="s">
        <v>284</v>
      </c>
      <c r="AG682" s="168"/>
      <c r="AH682" s="166" t="s">
        <v>1060</v>
      </c>
      <c r="AI682" s="168">
        <v>0</v>
      </c>
      <c r="AJ682" s="168">
        <v>0</v>
      </c>
      <c r="AP682" s="206"/>
      <c r="AQ682" s="207"/>
      <c r="AR682" s="207"/>
      <c r="AS682" s="207"/>
      <c r="AT682" s="208"/>
      <c r="AU682" s="207"/>
      <c r="AV682" s="208"/>
    </row>
    <row r="683" spans="1:48" s="205" customFormat="1" ht="15">
      <c r="A683" s="145"/>
      <c r="B683" s="166">
        <v>2183</v>
      </c>
      <c r="C683" s="167">
        <v>65735</v>
      </c>
      <c r="D683" s="166" t="s">
        <v>1053</v>
      </c>
      <c r="E683" s="168" t="s">
        <v>2110</v>
      </c>
      <c r="F683" s="166">
        <v>99</v>
      </c>
      <c r="G683" s="168"/>
      <c r="H683" s="168"/>
      <c r="I683" s="168"/>
      <c r="J683" s="168">
        <v>0</v>
      </c>
      <c r="K683" s="168" t="s">
        <v>2023</v>
      </c>
      <c r="L683" s="168"/>
      <c r="M683" s="168"/>
      <c r="N683" s="169">
        <v>39974</v>
      </c>
      <c r="O683" s="169">
        <v>39974</v>
      </c>
      <c r="P683" s="168" t="s">
        <v>2095</v>
      </c>
      <c r="Q683" s="166">
        <v>700</v>
      </c>
      <c r="R683" s="166">
        <v>14050</v>
      </c>
      <c r="S683" s="170">
        <v>4583.41</v>
      </c>
      <c r="T683" s="166">
        <v>14056</v>
      </c>
      <c r="U683" s="170">
        <v>4583.41</v>
      </c>
      <c r="V683" s="170">
        <f t="shared" si="30"/>
        <v>0</v>
      </c>
      <c r="W683" s="171">
        <v>0</v>
      </c>
      <c r="X683" s="166">
        <v>54260</v>
      </c>
      <c r="Y683" s="170">
        <v>0</v>
      </c>
      <c r="Z683" s="168" t="s">
        <v>1053</v>
      </c>
      <c r="AA683" s="168"/>
      <c r="AB683" s="168" t="s">
        <v>2111</v>
      </c>
      <c r="AC683" s="168"/>
      <c r="AD683" s="168" t="s">
        <v>1058</v>
      </c>
      <c r="AE683" s="168" t="s">
        <v>1059</v>
      </c>
      <c r="AF683" s="166" t="s">
        <v>284</v>
      </c>
      <c r="AG683" s="168"/>
      <c r="AH683" s="166" t="s">
        <v>1060</v>
      </c>
      <c r="AI683" s="168">
        <v>0</v>
      </c>
      <c r="AJ683" s="168">
        <v>0</v>
      </c>
      <c r="AP683" s="206"/>
      <c r="AQ683" s="207"/>
      <c r="AR683" s="207"/>
      <c r="AS683" s="207"/>
      <c r="AT683" s="208"/>
      <c r="AU683" s="207"/>
      <c r="AV683" s="208"/>
    </row>
    <row r="684" spans="1:48" s="205" customFormat="1" ht="15">
      <c r="A684" s="145"/>
      <c r="B684" s="166">
        <v>2183</v>
      </c>
      <c r="C684" s="167">
        <v>65734</v>
      </c>
      <c r="D684" s="166" t="s">
        <v>1053</v>
      </c>
      <c r="E684" s="168" t="s">
        <v>2112</v>
      </c>
      <c r="F684" s="166">
        <v>315</v>
      </c>
      <c r="G684" s="168"/>
      <c r="H684" s="168"/>
      <c r="I684" s="168"/>
      <c r="J684" s="168">
        <v>0</v>
      </c>
      <c r="K684" s="168" t="s">
        <v>2023</v>
      </c>
      <c r="L684" s="168"/>
      <c r="M684" s="168"/>
      <c r="N684" s="169">
        <v>39974</v>
      </c>
      <c r="O684" s="169">
        <v>39974</v>
      </c>
      <c r="P684" s="168" t="s">
        <v>2095</v>
      </c>
      <c r="Q684" s="166">
        <v>700</v>
      </c>
      <c r="R684" s="166">
        <v>14050</v>
      </c>
      <c r="S684" s="170">
        <v>13018.2</v>
      </c>
      <c r="T684" s="166">
        <v>14056</v>
      </c>
      <c r="U684" s="170">
        <v>13018.2</v>
      </c>
      <c r="V684" s="170">
        <f t="shared" si="30"/>
        <v>0</v>
      </c>
      <c r="W684" s="171">
        <v>0</v>
      </c>
      <c r="X684" s="166">
        <v>54260</v>
      </c>
      <c r="Y684" s="170">
        <v>0</v>
      </c>
      <c r="Z684" s="168" t="s">
        <v>1053</v>
      </c>
      <c r="AA684" s="168"/>
      <c r="AB684" s="168" t="s">
        <v>2113</v>
      </c>
      <c r="AC684" s="168"/>
      <c r="AD684" s="168" t="s">
        <v>1058</v>
      </c>
      <c r="AE684" s="168" t="s">
        <v>1059</v>
      </c>
      <c r="AF684" s="166" t="s">
        <v>284</v>
      </c>
      <c r="AG684" s="168"/>
      <c r="AH684" s="166" t="s">
        <v>1060</v>
      </c>
      <c r="AI684" s="168">
        <v>0</v>
      </c>
      <c r="AJ684" s="168">
        <v>0</v>
      </c>
      <c r="AP684" s="206"/>
      <c r="AQ684" s="207"/>
      <c r="AR684" s="207"/>
      <c r="AS684" s="207"/>
      <c r="AT684" s="208"/>
      <c r="AU684" s="207"/>
      <c r="AV684" s="208"/>
    </row>
    <row r="685" spans="1:48" s="205" customFormat="1" ht="15">
      <c r="A685" s="145"/>
      <c r="B685" s="166">
        <v>2183</v>
      </c>
      <c r="C685" s="167">
        <v>65733</v>
      </c>
      <c r="D685" s="166" t="s">
        <v>1053</v>
      </c>
      <c r="E685" s="168" t="s">
        <v>1731</v>
      </c>
      <c r="F685" s="166">
        <v>436</v>
      </c>
      <c r="G685" s="168"/>
      <c r="H685" s="168"/>
      <c r="I685" s="168"/>
      <c r="J685" s="168">
        <v>0</v>
      </c>
      <c r="K685" s="168" t="s">
        <v>2023</v>
      </c>
      <c r="L685" s="168"/>
      <c r="M685" s="168"/>
      <c r="N685" s="169">
        <v>39974</v>
      </c>
      <c r="O685" s="169">
        <v>39974</v>
      </c>
      <c r="P685" s="168" t="s">
        <v>2095</v>
      </c>
      <c r="Q685" s="166">
        <v>700</v>
      </c>
      <c r="R685" s="166">
        <v>14050</v>
      </c>
      <c r="S685" s="170">
        <v>20185.46</v>
      </c>
      <c r="T685" s="166">
        <v>14056</v>
      </c>
      <c r="U685" s="170">
        <v>20185.46</v>
      </c>
      <c r="V685" s="170">
        <f t="shared" si="30"/>
        <v>0</v>
      </c>
      <c r="W685" s="171">
        <v>0</v>
      </c>
      <c r="X685" s="166">
        <v>54260</v>
      </c>
      <c r="Y685" s="170">
        <v>0</v>
      </c>
      <c r="Z685" s="168" t="s">
        <v>1053</v>
      </c>
      <c r="AA685" s="168"/>
      <c r="AB685" s="168" t="s">
        <v>2114</v>
      </c>
      <c r="AC685" s="168"/>
      <c r="AD685" s="168" t="s">
        <v>1058</v>
      </c>
      <c r="AE685" s="168" t="s">
        <v>1059</v>
      </c>
      <c r="AF685" s="166" t="s">
        <v>284</v>
      </c>
      <c r="AG685" s="168"/>
      <c r="AH685" s="166" t="s">
        <v>1060</v>
      </c>
      <c r="AI685" s="168">
        <v>0</v>
      </c>
      <c r="AJ685" s="168">
        <v>0</v>
      </c>
      <c r="AP685" s="206"/>
      <c r="AQ685" s="207"/>
      <c r="AR685" s="207"/>
      <c r="AS685" s="207"/>
      <c r="AT685" s="208"/>
      <c r="AU685" s="207"/>
      <c r="AV685" s="208"/>
    </row>
    <row r="686" spans="1:48" s="205" customFormat="1" ht="15">
      <c r="A686" s="145"/>
      <c r="B686" s="166">
        <v>2183</v>
      </c>
      <c r="C686" s="167">
        <v>65732</v>
      </c>
      <c r="D686" s="166" t="s">
        <v>1053</v>
      </c>
      <c r="E686" s="168" t="s">
        <v>2087</v>
      </c>
      <c r="F686" s="166">
        <v>50</v>
      </c>
      <c r="G686" s="168"/>
      <c r="H686" s="168"/>
      <c r="I686" s="168"/>
      <c r="J686" s="168">
        <v>0</v>
      </c>
      <c r="K686" s="168" t="s">
        <v>2023</v>
      </c>
      <c r="L686" s="168"/>
      <c r="M686" s="168"/>
      <c r="N686" s="169">
        <v>39974</v>
      </c>
      <c r="O686" s="169">
        <v>39974</v>
      </c>
      <c r="P686" s="168" t="s">
        <v>2095</v>
      </c>
      <c r="Q686" s="166">
        <v>700</v>
      </c>
      <c r="R686" s="166">
        <v>14050</v>
      </c>
      <c r="S686" s="170">
        <v>2314.85</v>
      </c>
      <c r="T686" s="166">
        <v>14056</v>
      </c>
      <c r="U686" s="170">
        <v>2314.85</v>
      </c>
      <c r="V686" s="170">
        <f t="shared" si="30"/>
        <v>0</v>
      </c>
      <c r="W686" s="171">
        <v>0</v>
      </c>
      <c r="X686" s="166">
        <v>54260</v>
      </c>
      <c r="Y686" s="170">
        <v>0</v>
      </c>
      <c r="Z686" s="168" t="s">
        <v>1053</v>
      </c>
      <c r="AA686" s="168"/>
      <c r="AB686" s="168" t="s">
        <v>2115</v>
      </c>
      <c r="AC686" s="168"/>
      <c r="AD686" s="168" t="s">
        <v>1058</v>
      </c>
      <c r="AE686" s="168" t="s">
        <v>1059</v>
      </c>
      <c r="AF686" s="166" t="s">
        <v>284</v>
      </c>
      <c r="AG686" s="168"/>
      <c r="AH686" s="166" t="s">
        <v>1060</v>
      </c>
      <c r="AI686" s="168">
        <v>0</v>
      </c>
      <c r="AJ686" s="168">
        <v>0</v>
      </c>
      <c r="AP686" s="206"/>
      <c r="AQ686" s="207"/>
      <c r="AR686" s="207"/>
      <c r="AS686" s="207"/>
      <c r="AT686" s="208"/>
      <c r="AU686" s="207"/>
      <c r="AV686" s="208"/>
    </row>
    <row r="687" spans="1:48" s="205" customFormat="1" ht="15">
      <c r="A687" s="145"/>
      <c r="B687" s="166">
        <v>2183</v>
      </c>
      <c r="C687" s="167">
        <v>65599</v>
      </c>
      <c r="D687" s="166">
        <v>61174</v>
      </c>
      <c r="E687" s="168" t="s">
        <v>2116</v>
      </c>
      <c r="F687" s="166">
        <v>0</v>
      </c>
      <c r="G687" s="168"/>
      <c r="H687" s="168">
        <v>56820</v>
      </c>
      <c r="I687" s="168"/>
      <c r="J687" s="168">
        <v>2001</v>
      </c>
      <c r="K687" s="168"/>
      <c r="L687" s="168"/>
      <c r="M687" s="168" t="s">
        <v>1108</v>
      </c>
      <c r="N687" s="169">
        <v>39965</v>
      </c>
      <c r="O687" s="169">
        <v>39965</v>
      </c>
      <c r="P687" s="168" t="s">
        <v>2117</v>
      </c>
      <c r="Q687" s="166">
        <v>300</v>
      </c>
      <c r="R687" s="166">
        <v>14040</v>
      </c>
      <c r="S687" s="170">
        <v>17657.45</v>
      </c>
      <c r="T687" s="166">
        <v>14046</v>
      </c>
      <c r="U687" s="170">
        <v>17657.45</v>
      </c>
      <c r="V687" s="170">
        <f t="shared" si="30"/>
        <v>0</v>
      </c>
      <c r="W687" s="171">
        <v>0</v>
      </c>
      <c r="X687" s="166">
        <v>51260</v>
      </c>
      <c r="Y687" s="170">
        <v>0</v>
      </c>
      <c r="Z687" s="168" t="s">
        <v>1053</v>
      </c>
      <c r="AA687" s="168"/>
      <c r="AB687" s="168">
        <v>984964</v>
      </c>
      <c r="AC687" s="168">
        <v>5600</v>
      </c>
      <c r="AD687" s="168" t="s">
        <v>1058</v>
      </c>
      <c r="AE687" s="168" t="s">
        <v>1059</v>
      </c>
      <c r="AF687" s="166" t="s">
        <v>284</v>
      </c>
      <c r="AG687" s="168"/>
      <c r="AH687" s="166" t="s">
        <v>1060</v>
      </c>
      <c r="AI687" s="168">
        <v>0</v>
      </c>
      <c r="AJ687" s="168">
        <v>0</v>
      </c>
      <c r="AP687" s="206"/>
      <c r="AQ687" s="207"/>
      <c r="AR687" s="207"/>
      <c r="AS687" s="207"/>
      <c r="AT687" s="208"/>
      <c r="AU687" s="207"/>
      <c r="AV687" s="208"/>
    </row>
    <row r="688" spans="1:48" s="205" customFormat="1" ht="15">
      <c r="A688" s="145"/>
      <c r="B688" s="166">
        <v>2183</v>
      </c>
      <c r="C688" s="167">
        <v>65594</v>
      </c>
      <c r="D688" s="166">
        <v>61080</v>
      </c>
      <c r="E688" s="168" t="s">
        <v>2118</v>
      </c>
      <c r="F688" s="166">
        <v>0</v>
      </c>
      <c r="G688" s="168"/>
      <c r="H688" s="168">
        <v>33908</v>
      </c>
      <c r="I688" s="168"/>
      <c r="J688" s="168">
        <v>2002</v>
      </c>
      <c r="K688" s="168"/>
      <c r="L688" s="168"/>
      <c r="M688" s="168" t="s">
        <v>1108</v>
      </c>
      <c r="N688" s="169">
        <v>39965</v>
      </c>
      <c r="O688" s="169">
        <v>39965</v>
      </c>
      <c r="P688" s="168" t="s">
        <v>2119</v>
      </c>
      <c r="Q688" s="166">
        <v>300</v>
      </c>
      <c r="R688" s="166">
        <v>14040</v>
      </c>
      <c r="S688" s="170">
        <v>2556.91</v>
      </c>
      <c r="T688" s="166">
        <v>14046</v>
      </c>
      <c r="U688" s="170">
        <v>2556.91</v>
      </c>
      <c r="V688" s="170">
        <f t="shared" si="30"/>
        <v>0</v>
      </c>
      <c r="W688" s="171">
        <v>0</v>
      </c>
      <c r="X688" s="166">
        <v>51260</v>
      </c>
      <c r="Y688" s="170">
        <v>0</v>
      </c>
      <c r="Z688" s="168" t="s">
        <v>1053</v>
      </c>
      <c r="AA688" s="168"/>
      <c r="AB688" s="168">
        <v>975787</v>
      </c>
      <c r="AC688" s="168">
        <v>4030</v>
      </c>
      <c r="AD688" s="168" t="s">
        <v>1058</v>
      </c>
      <c r="AE688" s="168" t="s">
        <v>1059</v>
      </c>
      <c r="AF688" s="166" t="s">
        <v>284</v>
      </c>
      <c r="AG688" s="168"/>
      <c r="AH688" s="166" t="s">
        <v>1060</v>
      </c>
      <c r="AI688" s="168">
        <v>0</v>
      </c>
      <c r="AJ688" s="168">
        <v>0</v>
      </c>
      <c r="AP688" s="206"/>
      <c r="AQ688" s="207"/>
      <c r="AR688" s="207"/>
      <c r="AS688" s="207"/>
      <c r="AT688" s="208"/>
      <c r="AU688" s="207"/>
      <c r="AV688" s="208"/>
    </row>
    <row r="689" spans="1:48" s="205" customFormat="1" ht="15">
      <c r="A689" s="145"/>
      <c r="B689" s="166">
        <v>2183</v>
      </c>
      <c r="C689" s="167">
        <v>64730</v>
      </c>
      <c r="D689" s="166" t="s">
        <v>1053</v>
      </c>
      <c r="E689" s="168" t="s">
        <v>1328</v>
      </c>
      <c r="F689" s="166">
        <v>10</v>
      </c>
      <c r="G689" s="168"/>
      <c r="H689" s="168"/>
      <c r="I689" s="168"/>
      <c r="J689" s="168">
        <v>0</v>
      </c>
      <c r="K689" s="168"/>
      <c r="L689" s="168"/>
      <c r="M689" s="168" t="s">
        <v>1139</v>
      </c>
      <c r="N689" s="169">
        <v>39755</v>
      </c>
      <c r="O689" s="169">
        <v>39755</v>
      </c>
      <c r="P689" s="168"/>
      <c r="Q689" s="166">
        <v>1200</v>
      </c>
      <c r="R689" s="166">
        <v>14050</v>
      </c>
      <c r="S689" s="170">
        <v>2300</v>
      </c>
      <c r="T689" s="166">
        <v>14056</v>
      </c>
      <c r="U689" s="170">
        <v>2300</v>
      </c>
      <c r="V689" s="170">
        <f t="shared" si="30"/>
        <v>0</v>
      </c>
      <c r="W689" s="171">
        <v>0</v>
      </c>
      <c r="X689" s="166">
        <v>54260</v>
      </c>
      <c r="Y689" s="170">
        <v>0</v>
      </c>
      <c r="Z689" s="168" t="s">
        <v>1059</v>
      </c>
      <c r="AA689" s="168" t="s">
        <v>1140</v>
      </c>
      <c r="AB689" s="168"/>
      <c r="AC689" s="168"/>
      <c r="AD689" s="168" t="s">
        <v>1058</v>
      </c>
      <c r="AE689" s="168" t="s">
        <v>1059</v>
      </c>
      <c r="AF689" s="166" t="s">
        <v>284</v>
      </c>
      <c r="AG689" s="216">
        <v>44074</v>
      </c>
      <c r="AH689" s="166" t="s">
        <v>1060</v>
      </c>
      <c r="AI689" s="168">
        <v>9</v>
      </c>
      <c r="AJ689" s="168">
        <v>2268.06</v>
      </c>
      <c r="AP689" s="206"/>
      <c r="AQ689" s="207"/>
      <c r="AR689" s="207"/>
      <c r="AS689" s="207"/>
      <c r="AT689" s="208"/>
      <c r="AU689" s="207"/>
      <c r="AV689" s="208"/>
    </row>
    <row r="690" spans="1:48" s="205" customFormat="1" ht="15">
      <c r="A690" s="145"/>
      <c r="B690" s="166">
        <v>2183</v>
      </c>
      <c r="C690" s="167">
        <v>64692</v>
      </c>
      <c r="D690" s="166" t="s">
        <v>1053</v>
      </c>
      <c r="E690" s="168" t="s">
        <v>1733</v>
      </c>
      <c r="F690" s="166">
        <v>1</v>
      </c>
      <c r="G690" s="168"/>
      <c r="H690" s="168"/>
      <c r="I690" s="168"/>
      <c r="J690" s="168">
        <v>0</v>
      </c>
      <c r="K690" s="168"/>
      <c r="L690" s="168"/>
      <c r="M690" s="168" t="s">
        <v>1434</v>
      </c>
      <c r="N690" s="169">
        <v>39755</v>
      </c>
      <c r="O690" s="169">
        <v>39755</v>
      </c>
      <c r="P690" s="168"/>
      <c r="Q690" s="166">
        <v>700</v>
      </c>
      <c r="R690" s="166">
        <v>14050</v>
      </c>
      <c r="S690" s="170">
        <v>546.41999999999996</v>
      </c>
      <c r="T690" s="166">
        <v>14056</v>
      </c>
      <c r="U690" s="170">
        <v>546.41999999999996</v>
      </c>
      <c r="V690" s="170">
        <f t="shared" si="30"/>
        <v>0</v>
      </c>
      <c r="W690" s="171">
        <v>0</v>
      </c>
      <c r="X690" s="166">
        <v>54260</v>
      </c>
      <c r="Y690" s="170">
        <v>0</v>
      </c>
      <c r="Z690" s="168" t="s">
        <v>1059</v>
      </c>
      <c r="AA690" s="168" t="s">
        <v>1140</v>
      </c>
      <c r="AB690" s="168"/>
      <c r="AC690" s="168"/>
      <c r="AD690" s="168" t="s">
        <v>1058</v>
      </c>
      <c r="AE690" s="168" t="s">
        <v>1059</v>
      </c>
      <c r="AF690" s="166" t="s">
        <v>284</v>
      </c>
      <c r="AG690" s="216">
        <v>44074</v>
      </c>
      <c r="AH690" s="166" t="s">
        <v>1060</v>
      </c>
      <c r="AI690" s="168">
        <v>5</v>
      </c>
      <c r="AJ690" s="168">
        <v>546.41999999999996</v>
      </c>
      <c r="AP690" s="206"/>
      <c r="AQ690" s="207"/>
      <c r="AR690" s="207"/>
      <c r="AS690" s="207"/>
      <c r="AT690" s="208"/>
      <c r="AU690" s="207"/>
      <c r="AV690" s="208"/>
    </row>
    <row r="691" spans="1:48" s="205" customFormat="1" ht="15">
      <c r="A691" s="145"/>
      <c r="B691" s="166">
        <v>2183</v>
      </c>
      <c r="C691" s="167">
        <v>64669</v>
      </c>
      <c r="D691" s="166" t="s">
        <v>1053</v>
      </c>
      <c r="E691" s="168" t="s">
        <v>2120</v>
      </c>
      <c r="F691" s="166">
        <v>1</v>
      </c>
      <c r="G691" s="168"/>
      <c r="H691" s="168"/>
      <c r="I691" s="168"/>
      <c r="J691" s="168">
        <v>0</v>
      </c>
      <c r="K691" s="168"/>
      <c r="L691" s="168"/>
      <c r="M691" s="168" t="s">
        <v>1193</v>
      </c>
      <c r="N691" s="169">
        <v>39755</v>
      </c>
      <c r="O691" s="169">
        <v>39755</v>
      </c>
      <c r="P691" s="168"/>
      <c r="Q691" s="166">
        <v>700</v>
      </c>
      <c r="R691" s="166">
        <v>14050</v>
      </c>
      <c r="S691" s="170">
        <v>17357</v>
      </c>
      <c r="T691" s="166">
        <v>14056</v>
      </c>
      <c r="U691" s="170">
        <v>17357</v>
      </c>
      <c r="V691" s="170">
        <f t="shared" si="30"/>
        <v>0</v>
      </c>
      <c r="W691" s="171">
        <v>0</v>
      </c>
      <c r="X691" s="166">
        <v>54260</v>
      </c>
      <c r="Y691" s="170">
        <v>0</v>
      </c>
      <c r="Z691" s="168" t="s">
        <v>1059</v>
      </c>
      <c r="AA691" s="168" t="s">
        <v>1140</v>
      </c>
      <c r="AB691" s="168"/>
      <c r="AC691" s="168"/>
      <c r="AD691" s="168" t="s">
        <v>1058</v>
      </c>
      <c r="AE691" s="168" t="s">
        <v>1059</v>
      </c>
      <c r="AF691" s="166" t="s">
        <v>284</v>
      </c>
      <c r="AG691" s="216">
        <v>39933</v>
      </c>
      <c r="AH691" s="166" t="s">
        <v>1060</v>
      </c>
      <c r="AI691" s="168">
        <v>0</v>
      </c>
      <c r="AJ691" s="168">
        <v>1239.79</v>
      </c>
      <c r="AP691" s="206"/>
      <c r="AQ691" s="207"/>
      <c r="AR691" s="207"/>
      <c r="AS691" s="207"/>
      <c r="AT691" s="208"/>
      <c r="AU691" s="207"/>
      <c r="AV691" s="208"/>
    </row>
    <row r="692" spans="1:48" s="205" customFormat="1" ht="15">
      <c r="A692" s="145"/>
      <c r="B692" s="166">
        <v>2183</v>
      </c>
      <c r="C692" s="167">
        <v>64658</v>
      </c>
      <c r="D692" s="166" t="s">
        <v>1053</v>
      </c>
      <c r="E692" s="168" t="s">
        <v>1545</v>
      </c>
      <c r="F692" s="166">
        <v>118</v>
      </c>
      <c r="G692" s="168"/>
      <c r="H692" s="168"/>
      <c r="I692" s="168"/>
      <c r="J692" s="168">
        <v>0</v>
      </c>
      <c r="K692" s="168"/>
      <c r="L692" s="168"/>
      <c r="M692" s="168" t="s">
        <v>1203</v>
      </c>
      <c r="N692" s="169">
        <v>39755</v>
      </c>
      <c r="O692" s="169">
        <v>39755</v>
      </c>
      <c r="P692" s="168"/>
      <c r="Q692" s="166">
        <v>1200</v>
      </c>
      <c r="R692" s="166">
        <v>14050</v>
      </c>
      <c r="S692" s="170">
        <v>32310.93</v>
      </c>
      <c r="T692" s="166">
        <v>14056</v>
      </c>
      <c r="U692" s="170">
        <v>32310.93</v>
      </c>
      <c r="V692" s="170">
        <f t="shared" si="30"/>
        <v>0</v>
      </c>
      <c r="W692" s="171">
        <v>0</v>
      </c>
      <c r="X692" s="166">
        <v>54260</v>
      </c>
      <c r="Y692" s="170">
        <v>0</v>
      </c>
      <c r="Z692" s="168" t="s">
        <v>1059</v>
      </c>
      <c r="AA692" s="168" t="s">
        <v>1140</v>
      </c>
      <c r="AB692" s="168"/>
      <c r="AC692" s="168"/>
      <c r="AD692" s="168" t="s">
        <v>1058</v>
      </c>
      <c r="AE692" s="168" t="s">
        <v>1059</v>
      </c>
      <c r="AF692" s="166" t="s">
        <v>284</v>
      </c>
      <c r="AG692" s="216">
        <v>41486</v>
      </c>
      <c r="AH692" s="166" t="s">
        <v>1060</v>
      </c>
      <c r="AI692" s="168">
        <v>7</v>
      </c>
      <c r="AJ692" s="168">
        <v>12789.73</v>
      </c>
      <c r="AP692" s="206"/>
      <c r="AQ692" s="207"/>
      <c r="AR692" s="207"/>
      <c r="AS692" s="207"/>
      <c r="AT692" s="208"/>
      <c r="AU692" s="207"/>
      <c r="AV692" s="208"/>
    </row>
    <row r="693" spans="1:48" s="205" customFormat="1" ht="15">
      <c r="A693" s="145"/>
      <c r="B693" s="166">
        <v>2183</v>
      </c>
      <c r="C693" s="167">
        <v>64656</v>
      </c>
      <c r="D693" s="166" t="s">
        <v>1053</v>
      </c>
      <c r="E693" s="168" t="s">
        <v>1141</v>
      </c>
      <c r="F693" s="166">
        <v>187</v>
      </c>
      <c r="G693" s="168"/>
      <c r="H693" s="168"/>
      <c r="I693" s="168"/>
      <c r="J693" s="168">
        <v>0</v>
      </c>
      <c r="K693" s="168"/>
      <c r="L693" s="168"/>
      <c r="M693" s="168" t="s">
        <v>1133</v>
      </c>
      <c r="N693" s="169">
        <v>39755</v>
      </c>
      <c r="O693" s="169">
        <v>39755</v>
      </c>
      <c r="P693" s="168"/>
      <c r="Q693" s="166">
        <v>1200</v>
      </c>
      <c r="R693" s="166">
        <v>14050</v>
      </c>
      <c r="S693" s="170">
        <v>24504.47</v>
      </c>
      <c r="T693" s="166">
        <v>14056</v>
      </c>
      <c r="U693" s="170">
        <v>24504.47</v>
      </c>
      <c r="V693" s="170">
        <f t="shared" si="30"/>
        <v>0</v>
      </c>
      <c r="W693" s="171">
        <v>0</v>
      </c>
      <c r="X693" s="166">
        <v>54260</v>
      </c>
      <c r="Y693" s="170">
        <v>0</v>
      </c>
      <c r="Z693" s="168" t="s">
        <v>1059</v>
      </c>
      <c r="AA693" s="168" t="s">
        <v>1140</v>
      </c>
      <c r="AB693" s="168"/>
      <c r="AC693" s="168"/>
      <c r="AD693" s="168" t="s">
        <v>1058</v>
      </c>
      <c r="AE693" s="168" t="s">
        <v>1059</v>
      </c>
      <c r="AF693" s="166" t="s">
        <v>284</v>
      </c>
      <c r="AG693" s="216">
        <v>44104</v>
      </c>
      <c r="AH693" s="166" t="s">
        <v>1060</v>
      </c>
      <c r="AI693" s="168">
        <v>6</v>
      </c>
      <c r="AJ693" s="168">
        <v>24334.29</v>
      </c>
      <c r="AP693" s="206"/>
      <c r="AQ693" s="207"/>
      <c r="AR693" s="207"/>
      <c r="AS693" s="207"/>
      <c r="AT693" s="208"/>
      <c r="AU693" s="207"/>
      <c r="AV693" s="208"/>
    </row>
    <row r="694" spans="1:48" s="205" customFormat="1" ht="15">
      <c r="A694" s="145"/>
      <c r="B694" s="166">
        <v>2183</v>
      </c>
      <c r="C694" s="167">
        <v>63871</v>
      </c>
      <c r="D694" s="166" t="s">
        <v>1053</v>
      </c>
      <c r="E694" s="168" t="s">
        <v>2121</v>
      </c>
      <c r="F694" s="166">
        <v>50</v>
      </c>
      <c r="G694" s="168"/>
      <c r="H694" s="168"/>
      <c r="I694" s="168"/>
      <c r="J694" s="168">
        <v>0</v>
      </c>
      <c r="K694" s="168" t="s">
        <v>2023</v>
      </c>
      <c r="L694" s="168"/>
      <c r="M694" s="168"/>
      <c r="N694" s="169">
        <v>39906</v>
      </c>
      <c r="O694" s="169">
        <v>39906</v>
      </c>
      <c r="P694" s="168" t="s">
        <v>2122</v>
      </c>
      <c r="Q694" s="166">
        <v>700</v>
      </c>
      <c r="R694" s="166">
        <v>14050</v>
      </c>
      <c r="S694" s="170">
        <v>2152.64</v>
      </c>
      <c r="T694" s="166">
        <v>14056</v>
      </c>
      <c r="U694" s="170">
        <v>2152.64</v>
      </c>
      <c r="V694" s="170">
        <f t="shared" si="30"/>
        <v>0</v>
      </c>
      <c r="W694" s="171">
        <v>0</v>
      </c>
      <c r="X694" s="166">
        <v>54260</v>
      </c>
      <c r="Y694" s="170">
        <v>0</v>
      </c>
      <c r="Z694" s="168" t="s">
        <v>1053</v>
      </c>
      <c r="AA694" s="168"/>
      <c r="AB694" s="168" t="s">
        <v>2123</v>
      </c>
      <c r="AC694" s="168"/>
      <c r="AD694" s="168" t="s">
        <v>1058</v>
      </c>
      <c r="AE694" s="168" t="s">
        <v>1059</v>
      </c>
      <c r="AF694" s="166" t="s">
        <v>284</v>
      </c>
      <c r="AG694" s="168"/>
      <c r="AH694" s="166" t="s">
        <v>1060</v>
      </c>
      <c r="AI694" s="168">
        <v>0</v>
      </c>
      <c r="AJ694" s="168">
        <v>0</v>
      </c>
      <c r="AP694" s="206"/>
      <c r="AQ694" s="207"/>
      <c r="AR694" s="207"/>
      <c r="AS694" s="207"/>
      <c r="AT694" s="208"/>
      <c r="AU694" s="207"/>
      <c r="AV694" s="208"/>
    </row>
    <row r="695" spans="1:48" s="205" customFormat="1" ht="15">
      <c r="A695" s="145"/>
      <c r="B695" s="166">
        <v>2183</v>
      </c>
      <c r="C695" s="167">
        <v>63870</v>
      </c>
      <c r="D695" s="166" t="s">
        <v>1053</v>
      </c>
      <c r="E695" s="168" t="s">
        <v>2124</v>
      </c>
      <c r="F695" s="166">
        <v>436</v>
      </c>
      <c r="G695" s="168"/>
      <c r="H695" s="168"/>
      <c r="I695" s="168"/>
      <c r="J695" s="168">
        <v>0</v>
      </c>
      <c r="K695" s="168" t="s">
        <v>2023</v>
      </c>
      <c r="L695" s="168"/>
      <c r="M695" s="168"/>
      <c r="N695" s="169">
        <v>39906</v>
      </c>
      <c r="O695" s="169">
        <v>39906</v>
      </c>
      <c r="P695" s="168" t="s">
        <v>2122</v>
      </c>
      <c r="Q695" s="166">
        <v>700</v>
      </c>
      <c r="R695" s="166">
        <v>14050</v>
      </c>
      <c r="S695" s="170">
        <v>21651.7</v>
      </c>
      <c r="T695" s="166">
        <v>14056</v>
      </c>
      <c r="U695" s="170">
        <v>21651.7</v>
      </c>
      <c r="V695" s="170">
        <f t="shared" si="30"/>
        <v>0</v>
      </c>
      <c r="W695" s="171">
        <v>0</v>
      </c>
      <c r="X695" s="166">
        <v>54260</v>
      </c>
      <c r="Y695" s="170">
        <v>0</v>
      </c>
      <c r="Z695" s="168" t="s">
        <v>1053</v>
      </c>
      <c r="AA695" s="168"/>
      <c r="AB695" s="168" t="s">
        <v>2125</v>
      </c>
      <c r="AC695" s="168"/>
      <c r="AD695" s="168" t="s">
        <v>1058</v>
      </c>
      <c r="AE695" s="168" t="s">
        <v>1059</v>
      </c>
      <c r="AF695" s="166" t="s">
        <v>284</v>
      </c>
      <c r="AG695" s="168"/>
      <c r="AH695" s="166" t="s">
        <v>1060</v>
      </c>
      <c r="AI695" s="168">
        <v>0</v>
      </c>
      <c r="AJ695" s="168">
        <v>0</v>
      </c>
      <c r="AP695" s="206"/>
      <c r="AQ695" s="207"/>
      <c r="AR695" s="207"/>
      <c r="AS695" s="207"/>
      <c r="AT695" s="208"/>
      <c r="AU695" s="207"/>
      <c r="AV695" s="208"/>
    </row>
    <row r="696" spans="1:48" s="205" customFormat="1" ht="15">
      <c r="A696" s="145"/>
      <c r="B696" s="166">
        <v>2183</v>
      </c>
      <c r="C696" s="167">
        <v>63829</v>
      </c>
      <c r="D696" s="166" t="s">
        <v>1053</v>
      </c>
      <c r="E696" s="168" t="s">
        <v>2087</v>
      </c>
      <c r="F696" s="166">
        <v>486</v>
      </c>
      <c r="G696" s="168"/>
      <c r="H696" s="168"/>
      <c r="I696" s="168"/>
      <c r="J696" s="168">
        <v>0</v>
      </c>
      <c r="K696" s="168" t="s">
        <v>2023</v>
      </c>
      <c r="L696" s="168"/>
      <c r="M696" s="168"/>
      <c r="N696" s="169">
        <v>39892</v>
      </c>
      <c r="O696" s="169">
        <v>39892</v>
      </c>
      <c r="P696" s="168" t="s">
        <v>2122</v>
      </c>
      <c r="Q696" s="166">
        <v>700</v>
      </c>
      <c r="R696" s="166">
        <v>14050</v>
      </c>
      <c r="S696" s="170">
        <v>24510</v>
      </c>
      <c r="T696" s="166">
        <v>14056</v>
      </c>
      <c r="U696" s="170">
        <v>24510</v>
      </c>
      <c r="V696" s="170">
        <f t="shared" si="30"/>
        <v>0</v>
      </c>
      <c r="W696" s="171">
        <v>0</v>
      </c>
      <c r="X696" s="166">
        <v>54260</v>
      </c>
      <c r="Y696" s="170">
        <v>0</v>
      </c>
      <c r="Z696" s="168" t="s">
        <v>1053</v>
      </c>
      <c r="AA696" s="168"/>
      <c r="AB696" s="168" t="s">
        <v>2126</v>
      </c>
      <c r="AC696" s="168"/>
      <c r="AD696" s="168" t="s">
        <v>1058</v>
      </c>
      <c r="AE696" s="168" t="s">
        <v>1059</v>
      </c>
      <c r="AF696" s="166" t="s">
        <v>284</v>
      </c>
      <c r="AG696" s="168"/>
      <c r="AH696" s="166" t="s">
        <v>1060</v>
      </c>
      <c r="AI696" s="168">
        <v>0</v>
      </c>
      <c r="AJ696" s="168">
        <v>0</v>
      </c>
      <c r="AP696" s="206"/>
      <c r="AQ696" s="207"/>
      <c r="AR696" s="207"/>
      <c r="AS696" s="207"/>
      <c r="AT696" s="208"/>
      <c r="AU696" s="207"/>
      <c r="AV696" s="208"/>
    </row>
    <row r="697" spans="1:48" s="205" customFormat="1" ht="15">
      <c r="A697" s="145"/>
      <c r="B697" s="166">
        <v>2183</v>
      </c>
      <c r="C697" s="167">
        <v>63082</v>
      </c>
      <c r="D697" s="166" t="s">
        <v>1053</v>
      </c>
      <c r="E697" s="168" t="s">
        <v>2127</v>
      </c>
      <c r="F697" s="166">
        <v>75</v>
      </c>
      <c r="G697" s="168"/>
      <c r="H697" s="168"/>
      <c r="I697" s="168"/>
      <c r="J697" s="168">
        <v>0</v>
      </c>
      <c r="K697" s="168" t="s">
        <v>2023</v>
      </c>
      <c r="L697" s="168"/>
      <c r="M697" s="168"/>
      <c r="N697" s="169">
        <v>39859</v>
      </c>
      <c r="O697" s="169">
        <v>39859</v>
      </c>
      <c r="P697" s="168" t="s">
        <v>2128</v>
      </c>
      <c r="Q697" s="166">
        <v>700</v>
      </c>
      <c r="R697" s="166">
        <v>14050</v>
      </c>
      <c r="S697" s="170">
        <v>3861.76</v>
      </c>
      <c r="T697" s="166">
        <v>14056</v>
      </c>
      <c r="U697" s="170">
        <v>3861.76</v>
      </c>
      <c r="V697" s="170">
        <f t="shared" si="30"/>
        <v>0</v>
      </c>
      <c r="W697" s="171">
        <v>0</v>
      </c>
      <c r="X697" s="166">
        <v>54260</v>
      </c>
      <c r="Y697" s="170">
        <v>0</v>
      </c>
      <c r="Z697" s="168" t="s">
        <v>1053</v>
      </c>
      <c r="AA697" s="168"/>
      <c r="AB697" s="168" t="s">
        <v>2129</v>
      </c>
      <c r="AC697" s="168"/>
      <c r="AD697" s="168" t="s">
        <v>1058</v>
      </c>
      <c r="AE697" s="168" t="s">
        <v>1059</v>
      </c>
      <c r="AF697" s="166" t="s">
        <v>284</v>
      </c>
      <c r="AG697" s="168"/>
      <c r="AH697" s="166" t="s">
        <v>1060</v>
      </c>
      <c r="AI697" s="168">
        <v>0</v>
      </c>
      <c r="AJ697" s="168">
        <v>0</v>
      </c>
      <c r="AP697" s="206"/>
      <c r="AQ697" s="207"/>
      <c r="AR697" s="207"/>
      <c r="AS697" s="207"/>
      <c r="AT697" s="208"/>
      <c r="AU697" s="207"/>
      <c r="AV697" s="208"/>
    </row>
    <row r="698" spans="1:48" s="205" customFormat="1" ht="15">
      <c r="A698" s="145"/>
      <c r="B698" s="166">
        <v>2183</v>
      </c>
      <c r="C698" s="167">
        <v>63081</v>
      </c>
      <c r="D698" s="166" t="s">
        <v>1053</v>
      </c>
      <c r="E698" s="168" t="s">
        <v>2127</v>
      </c>
      <c r="F698" s="166">
        <v>75</v>
      </c>
      <c r="G698" s="168"/>
      <c r="H698" s="168"/>
      <c r="I698" s="168"/>
      <c r="J698" s="168">
        <v>0</v>
      </c>
      <c r="K698" s="168" t="s">
        <v>2023</v>
      </c>
      <c r="L698" s="168"/>
      <c r="M698" s="168"/>
      <c r="N698" s="169">
        <v>39859</v>
      </c>
      <c r="O698" s="169">
        <v>39859</v>
      </c>
      <c r="P698" s="168" t="s">
        <v>2128</v>
      </c>
      <c r="Q698" s="166">
        <v>700</v>
      </c>
      <c r="R698" s="166">
        <v>14050</v>
      </c>
      <c r="S698" s="170">
        <v>4321.3900000000003</v>
      </c>
      <c r="T698" s="166">
        <v>14056</v>
      </c>
      <c r="U698" s="170">
        <v>4321.3900000000003</v>
      </c>
      <c r="V698" s="170">
        <f t="shared" si="30"/>
        <v>0</v>
      </c>
      <c r="W698" s="171">
        <v>0</v>
      </c>
      <c r="X698" s="166">
        <v>54260</v>
      </c>
      <c r="Y698" s="170">
        <v>0</v>
      </c>
      <c r="Z698" s="168" t="s">
        <v>1053</v>
      </c>
      <c r="AA698" s="168"/>
      <c r="AB698" s="168" t="s">
        <v>2130</v>
      </c>
      <c r="AC698" s="168"/>
      <c r="AD698" s="168" t="s">
        <v>1058</v>
      </c>
      <c r="AE698" s="168" t="s">
        <v>1059</v>
      </c>
      <c r="AF698" s="166" t="s">
        <v>284</v>
      </c>
      <c r="AG698" s="168"/>
      <c r="AH698" s="166" t="s">
        <v>1060</v>
      </c>
      <c r="AI698" s="168">
        <v>0</v>
      </c>
      <c r="AJ698" s="168">
        <v>0</v>
      </c>
      <c r="AP698" s="206"/>
      <c r="AQ698" s="207"/>
      <c r="AR698" s="207"/>
      <c r="AS698" s="207"/>
      <c r="AT698" s="208"/>
      <c r="AU698" s="207"/>
      <c r="AV698" s="208"/>
    </row>
    <row r="699" spans="1:48" s="205" customFormat="1" ht="15">
      <c r="A699" s="145"/>
      <c r="B699" s="166">
        <v>2183</v>
      </c>
      <c r="C699" s="167">
        <v>63080</v>
      </c>
      <c r="D699" s="166" t="s">
        <v>1053</v>
      </c>
      <c r="E699" s="168" t="s">
        <v>1981</v>
      </c>
      <c r="F699" s="166">
        <v>930</v>
      </c>
      <c r="G699" s="168"/>
      <c r="H699" s="168"/>
      <c r="I699" s="168"/>
      <c r="J699" s="168">
        <v>0</v>
      </c>
      <c r="K699" s="168" t="s">
        <v>2023</v>
      </c>
      <c r="L699" s="168"/>
      <c r="M699" s="168"/>
      <c r="N699" s="169">
        <v>39859</v>
      </c>
      <c r="O699" s="169">
        <v>39859</v>
      </c>
      <c r="P699" s="168" t="s">
        <v>2128</v>
      </c>
      <c r="Q699" s="166">
        <v>700</v>
      </c>
      <c r="R699" s="166">
        <v>14050</v>
      </c>
      <c r="S699" s="170">
        <v>38457.08</v>
      </c>
      <c r="T699" s="166">
        <v>14056</v>
      </c>
      <c r="U699" s="170">
        <v>38457.08</v>
      </c>
      <c r="V699" s="170">
        <f t="shared" si="30"/>
        <v>0</v>
      </c>
      <c r="W699" s="171">
        <v>0</v>
      </c>
      <c r="X699" s="166">
        <v>54260</v>
      </c>
      <c r="Y699" s="170">
        <v>0</v>
      </c>
      <c r="Z699" s="168" t="s">
        <v>1053</v>
      </c>
      <c r="AA699" s="168"/>
      <c r="AB699" s="168" t="s">
        <v>2131</v>
      </c>
      <c r="AC699" s="168"/>
      <c r="AD699" s="168" t="s">
        <v>1058</v>
      </c>
      <c r="AE699" s="168" t="s">
        <v>1059</v>
      </c>
      <c r="AF699" s="166" t="s">
        <v>284</v>
      </c>
      <c r="AG699" s="168"/>
      <c r="AH699" s="166" t="s">
        <v>1060</v>
      </c>
      <c r="AI699" s="168">
        <v>0</v>
      </c>
      <c r="AJ699" s="168">
        <v>0</v>
      </c>
      <c r="AP699" s="206"/>
      <c r="AQ699" s="207"/>
      <c r="AR699" s="207"/>
      <c r="AS699" s="207"/>
      <c r="AT699" s="208"/>
      <c r="AU699" s="207"/>
      <c r="AV699" s="208"/>
    </row>
    <row r="700" spans="1:48" s="205" customFormat="1" ht="15">
      <c r="A700" s="145"/>
      <c r="B700" s="166">
        <v>2183</v>
      </c>
      <c r="C700" s="167">
        <v>62921</v>
      </c>
      <c r="D700" s="166" t="s">
        <v>1053</v>
      </c>
      <c r="E700" s="168" t="s">
        <v>2132</v>
      </c>
      <c r="F700" s="166">
        <v>0</v>
      </c>
      <c r="G700" s="168"/>
      <c r="H700" s="168"/>
      <c r="I700" s="168"/>
      <c r="J700" s="168">
        <v>0</v>
      </c>
      <c r="K700" s="168" t="s">
        <v>1261</v>
      </c>
      <c r="L700" s="168"/>
      <c r="M700" s="168"/>
      <c r="N700" s="169">
        <v>39814</v>
      </c>
      <c r="O700" s="169">
        <v>39814</v>
      </c>
      <c r="P700" s="168" t="s">
        <v>2133</v>
      </c>
      <c r="Q700" s="166">
        <v>201</v>
      </c>
      <c r="R700" s="166">
        <v>14110</v>
      </c>
      <c r="S700" s="170">
        <v>1366.14</v>
      </c>
      <c r="T700" s="166">
        <v>14116</v>
      </c>
      <c r="U700" s="170">
        <v>1366.14</v>
      </c>
      <c r="V700" s="170">
        <f t="shared" si="30"/>
        <v>0</v>
      </c>
      <c r="W700" s="171">
        <v>0</v>
      </c>
      <c r="X700" s="166">
        <v>70260</v>
      </c>
      <c r="Y700" s="170">
        <v>0</v>
      </c>
      <c r="Z700" s="168" t="s">
        <v>1053</v>
      </c>
      <c r="AA700" s="168"/>
      <c r="AB700" s="168" t="s">
        <v>2134</v>
      </c>
      <c r="AC700" s="168"/>
      <c r="AD700" s="168" t="s">
        <v>1058</v>
      </c>
      <c r="AE700" s="168" t="s">
        <v>1059</v>
      </c>
      <c r="AF700" s="166" t="s">
        <v>284</v>
      </c>
      <c r="AG700" s="168"/>
      <c r="AH700" s="166" t="s">
        <v>1060</v>
      </c>
      <c r="AI700" s="168">
        <v>0</v>
      </c>
      <c r="AJ700" s="168">
        <v>0</v>
      </c>
      <c r="AP700" s="206"/>
      <c r="AQ700" s="207"/>
      <c r="AR700" s="207"/>
      <c r="AS700" s="207"/>
      <c r="AT700" s="208"/>
      <c r="AU700" s="207"/>
      <c r="AV700" s="208"/>
    </row>
    <row r="701" spans="1:48" s="205" customFormat="1" ht="15">
      <c r="A701" s="145"/>
      <c r="B701" s="166">
        <v>2183</v>
      </c>
      <c r="C701" s="167">
        <v>62920</v>
      </c>
      <c r="D701" s="166" t="s">
        <v>1053</v>
      </c>
      <c r="E701" s="168" t="s">
        <v>2135</v>
      </c>
      <c r="F701" s="166">
        <v>0</v>
      </c>
      <c r="G701" s="168"/>
      <c r="H701" s="168"/>
      <c r="I701" s="168"/>
      <c r="J701" s="168">
        <v>0</v>
      </c>
      <c r="K701" s="168" t="s">
        <v>1261</v>
      </c>
      <c r="L701" s="168"/>
      <c r="M701" s="168"/>
      <c r="N701" s="169">
        <v>39814</v>
      </c>
      <c r="O701" s="169">
        <v>39814</v>
      </c>
      <c r="P701" s="168" t="s">
        <v>2133</v>
      </c>
      <c r="Q701" s="166">
        <v>201</v>
      </c>
      <c r="R701" s="166">
        <v>14110</v>
      </c>
      <c r="S701" s="170">
        <v>1715.83</v>
      </c>
      <c r="T701" s="166">
        <v>14116</v>
      </c>
      <c r="U701" s="170">
        <v>1715.83</v>
      </c>
      <c r="V701" s="170">
        <f t="shared" si="30"/>
        <v>0</v>
      </c>
      <c r="W701" s="171">
        <v>0</v>
      </c>
      <c r="X701" s="166">
        <v>70260</v>
      </c>
      <c r="Y701" s="170">
        <v>0</v>
      </c>
      <c r="Z701" s="168" t="s">
        <v>1053</v>
      </c>
      <c r="AA701" s="168"/>
      <c r="AB701" s="168" t="s">
        <v>2136</v>
      </c>
      <c r="AC701" s="168"/>
      <c r="AD701" s="168" t="s">
        <v>1058</v>
      </c>
      <c r="AE701" s="168" t="s">
        <v>1059</v>
      </c>
      <c r="AF701" s="166" t="s">
        <v>284</v>
      </c>
      <c r="AG701" s="168"/>
      <c r="AH701" s="166" t="s">
        <v>1060</v>
      </c>
      <c r="AI701" s="168">
        <v>0</v>
      </c>
      <c r="AJ701" s="168">
        <v>0</v>
      </c>
      <c r="AP701" s="206"/>
      <c r="AQ701" s="207"/>
      <c r="AR701" s="207"/>
      <c r="AS701" s="207"/>
      <c r="AT701" s="208"/>
      <c r="AU701" s="207"/>
      <c r="AV701" s="208"/>
    </row>
    <row r="702" spans="1:48" s="205" customFormat="1" ht="15">
      <c r="A702" s="145"/>
      <c r="B702" s="166">
        <v>2183</v>
      </c>
      <c r="C702" s="167">
        <v>62784</v>
      </c>
      <c r="D702" s="166" t="s">
        <v>1053</v>
      </c>
      <c r="E702" s="168" t="s">
        <v>2137</v>
      </c>
      <c r="F702" s="166">
        <v>0</v>
      </c>
      <c r="G702" s="168"/>
      <c r="H702" s="168"/>
      <c r="I702" s="168"/>
      <c r="J702" s="168">
        <v>0</v>
      </c>
      <c r="K702" s="168" t="s">
        <v>2138</v>
      </c>
      <c r="L702" s="168"/>
      <c r="M702" s="168"/>
      <c r="N702" s="169">
        <v>39814</v>
      </c>
      <c r="O702" s="169">
        <v>39814</v>
      </c>
      <c r="P702" s="168" t="s">
        <v>2139</v>
      </c>
      <c r="Q702" s="166">
        <v>411</v>
      </c>
      <c r="R702" s="166">
        <v>14070</v>
      </c>
      <c r="S702" s="170">
        <v>2847</v>
      </c>
      <c r="T702" s="166">
        <v>14076</v>
      </c>
      <c r="U702" s="170">
        <v>2847</v>
      </c>
      <c r="V702" s="170">
        <f t="shared" si="30"/>
        <v>0</v>
      </c>
      <c r="W702" s="171">
        <v>0</v>
      </c>
      <c r="X702" s="166">
        <v>51260</v>
      </c>
      <c r="Y702" s="170">
        <v>0</v>
      </c>
      <c r="Z702" s="168" t="s">
        <v>1053</v>
      </c>
      <c r="AA702" s="168"/>
      <c r="AB702" s="168" t="s">
        <v>2140</v>
      </c>
      <c r="AC702" s="168"/>
      <c r="AD702" s="168" t="s">
        <v>1058</v>
      </c>
      <c r="AE702" s="168" t="s">
        <v>1059</v>
      </c>
      <c r="AF702" s="166" t="s">
        <v>284</v>
      </c>
      <c r="AG702" s="168"/>
      <c r="AH702" s="166" t="s">
        <v>1060</v>
      </c>
      <c r="AI702" s="168">
        <v>0</v>
      </c>
      <c r="AJ702" s="168">
        <v>0</v>
      </c>
      <c r="AP702" s="206"/>
      <c r="AQ702" s="207"/>
      <c r="AR702" s="207"/>
      <c r="AS702" s="207"/>
      <c r="AT702" s="208"/>
      <c r="AU702" s="207"/>
      <c r="AV702" s="208"/>
    </row>
    <row r="703" spans="1:48" s="205" customFormat="1" ht="15">
      <c r="A703" s="145"/>
      <c r="B703" s="166">
        <v>2183</v>
      </c>
      <c r="C703" s="167">
        <v>62604</v>
      </c>
      <c r="D703" s="166">
        <v>61128</v>
      </c>
      <c r="E703" s="168" t="s">
        <v>2141</v>
      </c>
      <c r="F703" s="166">
        <v>0</v>
      </c>
      <c r="G703" s="168"/>
      <c r="H703" s="168"/>
      <c r="I703" s="168"/>
      <c r="J703" s="168">
        <v>0</v>
      </c>
      <c r="K703" s="168"/>
      <c r="L703" s="168"/>
      <c r="M703" s="168" t="s">
        <v>1108</v>
      </c>
      <c r="N703" s="169">
        <v>39814</v>
      </c>
      <c r="O703" s="169">
        <v>39814</v>
      </c>
      <c r="P703" s="168" t="s">
        <v>2142</v>
      </c>
      <c r="Q703" s="166">
        <v>300</v>
      </c>
      <c r="R703" s="166">
        <v>14040</v>
      </c>
      <c r="S703" s="170">
        <v>3949.44</v>
      </c>
      <c r="T703" s="166">
        <v>14046</v>
      </c>
      <c r="U703" s="170">
        <v>3949.44</v>
      </c>
      <c r="V703" s="170">
        <f t="shared" si="30"/>
        <v>0</v>
      </c>
      <c r="W703" s="171">
        <v>0</v>
      </c>
      <c r="X703" s="166">
        <v>51260</v>
      </c>
      <c r="Y703" s="170">
        <v>0</v>
      </c>
      <c r="Z703" s="168" t="s">
        <v>1053</v>
      </c>
      <c r="AA703" s="168"/>
      <c r="AB703" s="168" t="s">
        <v>2143</v>
      </c>
      <c r="AC703" s="168"/>
      <c r="AD703" s="168" t="s">
        <v>1058</v>
      </c>
      <c r="AE703" s="168" t="s">
        <v>1059</v>
      </c>
      <c r="AF703" s="166" t="s">
        <v>284</v>
      </c>
      <c r="AG703" s="168"/>
      <c r="AH703" s="166" t="s">
        <v>1060</v>
      </c>
      <c r="AI703" s="168">
        <v>0</v>
      </c>
      <c r="AJ703" s="168">
        <v>0</v>
      </c>
      <c r="AP703" s="206"/>
      <c r="AQ703" s="207"/>
      <c r="AR703" s="207"/>
      <c r="AS703" s="207"/>
      <c r="AT703" s="208"/>
      <c r="AU703" s="207"/>
      <c r="AV703" s="208"/>
    </row>
    <row r="704" spans="1:48" s="205" customFormat="1" ht="15">
      <c r="A704" s="145"/>
      <c r="B704" s="166">
        <v>2183</v>
      </c>
      <c r="C704" s="167">
        <v>62487</v>
      </c>
      <c r="D704" s="166" t="s">
        <v>1053</v>
      </c>
      <c r="E704" s="168" t="s">
        <v>2144</v>
      </c>
      <c r="F704" s="166">
        <v>0</v>
      </c>
      <c r="G704" s="168"/>
      <c r="H704" s="168"/>
      <c r="I704" s="168"/>
      <c r="J704" s="168">
        <v>0</v>
      </c>
      <c r="K704" s="168"/>
      <c r="L704" s="168"/>
      <c r="M704" s="168"/>
      <c r="N704" s="169">
        <v>39783</v>
      </c>
      <c r="O704" s="169">
        <v>39783</v>
      </c>
      <c r="P704" s="168"/>
      <c r="Q704" s="166">
        <v>0</v>
      </c>
      <c r="R704" s="166">
        <v>15110</v>
      </c>
      <c r="S704" s="170">
        <v>-1045249.13</v>
      </c>
      <c r="T704" s="166">
        <v>15120</v>
      </c>
      <c r="U704" s="170">
        <v>0</v>
      </c>
      <c r="V704" s="170">
        <f t="shared" si="30"/>
        <v>-1045249.13</v>
      </c>
      <c r="W704" s="171">
        <v>0</v>
      </c>
      <c r="X704" s="166">
        <v>0</v>
      </c>
      <c r="Y704" s="170">
        <v>0</v>
      </c>
      <c r="Z704" s="168" t="s">
        <v>1059</v>
      </c>
      <c r="AA704" s="168" t="s">
        <v>2145</v>
      </c>
      <c r="AB704" s="168"/>
      <c r="AC704" s="168"/>
      <c r="AD704" s="168" t="s">
        <v>1058</v>
      </c>
      <c r="AE704" s="168" t="s">
        <v>1059</v>
      </c>
      <c r="AF704" s="166" t="s">
        <v>1217</v>
      </c>
      <c r="AG704" s="168"/>
      <c r="AH704" s="166" t="s">
        <v>1060</v>
      </c>
      <c r="AI704" s="168">
        <v>0</v>
      </c>
      <c r="AJ704" s="168">
        <v>0</v>
      </c>
      <c r="AP704" s="206"/>
      <c r="AQ704" s="207"/>
      <c r="AR704" s="207"/>
      <c r="AS704" s="207"/>
      <c r="AT704" s="208"/>
      <c r="AU704" s="207"/>
      <c r="AV704" s="208"/>
    </row>
    <row r="705" spans="1:48" s="205" customFormat="1" ht="15">
      <c r="A705" s="145"/>
      <c r="B705" s="166">
        <v>2183</v>
      </c>
      <c r="C705" s="167">
        <v>61495</v>
      </c>
      <c r="D705" s="166" t="s">
        <v>1053</v>
      </c>
      <c r="E705" s="168" t="s">
        <v>2146</v>
      </c>
      <c r="F705" s="166">
        <v>0</v>
      </c>
      <c r="G705" s="168"/>
      <c r="H705" s="168"/>
      <c r="I705" s="168"/>
      <c r="J705" s="168">
        <v>0</v>
      </c>
      <c r="K705" s="168"/>
      <c r="L705" s="168"/>
      <c r="M705" s="168"/>
      <c r="N705" s="169">
        <v>39755</v>
      </c>
      <c r="O705" s="169">
        <v>39755</v>
      </c>
      <c r="P705" s="168"/>
      <c r="Q705" s="166">
        <v>0</v>
      </c>
      <c r="R705" s="166">
        <v>15260</v>
      </c>
      <c r="S705" s="170">
        <v>3093535</v>
      </c>
      <c r="T705" s="166">
        <v>15266</v>
      </c>
      <c r="U705" s="170">
        <v>0</v>
      </c>
      <c r="V705" s="170">
        <f t="shared" si="30"/>
        <v>3093535</v>
      </c>
      <c r="W705" s="171">
        <v>0</v>
      </c>
      <c r="X705" s="166"/>
      <c r="Y705" s="170">
        <v>0</v>
      </c>
      <c r="Z705" s="168" t="s">
        <v>1059</v>
      </c>
      <c r="AA705" s="168" t="s">
        <v>1140</v>
      </c>
      <c r="AB705" s="168"/>
      <c r="AC705" s="168"/>
      <c r="AD705" s="168" t="s">
        <v>1058</v>
      </c>
      <c r="AE705" s="168" t="s">
        <v>1059</v>
      </c>
      <c r="AF705" s="166" t="s">
        <v>1217</v>
      </c>
      <c r="AG705" s="168"/>
      <c r="AH705" s="166" t="s">
        <v>1060</v>
      </c>
      <c r="AI705" s="168">
        <v>0</v>
      </c>
      <c r="AJ705" s="168">
        <v>0</v>
      </c>
      <c r="AP705" s="206"/>
      <c r="AQ705" s="207"/>
      <c r="AR705" s="207"/>
      <c r="AS705" s="207"/>
      <c r="AT705" s="208"/>
      <c r="AU705" s="207"/>
      <c r="AV705" s="208"/>
    </row>
    <row r="706" spans="1:48" s="205" customFormat="1" ht="15">
      <c r="A706" s="145"/>
      <c r="B706" s="166">
        <v>2183</v>
      </c>
      <c r="C706" s="167">
        <v>61494</v>
      </c>
      <c r="D706" s="166" t="s">
        <v>1053</v>
      </c>
      <c r="E706" s="168" t="s">
        <v>2147</v>
      </c>
      <c r="F706" s="166">
        <v>0</v>
      </c>
      <c r="G706" s="168"/>
      <c r="H706" s="168"/>
      <c r="I706" s="168"/>
      <c r="J706" s="168">
        <v>0</v>
      </c>
      <c r="K706" s="168"/>
      <c r="L706" s="168"/>
      <c r="M706" s="168"/>
      <c r="N706" s="169">
        <v>39755</v>
      </c>
      <c r="O706" s="169">
        <v>39755</v>
      </c>
      <c r="P706" s="168"/>
      <c r="Q706" s="166">
        <v>0</v>
      </c>
      <c r="R706" s="166">
        <v>15260</v>
      </c>
      <c r="S706" s="170">
        <v>5634865</v>
      </c>
      <c r="T706" s="166">
        <v>15266</v>
      </c>
      <c r="U706" s="170">
        <v>0</v>
      </c>
      <c r="V706" s="170">
        <f t="shared" si="30"/>
        <v>5634865</v>
      </c>
      <c r="W706" s="171">
        <v>0</v>
      </c>
      <c r="X706" s="166"/>
      <c r="Y706" s="170">
        <v>0</v>
      </c>
      <c r="Z706" s="168" t="s">
        <v>1059</v>
      </c>
      <c r="AA706" s="168" t="s">
        <v>1140</v>
      </c>
      <c r="AB706" s="168"/>
      <c r="AC706" s="168"/>
      <c r="AD706" s="168" t="s">
        <v>1058</v>
      </c>
      <c r="AE706" s="168" t="s">
        <v>1059</v>
      </c>
      <c r="AF706" s="166" t="s">
        <v>1217</v>
      </c>
      <c r="AG706" s="168"/>
      <c r="AH706" s="166" t="s">
        <v>1060</v>
      </c>
      <c r="AI706" s="168">
        <v>0</v>
      </c>
      <c r="AJ706" s="168">
        <v>0</v>
      </c>
      <c r="AP706" s="206"/>
      <c r="AQ706" s="207"/>
      <c r="AR706" s="207"/>
      <c r="AS706" s="207"/>
      <c r="AT706" s="208"/>
      <c r="AU706" s="207"/>
      <c r="AV706" s="208"/>
    </row>
    <row r="707" spans="1:48" s="205" customFormat="1" ht="15">
      <c r="A707" s="145"/>
      <c r="B707" s="166">
        <v>2183</v>
      </c>
      <c r="C707" s="167">
        <v>61493</v>
      </c>
      <c r="D707" s="166" t="s">
        <v>1053</v>
      </c>
      <c r="E707" s="168" t="s">
        <v>2148</v>
      </c>
      <c r="F707" s="166">
        <v>0</v>
      </c>
      <c r="G707" s="168"/>
      <c r="H707" s="168"/>
      <c r="I707" s="168"/>
      <c r="J707" s="168">
        <v>0</v>
      </c>
      <c r="K707" s="168"/>
      <c r="L707" s="168"/>
      <c r="M707" s="168"/>
      <c r="N707" s="169">
        <v>39755</v>
      </c>
      <c r="O707" s="169">
        <v>39755</v>
      </c>
      <c r="P707" s="168"/>
      <c r="Q707" s="166">
        <v>0</v>
      </c>
      <c r="R707" s="166">
        <v>15260</v>
      </c>
      <c r="S707" s="170">
        <v>32885751</v>
      </c>
      <c r="T707" s="166">
        <v>15266</v>
      </c>
      <c r="U707" s="170">
        <v>0</v>
      </c>
      <c r="V707" s="170">
        <f t="shared" si="30"/>
        <v>32885751</v>
      </c>
      <c r="W707" s="171">
        <v>0</v>
      </c>
      <c r="X707" s="166"/>
      <c r="Y707" s="170">
        <v>0</v>
      </c>
      <c r="Z707" s="168" t="s">
        <v>1059</v>
      </c>
      <c r="AA707" s="168" t="s">
        <v>1140</v>
      </c>
      <c r="AB707" s="168"/>
      <c r="AC707" s="168"/>
      <c r="AD707" s="168" t="s">
        <v>1058</v>
      </c>
      <c r="AE707" s="168" t="s">
        <v>1059</v>
      </c>
      <c r="AF707" s="166" t="s">
        <v>1217</v>
      </c>
      <c r="AG707" s="168"/>
      <c r="AH707" s="166" t="s">
        <v>1060</v>
      </c>
      <c r="AI707" s="168">
        <v>0</v>
      </c>
      <c r="AJ707" s="168">
        <v>0</v>
      </c>
      <c r="AP707" s="206"/>
      <c r="AQ707" s="207"/>
      <c r="AR707" s="207"/>
      <c r="AS707" s="207"/>
      <c r="AT707" s="208"/>
      <c r="AU707" s="207"/>
      <c r="AV707" s="208"/>
    </row>
    <row r="708" spans="1:48" s="205" customFormat="1" ht="15">
      <c r="A708" s="145"/>
      <c r="B708" s="166">
        <v>2183</v>
      </c>
      <c r="C708" s="167">
        <v>61492</v>
      </c>
      <c r="D708" s="166" t="s">
        <v>1053</v>
      </c>
      <c r="E708" s="168" t="s">
        <v>2149</v>
      </c>
      <c r="F708" s="166">
        <v>0</v>
      </c>
      <c r="G708" s="168"/>
      <c r="H708" s="168"/>
      <c r="I708" s="168"/>
      <c r="J708" s="168">
        <v>0</v>
      </c>
      <c r="K708" s="168"/>
      <c r="L708" s="168"/>
      <c r="M708" s="168"/>
      <c r="N708" s="169">
        <v>39755</v>
      </c>
      <c r="O708" s="169">
        <v>39755</v>
      </c>
      <c r="P708" s="168"/>
      <c r="Q708" s="166">
        <v>2000</v>
      </c>
      <c r="R708" s="166">
        <v>14080</v>
      </c>
      <c r="S708" s="170">
        <v>2698000</v>
      </c>
      <c r="T708" s="166">
        <v>14086</v>
      </c>
      <c r="U708" s="170">
        <v>1764941.66</v>
      </c>
      <c r="V708" s="170">
        <f t="shared" si="30"/>
        <v>933058.34000000008</v>
      </c>
      <c r="W708" s="171">
        <v>123658.33</v>
      </c>
      <c r="X708" s="166">
        <v>57260</v>
      </c>
      <c r="Y708" s="170">
        <v>11241.66</v>
      </c>
      <c r="Z708" s="168" t="s">
        <v>1059</v>
      </c>
      <c r="AA708" s="168" t="s">
        <v>1140</v>
      </c>
      <c r="AB708" s="168"/>
      <c r="AC708" s="168"/>
      <c r="AD708" s="168" t="s">
        <v>1058</v>
      </c>
      <c r="AE708" s="168" t="s">
        <v>1059</v>
      </c>
      <c r="AF708" s="166" t="s">
        <v>284</v>
      </c>
      <c r="AG708" s="168"/>
      <c r="AH708" s="166" t="s">
        <v>1060</v>
      </c>
      <c r="AI708" s="168">
        <v>0</v>
      </c>
      <c r="AJ708" s="168">
        <v>0</v>
      </c>
      <c r="AP708" s="206"/>
      <c r="AQ708" s="207"/>
      <c r="AR708" s="207"/>
      <c r="AS708" s="207"/>
      <c r="AT708" s="208"/>
      <c r="AU708" s="207"/>
      <c r="AV708" s="208"/>
    </row>
    <row r="709" spans="1:48" s="205" customFormat="1" ht="15">
      <c r="A709" s="145"/>
      <c r="B709" s="166">
        <v>2183</v>
      </c>
      <c r="C709" s="167">
        <v>61491</v>
      </c>
      <c r="D709" s="166" t="s">
        <v>1053</v>
      </c>
      <c r="E709" s="168" t="s">
        <v>1325</v>
      </c>
      <c r="F709" s="166">
        <v>38</v>
      </c>
      <c r="G709" s="168"/>
      <c r="H709" s="168"/>
      <c r="I709" s="168"/>
      <c r="J709" s="168">
        <v>0</v>
      </c>
      <c r="K709" s="168"/>
      <c r="L709" s="168"/>
      <c r="M709" s="168" t="s">
        <v>1207</v>
      </c>
      <c r="N709" s="169">
        <v>39755</v>
      </c>
      <c r="O709" s="169">
        <v>39755</v>
      </c>
      <c r="P709" s="168"/>
      <c r="Q709" s="166">
        <v>1200</v>
      </c>
      <c r="R709" s="166">
        <v>14050</v>
      </c>
      <c r="S709" s="170">
        <v>5305.19</v>
      </c>
      <c r="T709" s="166">
        <v>14056</v>
      </c>
      <c r="U709" s="170">
        <v>5305.19</v>
      </c>
      <c r="V709" s="170">
        <f t="shared" si="30"/>
        <v>0</v>
      </c>
      <c r="W709" s="171">
        <v>0</v>
      </c>
      <c r="X709" s="166">
        <v>54260</v>
      </c>
      <c r="Y709" s="170">
        <v>0</v>
      </c>
      <c r="Z709" s="168" t="s">
        <v>1059</v>
      </c>
      <c r="AA709" s="168" t="s">
        <v>1140</v>
      </c>
      <c r="AB709" s="168"/>
      <c r="AC709" s="168"/>
      <c r="AD709" s="168" t="s">
        <v>1058</v>
      </c>
      <c r="AE709" s="168" t="s">
        <v>1059</v>
      </c>
      <c r="AF709" s="166" t="s">
        <v>284</v>
      </c>
      <c r="AG709" s="216">
        <v>43281</v>
      </c>
      <c r="AH709" s="166" t="s">
        <v>1060</v>
      </c>
      <c r="AI709" s="168">
        <v>18</v>
      </c>
      <c r="AJ709" s="168">
        <v>4273.62</v>
      </c>
      <c r="AP709" s="206"/>
      <c r="AQ709" s="207"/>
      <c r="AR709" s="207"/>
      <c r="AS709" s="207"/>
      <c r="AT709" s="208"/>
      <c r="AU709" s="207"/>
      <c r="AV709" s="208"/>
    </row>
    <row r="710" spans="1:48" s="205" customFormat="1" ht="15">
      <c r="A710" s="145"/>
      <c r="B710" s="166">
        <v>2183</v>
      </c>
      <c r="C710" s="167">
        <v>61490</v>
      </c>
      <c r="D710" s="166" t="s">
        <v>1053</v>
      </c>
      <c r="E710" s="168" t="s">
        <v>2150</v>
      </c>
      <c r="F710" s="166">
        <v>13</v>
      </c>
      <c r="G710" s="168"/>
      <c r="H710" s="168"/>
      <c r="I710" s="168"/>
      <c r="J710" s="168">
        <v>0</v>
      </c>
      <c r="K710" s="168"/>
      <c r="L710" s="168"/>
      <c r="M710" s="168" t="s">
        <v>1353</v>
      </c>
      <c r="N710" s="169">
        <v>39755</v>
      </c>
      <c r="O710" s="169">
        <v>39755</v>
      </c>
      <c r="P710" s="168"/>
      <c r="Q710" s="166">
        <v>700</v>
      </c>
      <c r="R710" s="166">
        <v>14050</v>
      </c>
      <c r="S710" s="170">
        <v>16852.53</v>
      </c>
      <c r="T710" s="166">
        <v>14056</v>
      </c>
      <c r="U710" s="170">
        <v>16852.53</v>
      </c>
      <c r="V710" s="170">
        <f t="shared" si="30"/>
        <v>0</v>
      </c>
      <c r="W710" s="171">
        <v>0</v>
      </c>
      <c r="X710" s="166">
        <v>54260</v>
      </c>
      <c r="Y710" s="170">
        <v>0</v>
      </c>
      <c r="Z710" s="168" t="s">
        <v>1059</v>
      </c>
      <c r="AA710" s="168" t="s">
        <v>1140</v>
      </c>
      <c r="AB710" s="168"/>
      <c r="AC710" s="168"/>
      <c r="AD710" s="168" t="s">
        <v>1058</v>
      </c>
      <c r="AE710" s="168" t="s">
        <v>1059</v>
      </c>
      <c r="AF710" s="166" t="s">
        <v>284</v>
      </c>
      <c r="AG710" s="216">
        <v>44408</v>
      </c>
      <c r="AH710" s="166" t="s">
        <v>1060</v>
      </c>
      <c r="AI710" s="168">
        <v>13</v>
      </c>
      <c r="AJ710" s="168">
        <v>16852.53</v>
      </c>
      <c r="AP710" s="206"/>
      <c r="AQ710" s="207"/>
      <c r="AR710" s="207"/>
      <c r="AS710" s="207"/>
      <c r="AT710" s="208"/>
      <c r="AU710" s="207"/>
      <c r="AV710" s="208"/>
    </row>
    <row r="711" spans="1:48" s="205" customFormat="1" ht="15">
      <c r="A711" s="145"/>
      <c r="B711" s="166">
        <v>2183</v>
      </c>
      <c r="C711" s="167">
        <v>61489</v>
      </c>
      <c r="D711" s="166" t="s">
        <v>1053</v>
      </c>
      <c r="E711" s="168" t="s">
        <v>2151</v>
      </c>
      <c r="F711" s="166">
        <v>108090</v>
      </c>
      <c r="G711" s="168"/>
      <c r="H711" s="168"/>
      <c r="I711" s="168"/>
      <c r="J711" s="168">
        <v>0</v>
      </c>
      <c r="K711" s="168"/>
      <c r="L711" s="168"/>
      <c r="M711" s="168"/>
      <c r="N711" s="169">
        <v>39755</v>
      </c>
      <c r="O711" s="169">
        <v>39755</v>
      </c>
      <c r="P711" s="168"/>
      <c r="Q711" s="166">
        <v>500</v>
      </c>
      <c r="R711" s="166">
        <v>14050</v>
      </c>
      <c r="S711" s="170">
        <v>1060918.8700000001</v>
      </c>
      <c r="T711" s="166">
        <v>14056</v>
      </c>
      <c r="U711" s="170">
        <v>1060918.8700000001</v>
      </c>
      <c r="V711" s="170">
        <f t="shared" si="30"/>
        <v>0</v>
      </c>
      <c r="W711" s="171">
        <v>0</v>
      </c>
      <c r="X711" s="166">
        <v>54260</v>
      </c>
      <c r="Y711" s="170">
        <v>0</v>
      </c>
      <c r="Z711" s="168" t="s">
        <v>1059</v>
      </c>
      <c r="AA711" s="168" t="s">
        <v>1140</v>
      </c>
      <c r="AB711" s="168"/>
      <c r="AC711" s="168"/>
      <c r="AD711" s="168" t="s">
        <v>1058</v>
      </c>
      <c r="AE711" s="168" t="s">
        <v>1059</v>
      </c>
      <c r="AF711" s="166" t="s">
        <v>284</v>
      </c>
      <c r="AG711" s="168"/>
      <c r="AH711" s="166" t="s">
        <v>1060</v>
      </c>
      <c r="AI711" s="168">
        <v>4</v>
      </c>
      <c r="AJ711" s="168">
        <v>0</v>
      </c>
      <c r="AP711" s="206"/>
      <c r="AQ711" s="207"/>
      <c r="AR711" s="207"/>
      <c r="AS711" s="207"/>
      <c r="AT711" s="208"/>
      <c r="AU711" s="207"/>
      <c r="AV711" s="208"/>
    </row>
    <row r="712" spans="1:48" s="205" customFormat="1" ht="15">
      <c r="A712" s="145"/>
      <c r="B712" s="166">
        <v>2183</v>
      </c>
      <c r="C712" s="167">
        <v>61488</v>
      </c>
      <c r="D712" s="166" t="s">
        <v>1053</v>
      </c>
      <c r="E712" s="168" t="s">
        <v>908</v>
      </c>
      <c r="F712" s="166">
        <v>7</v>
      </c>
      <c r="G712" s="168"/>
      <c r="H712" s="168"/>
      <c r="I712" s="168"/>
      <c r="J712" s="168">
        <v>0</v>
      </c>
      <c r="K712" s="168"/>
      <c r="L712" s="168"/>
      <c r="M712" s="168" t="s">
        <v>1145</v>
      </c>
      <c r="N712" s="169">
        <v>39755</v>
      </c>
      <c r="O712" s="169">
        <v>39755</v>
      </c>
      <c r="P712" s="168"/>
      <c r="Q712" s="166">
        <v>700</v>
      </c>
      <c r="R712" s="166">
        <v>14050</v>
      </c>
      <c r="S712" s="170">
        <v>100552.05</v>
      </c>
      <c r="T712" s="166">
        <v>14056</v>
      </c>
      <c r="U712" s="170">
        <v>100552.05</v>
      </c>
      <c r="V712" s="170">
        <f t="shared" si="30"/>
        <v>0</v>
      </c>
      <c r="W712" s="171">
        <v>0</v>
      </c>
      <c r="X712" s="166">
        <v>54260</v>
      </c>
      <c r="Y712" s="170">
        <v>0</v>
      </c>
      <c r="Z712" s="168" t="s">
        <v>1059</v>
      </c>
      <c r="AA712" s="168" t="s">
        <v>1140</v>
      </c>
      <c r="AB712" s="168"/>
      <c r="AC712" s="168"/>
      <c r="AD712" s="168" t="s">
        <v>1058</v>
      </c>
      <c r="AE712" s="168" t="s">
        <v>1059</v>
      </c>
      <c r="AF712" s="166" t="s">
        <v>284</v>
      </c>
      <c r="AG712" s="216">
        <v>43281</v>
      </c>
      <c r="AH712" s="166" t="s">
        <v>1060</v>
      </c>
      <c r="AI712" s="168">
        <v>9</v>
      </c>
      <c r="AJ712" s="168">
        <v>100552.05</v>
      </c>
      <c r="AP712" s="206"/>
      <c r="AQ712" s="207"/>
      <c r="AR712" s="207"/>
      <c r="AS712" s="207"/>
      <c r="AT712" s="208"/>
      <c r="AU712" s="207"/>
      <c r="AV712" s="208"/>
    </row>
    <row r="713" spans="1:48" s="205" customFormat="1" ht="15">
      <c r="A713" s="145"/>
      <c r="B713" s="166">
        <v>2183</v>
      </c>
      <c r="C713" s="167">
        <v>61487</v>
      </c>
      <c r="D713" s="166" t="s">
        <v>1053</v>
      </c>
      <c r="E713" s="168" t="s">
        <v>908</v>
      </c>
      <c r="F713" s="166">
        <v>66</v>
      </c>
      <c r="G713" s="168"/>
      <c r="H713" s="168"/>
      <c r="I713" s="168"/>
      <c r="J713" s="168">
        <v>0</v>
      </c>
      <c r="K713" s="168"/>
      <c r="L713" s="168"/>
      <c r="M713" s="168" t="s">
        <v>1145</v>
      </c>
      <c r="N713" s="169">
        <v>39755</v>
      </c>
      <c r="O713" s="169">
        <v>39755</v>
      </c>
      <c r="P713" s="168"/>
      <c r="Q713" s="166">
        <v>700</v>
      </c>
      <c r="R713" s="166">
        <v>14050</v>
      </c>
      <c r="S713" s="170">
        <v>99112.99</v>
      </c>
      <c r="T713" s="166">
        <v>14056</v>
      </c>
      <c r="U713" s="170">
        <v>99112.99</v>
      </c>
      <c r="V713" s="170">
        <f t="shared" si="30"/>
        <v>0</v>
      </c>
      <c r="W713" s="171">
        <v>0</v>
      </c>
      <c r="X713" s="166">
        <v>54260</v>
      </c>
      <c r="Y713" s="170">
        <v>0</v>
      </c>
      <c r="Z713" s="168" t="s">
        <v>1059</v>
      </c>
      <c r="AA713" s="168" t="s">
        <v>1140</v>
      </c>
      <c r="AB713" s="168"/>
      <c r="AC713" s="168"/>
      <c r="AD713" s="168" t="s">
        <v>1058</v>
      </c>
      <c r="AE713" s="168" t="s">
        <v>1059</v>
      </c>
      <c r="AF713" s="166" t="s">
        <v>284</v>
      </c>
      <c r="AG713" s="216">
        <v>43281</v>
      </c>
      <c r="AH713" s="166" t="s">
        <v>1060</v>
      </c>
      <c r="AI713" s="168">
        <v>7</v>
      </c>
      <c r="AJ713" s="168">
        <v>99112.99</v>
      </c>
      <c r="AP713" s="206"/>
      <c r="AQ713" s="207"/>
      <c r="AR713" s="207"/>
      <c r="AS713" s="207"/>
      <c r="AT713" s="208"/>
      <c r="AU713" s="207"/>
      <c r="AV713" s="208"/>
    </row>
    <row r="714" spans="1:48" s="205" customFormat="1" ht="15">
      <c r="A714" s="145"/>
      <c r="B714" s="166">
        <v>2183</v>
      </c>
      <c r="C714" s="167">
        <v>61486</v>
      </c>
      <c r="D714" s="166" t="s">
        <v>1053</v>
      </c>
      <c r="E714" s="168" t="s">
        <v>2152</v>
      </c>
      <c r="F714" s="166">
        <v>0</v>
      </c>
      <c r="G714" s="168"/>
      <c r="H714" s="168"/>
      <c r="I714" s="168"/>
      <c r="J714" s="168">
        <v>0</v>
      </c>
      <c r="K714" s="168"/>
      <c r="L714" s="168"/>
      <c r="M714" s="168"/>
      <c r="N714" s="169">
        <v>39755</v>
      </c>
      <c r="O714" s="169">
        <v>39755</v>
      </c>
      <c r="P714" s="168"/>
      <c r="Q714" s="166">
        <v>2000</v>
      </c>
      <c r="R714" s="166">
        <v>14010</v>
      </c>
      <c r="S714" s="170">
        <v>600000</v>
      </c>
      <c r="T714" s="166">
        <v>14016</v>
      </c>
      <c r="U714" s="170">
        <v>392500</v>
      </c>
      <c r="V714" s="170">
        <f t="shared" si="30"/>
        <v>207500</v>
      </c>
      <c r="W714" s="171">
        <v>27500</v>
      </c>
      <c r="X714" s="166">
        <v>57260</v>
      </c>
      <c r="Y714" s="170">
        <v>2500</v>
      </c>
      <c r="Z714" s="168" t="s">
        <v>1059</v>
      </c>
      <c r="AA714" s="168" t="s">
        <v>1140</v>
      </c>
      <c r="AB714" s="168"/>
      <c r="AC714" s="168"/>
      <c r="AD714" s="168" t="s">
        <v>1058</v>
      </c>
      <c r="AE714" s="168" t="s">
        <v>1059</v>
      </c>
      <c r="AF714" s="166" t="s">
        <v>284</v>
      </c>
      <c r="AG714" s="168"/>
      <c r="AH714" s="166" t="s">
        <v>1060</v>
      </c>
      <c r="AI714" s="168">
        <v>0</v>
      </c>
      <c r="AJ714" s="168">
        <v>0</v>
      </c>
      <c r="AP714" s="206"/>
      <c r="AQ714" s="207"/>
      <c r="AR714" s="207"/>
      <c r="AS714" s="207"/>
      <c r="AT714" s="208"/>
      <c r="AU714" s="207"/>
      <c r="AV714" s="208"/>
    </row>
    <row r="715" spans="1:48" s="205" customFormat="1" ht="15">
      <c r="A715" s="145"/>
      <c r="B715" s="166">
        <v>2183</v>
      </c>
      <c r="C715" s="167">
        <v>61130</v>
      </c>
      <c r="D715" s="166" t="s">
        <v>1053</v>
      </c>
      <c r="E715" s="168" t="s">
        <v>2153</v>
      </c>
      <c r="F715" s="166">
        <v>0</v>
      </c>
      <c r="G715" s="168"/>
      <c r="H715" s="168"/>
      <c r="I715" s="168"/>
      <c r="J715" s="168">
        <v>0</v>
      </c>
      <c r="K715" s="168"/>
      <c r="L715" s="168"/>
      <c r="M715" s="168"/>
      <c r="N715" s="169">
        <v>39755</v>
      </c>
      <c r="O715" s="169">
        <v>39755</v>
      </c>
      <c r="P715" s="168"/>
      <c r="Q715" s="166">
        <v>0</v>
      </c>
      <c r="R715" s="166">
        <v>15110</v>
      </c>
      <c r="S715" s="170">
        <v>3164917</v>
      </c>
      <c r="T715" s="166">
        <v>15120</v>
      </c>
      <c r="U715" s="170">
        <v>0</v>
      </c>
      <c r="V715" s="170">
        <f t="shared" si="30"/>
        <v>3164917</v>
      </c>
      <c r="W715" s="171">
        <v>0</v>
      </c>
      <c r="X715" s="166"/>
      <c r="Y715" s="170">
        <v>0</v>
      </c>
      <c r="Z715" s="168" t="s">
        <v>1059</v>
      </c>
      <c r="AA715" s="168" t="s">
        <v>1140</v>
      </c>
      <c r="AB715" s="168"/>
      <c r="AC715" s="168"/>
      <c r="AD715" s="168" t="s">
        <v>1058</v>
      </c>
      <c r="AE715" s="168" t="s">
        <v>1059</v>
      </c>
      <c r="AF715" s="166" t="s">
        <v>1217</v>
      </c>
      <c r="AG715" s="168"/>
      <c r="AH715" s="166" t="s">
        <v>1060</v>
      </c>
      <c r="AI715" s="168">
        <v>0</v>
      </c>
      <c r="AJ715" s="168">
        <v>0</v>
      </c>
      <c r="AP715" s="206"/>
      <c r="AQ715" s="207"/>
      <c r="AR715" s="207"/>
      <c r="AS715" s="207"/>
      <c r="AT715" s="208"/>
      <c r="AU715" s="207"/>
      <c r="AV715" s="208"/>
    </row>
    <row r="716" spans="1:48" s="205" customFormat="1" ht="15">
      <c r="A716" s="145"/>
      <c r="B716" s="166">
        <v>2183</v>
      </c>
      <c r="C716" s="167">
        <v>61129</v>
      </c>
      <c r="D716" s="166" t="s">
        <v>1053</v>
      </c>
      <c r="E716" s="168" t="s">
        <v>2154</v>
      </c>
      <c r="F716" s="166">
        <v>0</v>
      </c>
      <c r="G716" s="168"/>
      <c r="H716" s="168" t="s">
        <v>2155</v>
      </c>
      <c r="I716" s="168"/>
      <c r="J716" s="168">
        <v>2009</v>
      </c>
      <c r="K716" s="168" t="s">
        <v>1196</v>
      </c>
      <c r="L716" s="168" t="s">
        <v>1584</v>
      </c>
      <c r="M716" s="168" t="s">
        <v>1152</v>
      </c>
      <c r="N716" s="169">
        <v>39755</v>
      </c>
      <c r="O716" s="169">
        <v>39755</v>
      </c>
      <c r="P716" s="168"/>
      <c r="Q716" s="166">
        <v>1000</v>
      </c>
      <c r="R716" s="166">
        <v>14040</v>
      </c>
      <c r="S716" s="170">
        <v>132128.6</v>
      </c>
      <c r="T716" s="166">
        <v>14046</v>
      </c>
      <c r="U716" s="170">
        <v>132128.6</v>
      </c>
      <c r="V716" s="170">
        <f t="shared" si="30"/>
        <v>0</v>
      </c>
      <c r="W716" s="171">
        <v>0</v>
      </c>
      <c r="X716" s="166">
        <v>51260</v>
      </c>
      <c r="Y716" s="170">
        <v>0</v>
      </c>
      <c r="Z716" s="168" t="s">
        <v>1059</v>
      </c>
      <c r="AA716" s="168" t="s">
        <v>1140</v>
      </c>
      <c r="AB716" s="168"/>
      <c r="AC716" s="168">
        <v>3622</v>
      </c>
      <c r="AD716" s="168" t="s">
        <v>1058</v>
      </c>
      <c r="AE716" s="168" t="s">
        <v>1059</v>
      </c>
      <c r="AF716" s="166" t="s">
        <v>284</v>
      </c>
      <c r="AG716" s="168"/>
      <c r="AH716" s="166" t="s">
        <v>1060</v>
      </c>
      <c r="AI716" s="168">
        <v>0</v>
      </c>
      <c r="AJ716" s="168">
        <v>0</v>
      </c>
      <c r="AP716" s="206"/>
      <c r="AQ716" s="207"/>
      <c r="AR716" s="207"/>
      <c r="AS716" s="207"/>
      <c r="AT716" s="208"/>
      <c r="AU716" s="207"/>
      <c r="AV716" s="208"/>
    </row>
    <row r="717" spans="1:48" s="205" customFormat="1" ht="15">
      <c r="A717" s="145"/>
      <c r="B717" s="166">
        <v>2183</v>
      </c>
      <c r="C717" s="167">
        <v>61128</v>
      </c>
      <c r="D717" s="166" t="s">
        <v>1053</v>
      </c>
      <c r="E717" s="168" t="s">
        <v>2154</v>
      </c>
      <c r="F717" s="166">
        <v>0</v>
      </c>
      <c r="G717" s="168"/>
      <c r="H717" s="168" t="s">
        <v>2156</v>
      </c>
      <c r="I717" s="168"/>
      <c r="J717" s="168">
        <v>2009</v>
      </c>
      <c r="K717" s="168" t="s">
        <v>1196</v>
      </c>
      <c r="L717" s="168" t="s">
        <v>1584</v>
      </c>
      <c r="M717" s="168" t="s">
        <v>1152</v>
      </c>
      <c r="N717" s="169">
        <v>39755</v>
      </c>
      <c r="O717" s="169">
        <v>39755</v>
      </c>
      <c r="P717" s="168"/>
      <c r="Q717" s="166">
        <v>1000</v>
      </c>
      <c r="R717" s="166">
        <v>14040</v>
      </c>
      <c r="S717" s="170">
        <v>132128.6</v>
      </c>
      <c r="T717" s="166">
        <v>14046</v>
      </c>
      <c r="U717" s="170">
        <v>132128.6</v>
      </c>
      <c r="V717" s="170">
        <f t="shared" si="30"/>
        <v>0</v>
      </c>
      <c r="W717" s="171">
        <v>0</v>
      </c>
      <c r="X717" s="166">
        <v>51260</v>
      </c>
      <c r="Y717" s="170">
        <v>0</v>
      </c>
      <c r="Z717" s="168" t="s">
        <v>1059</v>
      </c>
      <c r="AA717" s="168" t="s">
        <v>1140</v>
      </c>
      <c r="AB717" s="168"/>
      <c r="AC717" s="168">
        <v>3621</v>
      </c>
      <c r="AD717" s="168" t="s">
        <v>1058</v>
      </c>
      <c r="AE717" s="168" t="s">
        <v>1059</v>
      </c>
      <c r="AF717" s="166" t="s">
        <v>284</v>
      </c>
      <c r="AG717" s="168"/>
      <c r="AH717" s="166" t="s">
        <v>1060</v>
      </c>
      <c r="AI717" s="168">
        <v>0</v>
      </c>
      <c r="AJ717" s="168">
        <v>0</v>
      </c>
      <c r="AP717" s="206"/>
      <c r="AQ717" s="207"/>
      <c r="AR717" s="207"/>
      <c r="AS717" s="207"/>
      <c r="AT717" s="208"/>
      <c r="AU717" s="207"/>
      <c r="AV717" s="208"/>
    </row>
    <row r="718" spans="1:48" s="205" customFormat="1" ht="15">
      <c r="A718" s="145"/>
      <c r="B718" s="166">
        <v>2183</v>
      </c>
      <c r="C718" s="167">
        <v>61125</v>
      </c>
      <c r="D718" s="166" t="s">
        <v>1053</v>
      </c>
      <c r="E718" s="168" t="s">
        <v>1745</v>
      </c>
      <c r="F718" s="166">
        <v>0</v>
      </c>
      <c r="G718" s="168"/>
      <c r="H718" s="168" t="s">
        <v>2157</v>
      </c>
      <c r="I718" s="168"/>
      <c r="J718" s="168">
        <v>2008</v>
      </c>
      <c r="K718" s="168" t="s">
        <v>1716</v>
      </c>
      <c r="L718" s="168" t="s">
        <v>1747</v>
      </c>
      <c r="M718" s="168" t="s">
        <v>1232</v>
      </c>
      <c r="N718" s="169">
        <v>39755</v>
      </c>
      <c r="O718" s="169">
        <v>39755</v>
      </c>
      <c r="P718" s="168"/>
      <c r="Q718" s="166">
        <v>900</v>
      </c>
      <c r="R718" s="166">
        <v>14040</v>
      </c>
      <c r="S718" s="170">
        <v>106500</v>
      </c>
      <c r="T718" s="166">
        <v>14046</v>
      </c>
      <c r="U718" s="170">
        <v>106500</v>
      </c>
      <c r="V718" s="170">
        <f t="shared" ref="V718:V739" si="31">S718-U718</f>
        <v>0</v>
      </c>
      <c r="W718" s="171">
        <v>0</v>
      </c>
      <c r="X718" s="166">
        <v>51260</v>
      </c>
      <c r="Y718" s="170">
        <v>0</v>
      </c>
      <c r="Z718" s="168" t="s">
        <v>1059</v>
      </c>
      <c r="AA718" s="168" t="s">
        <v>1140</v>
      </c>
      <c r="AB718" s="168"/>
      <c r="AC718" s="168">
        <v>4061</v>
      </c>
      <c r="AD718" s="168" t="s">
        <v>1058</v>
      </c>
      <c r="AE718" s="168" t="s">
        <v>1059</v>
      </c>
      <c r="AF718" s="166" t="s">
        <v>284</v>
      </c>
      <c r="AG718" s="168"/>
      <c r="AH718" s="166" t="s">
        <v>1060</v>
      </c>
      <c r="AI718" s="168">
        <v>0</v>
      </c>
      <c r="AJ718" s="168">
        <v>0</v>
      </c>
      <c r="AP718" s="206"/>
      <c r="AQ718" s="207"/>
      <c r="AR718" s="207"/>
      <c r="AS718" s="207"/>
      <c r="AT718" s="208"/>
      <c r="AU718" s="207"/>
      <c r="AV718" s="208"/>
    </row>
    <row r="719" spans="1:48" s="205" customFormat="1" ht="15">
      <c r="A719" s="145"/>
      <c r="B719" s="166">
        <v>2183</v>
      </c>
      <c r="C719" s="167">
        <v>61124</v>
      </c>
      <c r="D719" s="166" t="s">
        <v>1053</v>
      </c>
      <c r="E719" s="168" t="s">
        <v>2158</v>
      </c>
      <c r="F719" s="166">
        <v>0</v>
      </c>
      <c r="G719" s="168"/>
      <c r="H719" s="168" t="s">
        <v>2159</v>
      </c>
      <c r="I719" s="168"/>
      <c r="J719" s="168">
        <v>2007</v>
      </c>
      <c r="K719" s="168" t="s">
        <v>1196</v>
      </c>
      <c r="L719" s="168" t="s">
        <v>1584</v>
      </c>
      <c r="M719" s="168" t="s">
        <v>1152</v>
      </c>
      <c r="N719" s="169">
        <v>39755</v>
      </c>
      <c r="O719" s="169">
        <v>39755</v>
      </c>
      <c r="P719" s="168"/>
      <c r="Q719" s="166">
        <v>800</v>
      </c>
      <c r="R719" s="166">
        <v>14040</v>
      </c>
      <c r="S719" s="170">
        <v>133500</v>
      </c>
      <c r="T719" s="166">
        <v>14046</v>
      </c>
      <c r="U719" s="170">
        <v>133500</v>
      </c>
      <c r="V719" s="170">
        <f t="shared" si="31"/>
        <v>0</v>
      </c>
      <c r="W719" s="171">
        <v>0</v>
      </c>
      <c r="X719" s="166">
        <v>51260</v>
      </c>
      <c r="Y719" s="170">
        <v>0</v>
      </c>
      <c r="Z719" s="168" t="s">
        <v>1059</v>
      </c>
      <c r="AA719" s="168" t="s">
        <v>1140</v>
      </c>
      <c r="AB719" s="168"/>
      <c r="AC719" s="168">
        <v>3615</v>
      </c>
      <c r="AD719" s="168" t="s">
        <v>1058</v>
      </c>
      <c r="AE719" s="168" t="s">
        <v>1059</v>
      </c>
      <c r="AF719" s="166" t="s">
        <v>284</v>
      </c>
      <c r="AG719" s="168"/>
      <c r="AH719" s="166" t="s">
        <v>1060</v>
      </c>
      <c r="AI719" s="168">
        <v>0</v>
      </c>
      <c r="AJ719" s="168">
        <v>0</v>
      </c>
      <c r="AP719" s="206"/>
      <c r="AQ719" s="207"/>
      <c r="AR719" s="207"/>
      <c r="AS719" s="207"/>
      <c r="AT719" s="208"/>
      <c r="AU719" s="207"/>
      <c r="AV719" s="208"/>
    </row>
    <row r="720" spans="1:48" s="205" customFormat="1" ht="15">
      <c r="A720" s="145"/>
      <c r="B720" s="166">
        <v>2183</v>
      </c>
      <c r="C720" s="167">
        <v>61122</v>
      </c>
      <c r="D720" s="166" t="s">
        <v>1053</v>
      </c>
      <c r="E720" s="168" t="s">
        <v>2158</v>
      </c>
      <c r="F720" s="166">
        <v>0</v>
      </c>
      <c r="G720" s="168"/>
      <c r="H720" s="168" t="s">
        <v>2160</v>
      </c>
      <c r="I720" s="168"/>
      <c r="J720" s="168">
        <v>2007</v>
      </c>
      <c r="K720" s="168" t="s">
        <v>1196</v>
      </c>
      <c r="L720" s="168" t="s">
        <v>1584</v>
      </c>
      <c r="M720" s="168" t="s">
        <v>1152</v>
      </c>
      <c r="N720" s="169">
        <v>39755</v>
      </c>
      <c r="O720" s="169">
        <v>39755</v>
      </c>
      <c r="P720" s="168"/>
      <c r="Q720" s="166">
        <v>800</v>
      </c>
      <c r="R720" s="166">
        <v>14040</v>
      </c>
      <c r="S720" s="170">
        <v>133500</v>
      </c>
      <c r="T720" s="166">
        <v>14046</v>
      </c>
      <c r="U720" s="170">
        <v>133500</v>
      </c>
      <c r="V720" s="170">
        <f t="shared" si="31"/>
        <v>0</v>
      </c>
      <c r="W720" s="171">
        <v>0</v>
      </c>
      <c r="X720" s="166">
        <v>51260</v>
      </c>
      <c r="Y720" s="170">
        <v>0</v>
      </c>
      <c r="Z720" s="168" t="s">
        <v>1059</v>
      </c>
      <c r="AA720" s="168" t="s">
        <v>1140</v>
      </c>
      <c r="AB720" s="168"/>
      <c r="AC720" s="168">
        <v>3605</v>
      </c>
      <c r="AD720" s="168" t="s">
        <v>1058</v>
      </c>
      <c r="AE720" s="168" t="s">
        <v>1059</v>
      </c>
      <c r="AF720" s="166" t="s">
        <v>284</v>
      </c>
      <c r="AG720" s="168"/>
      <c r="AH720" s="166" t="s">
        <v>1060</v>
      </c>
      <c r="AI720" s="168">
        <v>0</v>
      </c>
      <c r="AJ720" s="168">
        <v>0</v>
      </c>
      <c r="AP720" s="206"/>
      <c r="AQ720" s="207"/>
      <c r="AR720" s="207"/>
      <c r="AS720" s="207"/>
      <c r="AT720" s="208"/>
      <c r="AU720" s="207"/>
      <c r="AV720" s="208"/>
    </row>
    <row r="721" spans="1:48" s="205" customFormat="1" ht="15">
      <c r="A721" s="145"/>
      <c r="B721" s="166">
        <v>2183</v>
      </c>
      <c r="C721" s="167">
        <v>61121</v>
      </c>
      <c r="D721" s="166" t="s">
        <v>1053</v>
      </c>
      <c r="E721" s="168" t="s">
        <v>2158</v>
      </c>
      <c r="F721" s="166">
        <v>0</v>
      </c>
      <c r="G721" s="168"/>
      <c r="H721" s="168" t="s">
        <v>2161</v>
      </c>
      <c r="I721" s="168"/>
      <c r="J721" s="168">
        <v>2007</v>
      </c>
      <c r="K721" s="168" t="s">
        <v>1196</v>
      </c>
      <c r="L721" s="168" t="s">
        <v>1584</v>
      </c>
      <c r="M721" s="168" t="s">
        <v>1152</v>
      </c>
      <c r="N721" s="169">
        <v>39755</v>
      </c>
      <c r="O721" s="169">
        <v>39755</v>
      </c>
      <c r="P721" s="168"/>
      <c r="Q721" s="166">
        <v>800</v>
      </c>
      <c r="R721" s="166">
        <v>14040</v>
      </c>
      <c r="S721" s="170">
        <v>133500</v>
      </c>
      <c r="T721" s="166">
        <v>14046</v>
      </c>
      <c r="U721" s="170">
        <v>133500</v>
      </c>
      <c r="V721" s="170">
        <f t="shared" si="31"/>
        <v>0</v>
      </c>
      <c r="W721" s="171">
        <v>0</v>
      </c>
      <c r="X721" s="166">
        <v>51260</v>
      </c>
      <c r="Y721" s="170">
        <v>0</v>
      </c>
      <c r="Z721" s="168" t="s">
        <v>1059</v>
      </c>
      <c r="AA721" s="168" t="s">
        <v>1140</v>
      </c>
      <c r="AB721" s="168"/>
      <c r="AC721" s="168">
        <v>3604</v>
      </c>
      <c r="AD721" s="168" t="s">
        <v>1058</v>
      </c>
      <c r="AE721" s="168" t="s">
        <v>1059</v>
      </c>
      <c r="AF721" s="166" t="s">
        <v>284</v>
      </c>
      <c r="AG721" s="168"/>
      <c r="AH721" s="166" t="s">
        <v>1060</v>
      </c>
      <c r="AI721" s="168">
        <v>0</v>
      </c>
      <c r="AJ721" s="168">
        <v>0</v>
      </c>
      <c r="AP721" s="206"/>
      <c r="AQ721" s="207"/>
      <c r="AR721" s="207"/>
      <c r="AS721" s="207"/>
      <c r="AT721" s="208"/>
      <c r="AU721" s="207"/>
      <c r="AV721" s="208"/>
    </row>
    <row r="722" spans="1:48" s="205" customFormat="1" ht="15">
      <c r="A722" s="145"/>
      <c r="B722" s="166">
        <v>2183</v>
      </c>
      <c r="C722" s="167">
        <v>61120</v>
      </c>
      <c r="D722" s="166" t="s">
        <v>1053</v>
      </c>
      <c r="E722" s="168" t="s">
        <v>2158</v>
      </c>
      <c r="F722" s="166">
        <v>0</v>
      </c>
      <c r="G722" s="168"/>
      <c r="H722" s="168" t="s">
        <v>2162</v>
      </c>
      <c r="I722" s="168"/>
      <c r="J722" s="168">
        <v>2007</v>
      </c>
      <c r="K722" s="168" t="s">
        <v>1196</v>
      </c>
      <c r="L722" s="168" t="s">
        <v>1584</v>
      </c>
      <c r="M722" s="168" t="s">
        <v>1152</v>
      </c>
      <c r="N722" s="169">
        <v>39755</v>
      </c>
      <c r="O722" s="169">
        <v>39755</v>
      </c>
      <c r="P722" s="168"/>
      <c r="Q722" s="166">
        <v>800</v>
      </c>
      <c r="R722" s="166">
        <v>14040</v>
      </c>
      <c r="S722" s="170">
        <v>133500</v>
      </c>
      <c r="T722" s="166">
        <v>14046</v>
      </c>
      <c r="U722" s="170">
        <v>133500</v>
      </c>
      <c r="V722" s="170">
        <f t="shared" si="31"/>
        <v>0</v>
      </c>
      <c r="W722" s="171">
        <v>0</v>
      </c>
      <c r="X722" s="166">
        <v>51260</v>
      </c>
      <c r="Y722" s="170">
        <v>0</v>
      </c>
      <c r="Z722" s="168" t="s">
        <v>1059</v>
      </c>
      <c r="AA722" s="168" t="s">
        <v>1140</v>
      </c>
      <c r="AB722" s="168"/>
      <c r="AC722" s="168">
        <v>3603</v>
      </c>
      <c r="AD722" s="168" t="s">
        <v>1058</v>
      </c>
      <c r="AE722" s="168" t="s">
        <v>1059</v>
      </c>
      <c r="AF722" s="166" t="s">
        <v>284</v>
      </c>
      <c r="AG722" s="168"/>
      <c r="AH722" s="166" t="s">
        <v>1060</v>
      </c>
      <c r="AI722" s="168">
        <v>0</v>
      </c>
      <c r="AJ722" s="168">
        <v>0</v>
      </c>
      <c r="AP722" s="206"/>
      <c r="AQ722" s="207"/>
      <c r="AR722" s="207"/>
      <c r="AS722" s="207"/>
      <c r="AT722" s="208"/>
      <c r="AU722" s="207"/>
      <c r="AV722" s="208"/>
    </row>
    <row r="723" spans="1:48" s="205" customFormat="1" ht="15">
      <c r="A723" s="145"/>
      <c r="B723" s="166">
        <v>2183</v>
      </c>
      <c r="C723" s="167">
        <v>61118</v>
      </c>
      <c r="D723" s="166" t="s">
        <v>1053</v>
      </c>
      <c r="E723" s="168" t="s">
        <v>2158</v>
      </c>
      <c r="F723" s="166">
        <v>0</v>
      </c>
      <c r="G723" s="168"/>
      <c r="H723" s="168" t="s">
        <v>2163</v>
      </c>
      <c r="I723" s="168"/>
      <c r="J723" s="168">
        <v>2007</v>
      </c>
      <c r="K723" s="168" t="s">
        <v>1196</v>
      </c>
      <c r="L723" s="168" t="s">
        <v>1584</v>
      </c>
      <c r="M723" s="168" t="s">
        <v>1152</v>
      </c>
      <c r="N723" s="169">
        <v>39755</v>
      </c>
      <c r="O723" s="169">
        <v>39755</v>
      </c>
      <c r="P723" s="168"/>
      <c r="Q723" s="166">
        <v>800</v>
      </c>
      <c r="R723" s="166">
        <v>14040</v>
      </c>
      <c r="S723" s="170">
        <v>133500</v>
      </c>
      <c r="T723" s="166">
        <v>14046</v>
      </c>
      <c r="U723" s="170">
        <v>133500</v>
      </c>
      <c r="V723" s="170">
        <f t="shared" si="31"/>
        <v>0</v>
      </c>
      <c r="W723" s="171">
        <v>0</v>
      </c>
      <c r="X723" s="166">
        <v>51260</v>
      </c>
      <c r="Y723" s="170">
        <v>0</v>
      </c>
      <c r="Z723" s="168" t="s">
        <v>1059</v>
      </c>
      <c r="AA723" s="168" t="s">
        <v>1140</v>
      </c>
      <c r="AB723" s="168"/>
      <c r="AC723" s="168">
        <v>3601</v>
      </c>
      <c r="AD723" s="168" t="s">
        <v>1058</v>
      </c>
      <c r="AE723" s="168" t="s">
        <v>1059</v>
      </c>
      <c r="AF723" s="166" t="s">
        <v>284</v>
      </c>
      <c r="AG723" s="168"/>
      <c r="AH723" s="166" t="s">
        <v>1060</v>
      </c>
      <c r="AI723" s="168">
        <v>0</v>
      </c>
      <c r="AJ723" s="168">
        <v>0</v>
      </c>
      <c r="AP723" s="206"/>
      <c r="AQ723" s="207"/>
      <c r="AR723" s="207"/>
      <c r="AS723" s="207"/>
      <c r="AT723" s="208"/>
      <c r="AU723" s="207"/>
      <c r="AV723" s="208"/>
    </row>
    <row r="724" spans="1:48" s="205" customFormat="1" ht="15">
      <c r="A724" s="145"/>
      <c r="B724" s="166">
        <v>2183</v>
      </c>
      <c r="C724" s="167">
        <v>61117</v>
      </c>
      <c r="D724" s="166" t="s">
        <v>1053</v>
      </c>
      <c r="E724" s="168" t="s">
        <v>2158</v>
      </c>
      <c r="F724" s="166">
        <v>0</v>
      </c>
      <c r="G724" s="168"/>
      <c r="H724" s="168" t="s">
        <v>2164</v>
      </c>
      <c r="I724" s="168"/>
      <c r="J724" s="168">
        <v>2007</v>
      </c>
      <c r="K724" s="168" t="s">
        <v>1196</v>
      </c>
      <c r="L724" s="168" t="s">
        <v>1584</v>
      </c>
      <c r="M724" s="168" t="s">
        <v>1152</v>
      </c>
      <c r="N724" s="169">
        <v>39755</v>
      </c>
      <c r="O724" s="169">
        <v>39755</v>
      </c>
      <c r="P724" s="168"/>
      <c r="Q724" s="166">
        <v>800</v>
      </c>
      <c r="R724" s="166">
        <v>14040</v>
      </c>
      <c r="S724" s="170">
        <v>133500</v>
      </c>
      <c r="T724" s="166">
        <v>14046</v>
      </c>
      <c r="U724" s="170">
        <v>133500</v>
      </c>
      <c r="V724" s="170">
        <f t="shared" si="31"/>
        <v>0</v>
      </c>
      <c r="W724" s="171">
        <v>0</v>
      </c>
      <c r="X724" s="166">
        <v>51260</v>
      </c>
      <c r="Y724" s="170">
        <v>0</v>
      </c>
      <c r="Z724" s="168" t="s">
        <v>1059</v>
      </c>
      <c r="AA724" s="168" t="s">
        <v>1140</v>
      </c>
      <c r="AB724" s="168"/>
      <c r="AC724" s="168">
        <v>3600</v>
      </c>
      <c r="AD724" s="168" t="s">
        <v>1058</v>
      </c>
      <c r="AE724" s="168" t="s">
        <v>1059</v>
      </c>
      <c r="AF724" s="166" t="s">
        <v>284</v>
      </c>
      <c r="AG724" s="168"/>
      <c r="AH724" s="166" t="s">
        <v>1060</v>
      </c>
      <c r="AI724" s="168">
        <v>0</v>
      </c>
      <c r="AJ724" s="168">
        <v>0</v>
      </c>
      <c r="AP724" s="206"/>
      <c r="AQ724" s="207"/>
      <c r="AR724" s="207"/>
      <c r="AS724" s="207"/>
      <c r="AT724" s="208"/>
      <c r="AU724" s="207"/>
      <c r="AV724" s="208"/>
    </row>
    <row r="725" spans="1:48" s="205" customFormat="1" ht="15">
      <c r="A725" s="145"/>
      <c r="B725" s="166">
        <v>2183</v>
      </c>
      <c r="C725" s="167">
        <v>61112</v>
      </c>
      <c r="D725" s="166" t="s">
        <v>1053</v>
      </c>
      <c r="E725" s="168" t="s">
        <v>2165</v>
      </c>
      <c r="F725" s="166">
        <v>0</v>
      </c>
      <c r="G725" s="168"/>
      <c r="H725" s="168" t="s">
        <v>2166</v>
      </c>
      <c r="I725" s="168"/>
      <c r="J725" s="168">
        <v>2007</v>
      </c>
      <c r="K725" s="168" t="s">
        <v>1716</v>
      </c>
      <c r="L725" s="168" t="s">
        <v>1747</v>
      </c>
      <c r="M725" s="168" t="s">
        <v>1232</v>
      </c>
      <c r="N725" s="169">
        <v>39755</v>
      </c>
      <c r="O725" s="169">
        <v>39755</v>
      </c>
      <c r="P725" s="168"/>
      <c r="Q725" s="166">
        <v>800</v>
      </c>
      <c r="R725" s="166">
        <v>14040</v>
      </c>
      <c r="S725" s="170">
        <v>86500</v>
      </c>
      <c r="T725" s="166">
        <v>14046</v>
      </c>
      <c r="U725" s="170">
        <v>86500</v>
      </c>
      <c r="V725" s="170">
        <f t="shared" si="31"/>
        <v>0</v>
      </c>
      <c r="W725" s="171">
        <v>0</v>
      </c>
      <c r="X725" s="166">
        <v>51260</v>
      </c>
      <c r="Y725" s="170">
        <v>0</v>
      </c>
      <c r="Z725" s="168" t="s">
        <v>1059</v>
      </c>
      <c r="AA725" s="168" t="s">
        <v>1140</v>
      </c>
      <c r="AB725" s="168"/>
      <c r="AC725" s="168">
        <v>4054</v>
      </c>
      <c r="AD725" s="168" t="s">
        <v>1058</v>
      </c>
      <c r="AE725" s="168" t="s">
        <v>1059</v>
      </c>
      <c r="AF725" s="166" t="s">
        <v>284</v>
      </c>
      <c r="AG725" s="168"/>
      <c r="AH725" s="166" t="s">
        <v>1060</v>
      </c>
      <c r="AI725" s="168">
        <v>0</v>
      </c>
      <c r="AJ725" s="168">
        <v>0</v>
      </c>
      <c r="AP725" s="206"/>
      <c r="AQ725" s="207"/>
      <c r="AR725" s="207"/>
      <c r="AS725" s="207"/>
      <c r="AT725" s="208"/>
      <c r="AU725" s="207"/>
      <c r="AV725" s="208"/>
    </row>
    <row r="726" spans="1:48" s="205" customFormat="1" ht="15">
      <c r="A726" s="145"/>
      <c r="B726" s="166">
        <v>2183</v>
      </c>
      <c r="C726" s="167">
        <v>61111</v>
      </c>
      <c r="D726" s="166" t="s">
        <v>1053</v>
      </c>
      <c r="E726" s="168" t="s">
        <v>2167</v>
      </c>
      <c r="F726" s="166">
        <v>0</v>
      </c>
      <c r="G726" s="168"/>
      <c r="H726" s="168" t="s">
        <v>2168</v>
      </c>
      <c r="I726" s="168"/>
      <c r="J726" s="168">
        <v>2007</v>
      </c>
      <c r="K726" s="168" t="s">
        <v>1463</v>
      </c>
      <c r="L726" s="168" t="s">
        <v>1413</v>
      </c>
      <c r="M726" s="168" t="s">
        <v>1198</v>
      </c>
      <c r="N726" s="169">
        <v>39755</v>
      </c>
      <c r="O726" s="169">
        <v>39755</v>
      </c>
      <c r="P726" s="168"/>
      <c r="Q726" s="166">
        <v>800</v>
      </c>
      <c r="R726" s="166">
        <v>14040</v>
      </c>
      <c r="S726" s="170">
        <v>133500</v>
      </c>
      <c r="T726" s="166">
        <v>14046</v>
      </c>
      <c r="U726" s="170">
        <v>133500</v>
      </c>
      <c r="V726" s="170">
        <f t="shared" si="31"/>
        <v>0</v>
      </c>
      <c r="W726" s="171">
        <v>0</v>
      </c>
      <c r="X726" s="166">
        <v>51260</v>
      </c>
      <c r="Y726" s="170">
        <v>0</v>
      </c>
      <c r="Z726" s="168" t="s">
        <v>1059</v>
      </c>
      <c r="AA726" s="168" t="s">
        <v>1140</v>
      </c>
      <c r="AB726" s="168"/>
      <c r="AC726" s="168">
        <v>1067</v>
      </c>
      <c r="AD726" s="168" t="s">
        <v>1058</v>
      </c>
      <c r="AE726" s="168" t="s">
        <v>1059</v>
      </c>
      <c r="AF726" s="166" t="s">
        <v>284</v>
      </c>
      <c r="AG726" s="168"/>
      <c r="AH726" s="166" t="s">
        <v>1060</v>
      </c>
      <c r="AI726" s="168">
        <v>0</v>
      </c>
      <c r="AJ726" s="168">
        <v>0</v>
      </c>
      <c r="AP726" s="206"/>
      <c r="AQ726" s="207"/>
      <c r="AR726" s="207"/>
      <c r="AS726" s="207"/>
      <c r="AT726" s="208"/>
      <c r="AU726" s="207"/>
      <c r="AV726" s="208"/>
    </row>
    <row r="727" spans="1:48" s="205" customFormat="1" ht="15">
      <c r="A727" s="145"/>
      <c r="B727" s="166">
        <v>2183</v>
      </c>
      <c r="C727" s="167">
        <v>61110</v>
      </c>
      <c r="D727" s="166" t="s">
        <v>1053</v>
      </c>
      <c r="E727" s="168" t="s">
        <v>2167</v>
      </c>
      <c r="F727" s="166">
        <v>0</v>
      </c>
      <c r="G727" s="168"/>
      <c r="H727" s="168" t="s">
        <v>2169</v>
      </c>
      <c r="I727" s="168"/>
      <c r="J727" s="168">
        <v>2007</v>
      </c>
      <c r="K727" s="168" t="s">
        <v>1463</v>
      </c>
      <c r="L727" s="168" t="s">
        <v>1413</v>
      </c>
      <c r="M727" s="168" t="s">
        <v>1198</v>
      </c>
      <c r="N727" s="169">
        <v>39755</v>
      </c>
      <c r="O727" s="169">
        <v>39755</v>
      </c>
      <c r="P727" s="168"/>
      <c r="Q727" s="166">
        <v>800</v>
      </c>
      <c r="R727" s="166">
        <v>14040</v>
      </c>
      <c r="S727" s="170">
        <v>133500</v>
      </c>
      <c r="T727" s="166">
        <v>14046</v>
      </c>
      <c r="U727" s="170">
        <v>133500</v>
      </c>
      <c r="V727" s="170">
        <f t="shared" si="31"/>
        <v>0</v>
      </c>
      <c r="W727" s="171">
        <v>0</v>
      </c>
      <c r="X727" s="166">
        <v>51260</v>
      </c>
      <c r="Y727" s="170">
        <v>0</v>
      </c>
      <c r="Z727" s="168" t="s">
        <v>1059</v>
      </c>
      <c r="AA727" s="168" t="s">
        <v>1140</v>
      </c>
      <c r="AB727" s="168"/>
      <c r="AC727" s="168">
        <v>1062</v>
      </c>
      <c r="AD727" s="168" t="s">
        <v>1058</v>
      </c>
      <c r="AE727" s="168" t="s">
        <v>1059</v>
      </c>
      <c r="AF727" s="166" t="s">
        <v>284</v>
      </c>
      <c r="AG727" s="168"/>
      <c r="AH727" s="166" t="s">
        <v>1060</v>
      </c>
      <c r="AI727" s="168">
        <v>0</v>
      </c>
      <c r="AJ727" s="168">
        <v>0</v>
      </c>
      <c r="AP727" s="206"/>
      <c r="AQ727" s="207"/>
      <c r="AR727" s="207"/>
      <c r="AS727" s="207"/>
      <c r="AT727" s="208"/>
      <c r="AU727" s="207"/>
      <c r="AV727" s="208"/>
    </row>
    <row r="728" spans="1:48" s="205" customFormat="1" ht="15">
      <c r="A728" s="145"/>
      <c r="B728" s="166">
        <v>2183</v>
      </c>
      <c r="C728" s="167">
        <v>61108</v>
      </c>
      <c r="D728" s="166" t="s">
        <v>1053</v>
      </c>
      <c r="E728" s="168" t="s">
        <v>2167</v>
      </c>
      <c r="F728" s="166">
        <v>0</v>
      </c>
      <c r="G728" s="168"/>
      <c r="H728" s="168" t="s">
        <v>2170</v>
      </c>
      <c r="I728" s="168"/>
      <c r="J728" s="168">
        <v>2007</v>
      </c>
      <c r="K728" s="168" t="s">
        <v>1463</v>
      </c>
      <c r="L728" s="168" t="s">
        <v>1413</v>
      </c>
      <c r="M728" s="168" t="s">
        <v>1198</v>
      </c>
      <c r="N728" s="169">
        <v>39755</v>
      </c>
      <c r="O728" s="169">
        <v>39755</v>
      </c>
      <c r="P728" s="168"/>
      <c r="Q728" s="166">
        <v>800</v>
      </c>
      <c r="R728" s="166">
        <v>14040</v>
      </c>
      <c r="S728" s="170">
        <v>133500</v>
      </c>
      <c r="T728" s="166">
        <v>14046</v>
      </c>
      <c r="U728" s="170">
        <v>133500</v>
      </c>
      <c r="V728" s="170">
        <f t="shared" si="31"/>
        <v>0</v>
      </c>
      <c r="W728" s="171">
        <v>0</v>
      </c>
      <c r="X728" s="166">
        <v>51260</v>
      </c>
      <c r="Y728" s="170">
        <v>0</v>
      </c>
      <c r="Z728" s="168" t="s">
        <v>1059</v>
      </c>
      <c r="AA728" s="168" t="s">
        <v>1140</v>
      </c>
      <c r="AB728" s="168"/>
      <c r="AC728" s="168">
        <v>1054</v>
      </c>
      <c r="AD728" s="168" t="s">
        <v>1058</v>
      </c>
      <c r="AE728" s="168" t="s">
        <v>1059</v>
      </c>
      <c r="AF728" s="166" t="s">
        <v>284</v>
      </c>
      <c r="AG728" s="168"/>
      <c r="AH728" s="166" t="s">
        <v>1060</v>
      </c>
      <c r="AI728" s="168">
        <v>0</v>
      </c>
      <c r="AJ728" s="168">
        <v>0</v>
      </c>
      <c r="AP728" s="206"/>
      <c r="AQ728" s="207"/>
      <c r="AR728" s="207"/>
      <c r="AS728" s="207"/>
      <c r="AT728" s="208"/>
      <c r="AU728" s="207"/>
      <c r="AV728" s="208"/>
    </row>
    <row r="729" spans="1:48" s="205" customFormat="1" ht="15">
      <c r="A729" s="145"/>
      <c r="B729" s="166">
        <v>2183</v>
      </c>
      <c r="C729" s="167">
        <v>61107</v>
      </c>
      <c r="D729" s="166" t="s">
        <v>1053</v>
      </c>
      <c r="E729" s="168" t="s">
        <v>2167</v>
      </c>
      <c r="F729" s="166">
        <v>0</v>
      </c>
      <c r="G729" s="168"/>
      <c r="H729" s="168" t="s">
        <v>2171</v>
      </c>
      <c r="I729" s="168"/>
      <c r="J729" s="168">
        <v>2007</v>
      </c>
      <c r="K729" s="168" t="s">
        <v>1463</v>
      </c>
      <c r="L729" s="168" t="s">
        <v>1413</v>
      </c>
      <c r="M729" s="168" t="s">
        <v>1198</v>
      </c>
      <c r="N729" s="169">
        <v>39755</v>
      </c>
      <c r="O729" s="169">
        <v>39755</v>
      </c>
      <c r="P729" s="168"/>
      <c r="Q729" s="166">
        <v>800</v>
      </c>
      <c r="R729" s="166">
        <v>14040</v>
      </c>
      <c r="S729" s="170">
        <v>133500</v>
      </c>
      <c r="T729" s="166">
        <v>14046</v>
      </c>
      <c r="U729" s="170">
        <v>133500</v>
      </c>
      <c r="V729" s="170">
        <f t="shared" si="31"/>
        <v>0</v>
      </c>
      <c r="W729" s="171">
        <v>0</v>
      </c>
      <c r="X729" s="166">
        <v>51260</v>
      </c>
      <c r="Y729" s="170">
        <v>0</v>
      </c>
      <c r="Z729" s="168" t="s">
        <v>1059</v>
      </c>
      <c r="AA729" s="168" t="s">
        <v>1140</v>
      </c>
      <c r="AB729" s="168"/>
      <c r="AC729" s="168">
        <v>1049</v>
      </c>
      <c r="AD729" s="168" t="s">
        <v>1058</v>
      </c>
      <c r="AE729" s="168" t="s">
        <v>1059</v>
      </c>
      <c r="AF729" s="166" t="s">
        <v>284</v>
      </c>
      <c r="AG729" s="168"/>
      <c r="AH729" s="166" t="s">
        <v>1060</v>
      </c>
      <c r="AI729" s="168">
        <v>0</v>
      </c>
      <c r="AJ729" s="168">
        <v>0</v>
      </c>
      <c r="AP729" s="206"/>
      <c r="AQ729" s="207"/>
      <c r="AR729" s="207"/>
      <c r="AS729" s="207"/>
      <c r="AT729" s="208"/>
      <c r="AU729" s="207"/>
      <c r="AV729" s="208"/>
    </row>
    <row r="730" spans="1:48" s="205" customFormat="1" ht="15">
      <c r="A730" s="145"/>
      <c r="B730" s="166">
        <v>2183</v>
      </c>
      <c r="C730" s="167">
        <v>61097</v>
      </c>
      <c r="D730" s="166" t="s">
        <v>1053</v>
      </c>
      <c r="E730" s="168" t="s">
        <v>1750</v>
      </c>
      <c r="F730" s="166">
        <v>0</v>
      </c>
      <c r="G730" s="168"/>
      <c r="H730" s="168" t="s">
        <v>2172</v>
      </c>
      <c r="I730" s="168"/>
      <c r="J730" s="168">
        <v>2006</v>
      </c>
      <c r="K730" s="168" t="s">
        <v>1716</v>
      </c>
      <c r="L730" s="168" t="s">
        <v>1747</v>
      </c>
      <c r="M730" s="168" t="s">
        <v>1232</v>
      </c>
      <c r="N730" s="169">
        <v>39755</v>
      </c>
      <c r="O730" s="169">
        <v>39755</v>
      </c>
      <c r="P730" s="168"/>
      <c r="Q730" s="166">
        <v>700</v>
      </c>
      <c r="R730" s="166">
        <v>14040</v>
      </c>
      <c r="S730" s="170">
        <v>81500</v>
      </c>
      <c r="T730" s="166">
        <v>14046</v>
      </c>
      <c r="U730" s="170">
        <v>81500</v>
      </c>
      <c r="V730" s="170">
        <f t="shared" si="31"/>
        <v>0</v>
      </c>
      <c r="W730" s="171">
        <v>0</v>
      </c>
      <c r="X730" s="166">
        <v>51260</v>
      </c>
      <c r="Y730" s="170">
        <v>0</v>
      </c>
      <c r="Z730" s="168" t="s">
        <v>1059</v>
      </c>
      <c r="AA730" s="168" t="s">
        <v>1140</v>
      </c>
      <c r="AB730" s="168"/>
      <c r="AC730" s="168">
        <v>4047</v>
      </c>
      <c r="AD730" s="168" t="s">
        <v>1058</v>
      </c>
      <c r="AE730" s="168" t="s">
        <v>1059</v>
      </c>
      <c r="AF730" s="166" t="s">
        <v>284</v>
      </c>
      <c r="AG730" s="168"/>
      <c r="AH730" s="166" t="s">
        <v>1060</v>
      </c>
      <c r="AI730" s="168">
        <v>0</v>
      </c>
      <c r="AJ730" s="168">
        <v>0</v>
      </c>
      <c r="AP730" s="206"/>
      <c r="AQ730" s="207"/>
      <c r="AR730" s="207"/>
      <c r="AS730" s="207"/>
      <c r="AT730" s="208"/>
      <c r="AU730" s="207"/>
      <c r="AV730" s="208"/>
    </row>
    <row r="731" spans="1:48" s="205" customFormat="1" ht="15">
      <c r="A731" s="145"/>
      <c r="B731" s="166">
        <v>2183</v>
      </c>
      <c r="C731" s="167">
        <v>61096</v>
      </c>
      <c r="D731" s="166" t="s">
        <v>1053</v>
      </c>
      <c r="E731" s="168" t="s">
        <v>1750</v>
      </c>
      <c r="F731" s="166">
        <v>0</v>
      </c>
      <c r="G731" s="168"/>
      <c r="H731" s="168" t="s">
        <v>2173</v>
      </c>
      <c r="I731" s="168"/>
      <c r="J731" s="168">
        <v>2006</v>
      </c>
      <c r="K731" s="168" t="s">
        <v>1716</v>
      </c>
      <c r="L731" s="168" t="s">
        <v>1747</v>
      </c>
      <c r="M731" s="168" t="s">
        <v>1232</v>
      </c>
      <c r="N731" s="169">
        <v>39755</v>
      </c>
      <c r="O731" s="169">
        <v>39755</v>
      </c>
      <c r="P731" s="168"/>
      <c r="Q731" s="166">
        <v>700</v>
      </c>
      <c r="R731" s="166">
        <v>14040</v>
      </c>
      <c r="S731" s="170">
        <v>81500</v>
      </c>
      <c r="T731" s="166">
        <v>14046</v>
      </c>
      <c r="U731" s="170">
        <v>81500</v>
      </c>
      <c r="V731" s="170">
        <f t="shared" si="31"/>
        <v>0</v>
      </c>
      <c r="W731" s="171">
        <v>0</v>
      </c>
      <c r="X731" s="166">
        <v>51260</v>
      </c>
      <c r="Y731" s="170">
        <v>0</v>
      </c>
      <c r="Z731" s="168" t="s">
        <v>1059</v>
      </c>
      <c r="AA731" s="168" t="s">
        <v>1140</v>
      </c>
      <c r="AB731" s="168"/>
      <c r="AC731" s="168">
        <v>4046</v>
      </c>
      <c r="AD731" s="168" t="s">
        <v>1058</v>
      </c>
      <c r="AE731" s="168" t="s">
        <v>1059</v>
      </c>
      <c r="AF731" s="166" t="s">
        <v>284</v>
      </c>
      <c r="AG731" s="168"/>
      <c r="AH731" s="166" t="s">
        <v>1060</v>
      </c>
      <c r="AI731" s="168">
        <v>0</v>
      </c>
      <c r="AJ731" s="168">
        <v>0</v>
      </c>
      <c r="AP731" s="206"/>
      <c r="AQ731" s="207"/>
      <c r="AR731" s="207"/>
      <c r="AS731" s="207"/>
      <c r="AT731" s="208"/>
      <c r="AU731" s="207"/>
      <c r="AV731" s="208"/>
    </row>
    <row r="732" spans="1:48" s="205" customFormat="1" ht="15">
      <c r="A732" s="145"/>
      <c r="B732" s="166">
        <v>2183</v>
      </c>
      <c r="C732" s="167">
        <v>61095</v>
      </c>
      <c r="D732" s="166" t="s">
        <v>1053</v>
      </c>
      <c r="E732" s="168" t="s">
        <v>2174</v>
      </c>
      <c r="F732" s="166">
        <v>0</v>
      </c>
      <c r="G732" s="168"/>
      <c r="H732" s="168" t="s">
        <v>2175</v>
      </c>
      <c r="I732" s="168"/>
      <c r="J732" s="168">
        <v>2006</v>
      </c>
      <c r="K732" s="168" t="s">
        <v>1463</v>
      </c>
      <c r="L732" s="168" t="s">
        <v>1413</v>
      </c>
      <c r="M732" s="168" t="s">
        <v>1198</v>
      </c>
      <c r="N732" s="169">
        <v>39755</v>
      </c>
      <c r="O732" s="169">
        <v>39755</v>
      </c>
      <c r="P732" s="168"/>
      <c r="Q732" s="166">
        <v>700</v>
      </c>
      <c r="R732" s="166">
        <v>14040</v>
      </c>
      <c r="S732" s="170">
        <v>123500</v>
      </c>
      <c r="T732" s="166">
        <v>14046</v>
      </c>
      <c r="U732" s="170">
        <v>123500</v>
      </c>
      <c r="V732" s="170">
        <f t="shared" si="31"/>
        <v>0</v>
      </c>
      <c r="W732" s="171">
        <v>0</v>
      </c>
      <c r="X732" s="166">
        <v>51260</v>
      </c>
      <c r="Y732" s="170">
        <v>0</v>
      </c>
      <c r="Z732" s="168" t="s">
        <v>1059</v>
      </c>
      <c r="AA732" s="168" t="s">
        <v>1140</v>
      </c>
      <c r="AB732" s="168"/>
      <c r="AC732" s="168">
        <v>1046</v>
      </c>
      <c r="AD732" s="168" t="s">
        <v>1058</v>
      </c>
      <c r="AE732" s="168" t="s">
        <v>1059</v>
      </c>
      <c r="AF732" s="166" t="s">
        <v>284</v>
      </c>
      <c r="AG732" s="168"/>
      <c r="AH732" s="166" t="s">
        <v>1060</v>
      </c>
      <c r="AI732" s="168">
        <v>0</v>
      </c>
      <c r="AJ732" s="168">
        <v>0</v>
      </c>
      <c r="AP732" s="206"/>
      <c r="AQ732" s="207"/>
      <c r="AR732" s="207"/>
      <c r="AS732" s="207"/>
      <c r="AT732" s="208"/>
      <c r="AU732" s="207"/>
      <c r="AV732" s="208"/>
    </row>
    <row r="733" spans="1:48" s="205" customFormat="1" ht="15">
      <c r="A733" s="145"/>
      <c r="B733" s="166">
        <v>2183</v>
      </c>
      <c r="C733" s="167">
        <v>61094</v>
      </c>
      <c r="D733" s="166" t="s">
        <v>1053</v>
      </c>
      <c r="E733" s="168" t="s">
        <v>2174</v>
      </c>
      <c r="F733" s="166">
        <v>0</v>
      </c>
      <c r="G733" s="168"/>
      <c r="H733" s="168" t="s">
        <v>2176</v>
      </c>
      <c r="I733" s="168"/>
      <c r="J733" s="168">
        <v>2006</v>
      </c>
      <c r="K733" s="168" t="s">
        <v>1463</v>
      </c>
      <c r="L733" s="168" t="s">
        <v>1413</v>
      </c>
      <c r="M733" s="168" t="s">
        <v>1198</v>
      </c>
      <c r="N733" s="169">
        <v>39755</v>
      </c>
      <c r="O733" s="169">
        <v>39755</v>
      </c>
      <c r="P733" s="168"/>
      <c r="Q733" s="166">
        <v>700</v>
      </c>
      <c r="R733" s="166">
        <v>14040</v>
      </c>
      <c r="S733" s="170">
        <v>123500</v>
      </c>
      <c r="T733" s="166">
        <v>14046</v>
      </c>
      <c r="U733" s="170">
        <v>123500</v>
      </c>
      <c r="V733" s="170">
        <f t="shared" si="31"/>
        <v>0</v>
      </c>
      <c r="W733" s="171">
        <v>0</v>
      </c>
      <c r="X733" s="166">
        <v>51260</v>
      </c>
      <c r="Y733" s="170">
        <v>0</v>
      </c>
      <c r="Z733" s="168" t="s">
        <v>1059</v>
      </c>
      <c r="AA733" s="168" t="s">
        <v>1140</v>
      </c>
      <c r="AB733" s="168"/>
      <c r="AC733" s="168">
        <v>1045</v>
      </c>
      <c r="AD733" s="168" t="s">
        <v>1058</v>
      </c>
      <c r="AE733" s="168" t="s">
        <v>1059</v>
      </c>
      <c r="AF733" s="166" t="s">
        <v>284</v>
      </c>
      <c r="AG733" s="168"/>
      <c r="AH733" s="166" t="s">
        <v>1060</v>
      </c>
      <c r="AI733" s="168">
        <v>0</v>
      </c>
      <c r="AJ733" s="168">
        <v>0</v>
      </c>
      <c r="AP733" s="206"/>
      <c r="AQ733" s="207"/>
      <c r="AR733" s="207"/>
      <c r="AS733" s="207"/>
      <c r="AT733" s="208"/>
      <c r="AU733" s="207"/>
      <c r="AV733" s="208"/>
    </row>
    <row r="734" spans="1:48" s="205" customFormat="1" ht="15">
      <c r="A734" s="145"/>
      <c r="B734" s="166">
        <v>2183</v>
      </c>
      <c r="C734" s="167">
        <v>61093</v>
      </c>
      <c r="D734" s="166" t="s">
        <v>1053</v>
      </c>
      <c r="E734" s="168" t="s">
        <v>2174</v>
      </c>
      <c r="F734" s="166">
        <v>0</v>
      </c>
      <c r="G734" s="168"/>
      <c r="H734" s="168" t="s">
        <v>2177</v>
      </c>
      <c r="I734" s="168"/>
      <c r="J734" s="168">
        <v>2006</v>
      </c>
      <c r="K734" s="168" t="s">
        <v>1463</v>
      </c>
      <c r="L734" s="168" t="s">
        <v>1413</v>
      </c>
      <c r="M734" s="168" t="s">
        <v>1198</v>
      </c>
      <c r="N734" s="169">
        <v>39755</v>
      </c>
      <c r="O734" s="169">
        <v>39755</v>
      </c>
      <c r="P734" s="168"/>
      <c r="Q734" s="166">
        <v>700</v>
      </c>
      <c r="R734" s="166">
        <v>14040</v>
      </c>
      <c r="S734" s="170">
        <v>123500</v>
      </c>
      <c r="T734" s="166">
        <v>14046</v>
      </c>
      <c r="U734" s="170">
        <v>123500</v>
      </c>
      <c r="V734" s="170">
        <f t="shared" si="31"/>
        <v>0</v>
      </c>
      <c r="W734" s="171">
        <v>0</v>
      </c>
      <c r="X734" s="166">
        <v>51260</v>
      </c>
      <c r="Y734" s="170">
        <v>0</v>
      </c>
      <c r="Z734" s="168" t="s">
        <v>1059</v>
      </c>
      <c r="AA734" s="168" t="s">
        <v>1140</v>
      </c>
      <c r="AB734" s="168"/>
      <c r="AC734" s="168">
        <v>1042</v>
      </c>
      <c r="AD734" s="168" t="s">
        <v>1058</v>
      </c>
      <c r="AE734" s="168" t="s">
        <v>1059</v>
      </c>
      <c r="AF734" s="166" t="s">
        <v>284</v>
      </c>
      <c r="AG734" s="168"/>
      <c r="AH734" s="166" t="s">
        <v>1060</v>
      </c>
      <c r="AI734" s="168">
        <v>0</v>
      </c>
      <c r="AJ734" s="168">
        <v>0</v>
      </c>
      <c r="AP734" s="206"/>
      <c r="AQ734" s="207"/>
      <c r="AR734" s="207"/>
      <c r="AS734" s="207"/>
      <c r="AT734" s="208"/>
      <c r="AU734" s="207"/>
      <c r="AV734" s="208"/>
    </row>
    <row r="735" spans="1:48" s="205" customFormat="1" ht="15">
      <c r="A735" s="145"/>
      <c r="B735" s="166">
        <v>2183</v>
      </c>
      <c r="C735" s="167">
        <v>61091</v>
      </c>
      <c r="D735" s="166" t="s">
        <v>1053</v>
      </c>
      <c r="E735" s="168" t="s">
        <v>2178</v>
      </c>
      <c r="F735" s="166">
        <v>0</v>
      </c>
      <c r="G735" s="168"/>
      <c r="H735" s="168" t="s">
        <v>2179</v>
      </c>
      <c r="I735" s="168"/>
      <c r="J735" s="168">
        <v>2006</v>
      </c>
      <c r="K735" s="168" t="s">
        <v>2180</v>
      </c>
      <c r="L735" s="168" t="s">
        <v>1309</v>
      </c>
      <c r="M735" s="168" t="s">
        <v>1254</v>
      </c>
      <c r="N735" s="169">
        <v>39755</v>
      </c>
      <c r="O735" s="169">
        <v>39755</v>
      </c>
      <c r="P735" s="168"/>
      <c r="Q735" s="166">
        <v>300</v>
      </c>
      <c r="R735" s="166">
        <v>14040</v>
      </c>
      <c r="S735" s="170">
        <v>13500</v>
      </c>
      <c r="T735" s="166">
        <v>14046</v>
      </c>
      <c r="U735" s="170">
        <v>13500</v>
      </c>
      <c r="V735" s="170">
        <f t="shared" si="31"/>
        <v>0</v>
      </c>
      <c r="W735" s="171">
        <v>0</v>
      </c>
      <c r="X735" s="166">
        <v>51260</v>
      </c>
      <c r="Y735" s="170">
        <v>0</v>
      </c>
      <c r="Z735" s="168" t="s">
        <v>1059</v>
      </c>
      <c r="AA735" s="168" t="s">
        <v>1140</v>
      </c>
      <c r="AB735" s="168"/>
      <c r="AC735" s="168">
        <v>6042</v>
      </c>
      <c r="AD735" s="168" t="s">
        <v>1058</v>
      </c>
      <c r="AE735" s="168" t="s">
        <v>1059</v>
      </c>
      <c r="AF735" s="166" t="s">
        <v>284</v>
      </c>
      <c r="AG735" s="168"/>
      <c r="AH735" s="166" t="s">
        <v>1060</v>
      </c>
      <c r="AI735" s="168">
        <v>0</v>
      </c>
      <c r="AJ735" s="168">
        <v>0</v>
      </c>
      <c r="AP735" s="206"/>
      <c r="AQ735" s="207"/>
      <c r="AR735" s="207"/>
      <c r="AS735" s="207"/>
      <c r="AT735" s="208"/>
      <c r="AU735" s="207"/>
      <c r="AV735" s="208"/>
    </row>
    <row r="736" spans="1:48" s="205" customFormat="1" ht="15">
      <c r="A736" s="145"/>
      <c r="B736" s="166">
        <v>2183</v>
      </c>
      <c r="C736" s="167">
        <v>61085</v>
      </c>
      <c r="D736" s="166" t="s">
        <v>1053</v>
      </c>
      <c r="E736" s="168" t="s">
        <v>2181</v>
      </c>
      <c r="F736" s="166">
        <v>0</v>
      </c>
      <c r="G736" s="168"/>
      <c r="H736" s="168" t="s">
        <v>2182</v>
      </c>
      <c r="I736" s="168"/>
      <c r="J736" s="168">
        <v>2004</v>
      </c>
      <c r="K736" s="168" t="s">
        <v>1463</v>
      </c>
      <c r="L736" s="168" t="s">
        <v>1413</v>
      </c>
      <c r="M736" s="168" t="s">
        <v>1198</v>
      </c>
      <c r="N736" s="169">
        <v>39755</v>
      </c>
      <c r="O736" s="169">
        <v>39755</v>
      </c>
      <c r="P736" s="168"/>
      <c r="Q736" s="166">
        <v>500</v>
      </c>
      <c r="R736" s="166">
        <v>14040</v>
      </c>
      <c r="S736" s="170">
        <v>83500</v>
      </c>
      <c r="T736" s="166">
        <v>14046</v>
      </c>
      <c r="U736" s="170">
        <v>83500</v>
      </c>
      <c r="V736" s="170">
        <f t="shared" si="31"/>
        <v>0</v>
      </c>
      <c r="W736" s="171">
        <v>0</v>
      </c>
      <c r="X736" s="166">
        <v>51260</v>
      </c>
      <c r="Y736" s="170">
        <v>0</v>
      </c>
      <c r="Z736" s="168" t="s">
        <v>1059</v>
      </c>
      <c r="AA736" s="168" t="s">
        <v>1140</v>
      </c>
      <c r="AB736" s="168"/>
      <c r="AC736" s="168">
        <v>1041</v>
      </c>
      <c r="AD736" s="168" t="s">
        <v>1058</v>
      </c>
      <c r="AE736" s="168" t="s">
        <v>1059</v>
      </c>
      <c r="AF736" s="166" t="s">
        <v>284</v>
      </c>
      <c r="AG736" s="168"/>
      <c r="AH736" s="166" t="s">
        <v>1060</v>
      </c>
      <c r="AI736" s="168">
        <v>0</v>
      </c>
      <c r="AJ736" s="168">
        <v>0</v>
      </c>
      <c r="AP736" s="206"/>
      <c r="AQ736" s="207"/>
      <c r="AR736" s="207"/>
      <c r="AS736" s="207"/>
      <c r="AT736" s="208"/>
      <c r="AU736" s="207"/>
      <c r="AV736" s="208"/>
    </row>
    <row r="737" spans="1:48" s="205" customFormat="1" ht="15">
      <c r="A737" s="145"/>
      <c r="B737" s="166">
        <v>2183</v>
      </c>
      <c r="C737" s="167">
        <v>61042</v>
      </c>
      <c r="D737" s="166" t="s">
        <v>1053</v>
      </c>
      <c r="E737" s="168" t="s">
        <v>2183</v>
      </c>
      <c r="F737" s="166">
        <v>0</v>
      </c>
      <c r="G737" s="168"/>
      <c r="H737" s="168" t="s">
        <v>2184</v>
      </c>
      <c r="I737" s="168"/>
      <c r="J737" s="168">
        <v>1991</v>
      </c>
      <c r="K737" s="168" t="s">
        <v>2185</v>
      </c>
      <c r="L737" s="168" t="s">
        <v>1309</v>
      </c>
      <c r="M737" s="168" t="s">
        <v>1254</v>
      </c>
      <c r="N737" s="169">
        <v>39755</v>
      </c>
      <c r="O737" s="169">
        <v>39755</v>
      </c>
      <c r="P737" s="168"/>
      <c r="Q737" s="166">
        <v>300</v>
      </c>
      <c r="R737" s="166">
        <v>14040</v>
      </c>
      <c r="S737" s="170">
        <v>2500</v>
      </c>
      <c r="T737" s="166">
        <v>14046</v>
      </c>
      <c r="U737" s="170">
        <v>2500</v>
      </c>
      <c r="V737" s="170">
        <f t="shared" si="31"/>
        <v>0</v>
      </c>
      <c r="W737" s="171">
        <v>0</v>
      </c>
      <c r="X737" s="166">
        <v>51260</v>
      </c>
      <c r="Y737" s="170">
        <v>0</v>
      </c>
      <c r="Z737" s="168" t="s">
        <v>1059</v>
      </c>
      <c r="AA737" s="168" t="s">
        <v>1140</v>
      </c>
      <c r="AB737" s="168"/>
      <c r="AC737" s="168">
        <v>9243</v>
      </c>
      <c r="AD737" s="168" t="s">
        <v>1058</v>
      </c>
      <c r="AE737" s="168" t="s">
        <v>1059</v>
      </c>
      <c r="AF737" s="166" t="s">
        <v>284</v>
      </c>
      <c r="AG737" s="168"/>
      <c r="AH737" s="166" t="s">
        <v>1060</v>
      </c>
      <c r="AI737" s="168">
        <v>0</v>
      </c>
      <c r="AJ737" s="168">
        <v>0</v>
      </c>
      <c r="AP737" s="206"/>
      <c r="AQ737" s="207"/>
      <c r="AR737" s="207"/>
      <c r="AS737" s="207"/>
      <c r="AT737" s="208"/>
      <c r="AU737" s="207"/>
      <c r="AV737" s="208"/>
    </row>
    <row r="738" spans="1:48" s="205" customFormat="1" ht="15">
      <c r="A738" s="145"/>
      <c r="B738" s="166">
        <v>2183</v>
      </c>
      <c r="C738" s="167">
        <v>61033</v>
      </c>
      <c r="D738" s="166" t="s">
        <v>1053</v>
      </c>
      <c r="E738" s="168" t="s">
        <v>2186</v>
      </c>
      <c r="F738" s="166">
        <v>0</v>
      </c>
      <c r="G738" s="168"/>
      <c r="H738" s="168" t="s">
        <v>2187</v>
      </c>
      <c r="I738" s="168"/>
      <c r="J738" s="168">
        <v>1986</v>
      </c>
      <c r="K738" s="168" t="s">
        <v>1253</v>
      </c>
      <c r="L738" s="168" t="s">
        <v>1309</v>
      </c>
      <c r="M738" s="168" t="s">
        <v>2188</v>
      </c>
      <c r="N738" s="169">
        <v>39755</v>
      </c>
      <c r="O738" s="169">
        <v>39755</v>
      </c>
      <c r="P738" s="168"/>
      <c r="Q738" s="166">
        <v>300</v>
      </c>
      <c r="R738" s="166">
        <v>14040</v>
      </c>
      <c r="S738" s="170">
        <v>2500</v>
      </c>
      <c r="T738" s="166">
        <v>14046</v>
      </c>
      <c r="U738" s="170">
        <v>2500</v>
      </c>
      <c r="V738" s="170">
        <f t="shared" si="31"/>
        <v>0</v>
      </c>
      <c r="W738" s="171">
        <v>0</v>
      </c>
      <c r="X738" s="166">
        <v>51260</v>
      </c>
      <c r="Y738" s="170">
        <v>0</v>
      </c>
      <c r="Z738" s="168" t="s">
        <v>1059</v>
      </c>
      <c r="AA738" s="168" t="s">
        <v>1140</v>
      </c>
      <c r="AB738" s="168"/>
      <c r="AC738" s="168">
        <v>9206</v>
      </c>
      <c r="AD738" s="168" t="s">
        <v>1058</v>
      </c>
      <c r="AE738" s="168" t="s">
        <v>1059</v>
      </c>
      <c r="AF738" s="166" t="s">
        <v>284</v>
      </c>
      <c r="AG738" s="168"/>
      <c r="AH738" s="166" t="s">
        <v>1060</v>
      </c>
      <c r="AI738" s="168">
        <v>0</v>
      </c>
      <c r="AJ738" s="168">
        <v>0</v>
      </c>
      <c r="AP738" s="206"/>
      <c r="AQ738" s="207"/>
      <c r="AR738" s="207"/>
      <c r="AS738" s="207"/>
      <c r="AT738" s="208"/>
      <c r="AU738" s="207"/>
      <c r="AV738" s="208"/>
    </row>
    <row r="739" spans="1:48" s="205" customFormat="1" ht="15">
      <c r="A739" s="145"/>
      <c r="B739" s="166">
        <v>2183</v>
      </c>
      <c r="C739" s="167">
        <v>61019</v>
      </c>
      <c r="D739" s="166" t="s">
        <v>1053</v>
      </c>
      <c r="E739" s="168" t="s">
        <v>2189</v>
      </c>
      <c r="F739" s="166">
        <v>0</v>
      </c>
      <c r="G739" s="168"/>
      <c r="H739" s="168"/>
      <c r="I739" s="168"/>
      <c r="J739" s="168">
        <v>0</v>
      </c>
      <c r="K739" s="168"/>
      <c r="L739" s="168"/>
      <c r="M739" s="168"/>
      <c r="N739" s="169">
        <v>39755</v>
      </c>
      <c r="O739" s="169">
        <v>39755</v>
      </c>
      <c r="P739" s="168"/>
      <c r="Q739" s="166">
        <v>0</v>
      </c>
      <c r="R739" s="166">
        <v>14000</v>
      </c>
      <c r="S739" s="170">
        <v>4312000</v>
      </c>
      <c r="T739" s="166">
        <v>14016</v>
      </c>
      <c r="U739" s="170">
        <v>0</v>
      </c>
      <c r="V739" s="170">
        <f t="shared" si="31"/>
        <v>4312000</v>
      </c>
      <c r="W739" s="171">
        <v>0</v>
      </c>
      <c r="X739" s="166">
        <v>57260</v>
      </c>
      <c r="Y739" s="170">
        <v>0</v>
      </c>
      <c r="Z739" s="168" t="s">
        <v>1059</v>
      </c>
      <c r="AA739" s="168" t="s">
        <v>1140</v>
      </c>
      <c r="AB739" s="168"/>
      <c r="AC739" s="168"/>
      <c r="AD739" s="168" t="s">
        <v>1058</v>
      </c>
      <c r="AE739" s="168" t="s">
        <v>1059</v>
      </c>
      <c r="AF739" s="166" t="s">
        <v>1217</v>
      </c>
      <c r="AG739" s="168"/>
      <c r="AH739" s="166" t="s">
        <v>1060</v>
      </c>
      <c r="AI739" s="168">
        <v>0</v>
      </c>
      <c r="AJ739" s="168">
        <v>0</v>
      </c>
      <c r="AP739" s="206"/>
      <c r="AQ739" s="207"/>
      <c r="AR739" s="207"/>
      <c r="AS739" s="207"/>
      <c r="AT739" s="208"/>
      <c r="AU739" s="207"/>
      <c r="AV739" s="208"/>
    </row>
    <row r="740" spans="1:48" ht="15">
      <c r="A740" s="145"/>
      <c r="B740" s="145"/>
      <c r="C740" s="145"/>
      <c r="D740" s="145"/>
      <c r="E740" s="145"/>
      <c r="F740" s="145"/>
      <c r="G740" s="145"/>
      <c r="H740" s="145"/>
      <c r="I740" s="145"/>
      <c r="J740" s="145"/>
      <c r="K740" s="145"/>
      <c r="L740" s="145"/>
      <c r="M740" s="145"/>
      <c r="N740" s="145"/>
      <c r="O740" s="145"/>
      <c r="P740" s="145"/>
      <c r="Q740" s="145"/>
      <c r="R740" s="145"/>
      <c r="S740" s="145"/>
      <c r="T740" s="145"/>
      <c r="U740" s="145"/>
      <c r="V740" s="145"/>
      <c r="W740" s="165"/>
      <c r="X740" s="145"/>
      <c r="Y740" s="145"/>
      <c r="Z740" s="145"/>
      <c r="AA740" s="145"/>
      <c r="AB740" s="145"/>
      <c r="AC740" s="145"/>
      <c r="AD740" s="145"/>
      <c r="AE740" s="145"/>
      <c r="AF740" s="145"/>
      <c r="AG740" s="145"/>
      <c r="AH740" s="145"/>
      <c r="AI740" s="145"/>
      <c r="AJ740" s="145"/>
      <c r="AK740" s="145"/>
      <c r="AL740" s="145"/>
      <c r="AM740" s="145"/>
      <c r="AN740" s="145"/>
      <c r="AO740" s="145"/>
      <c r="AP740" s="145"/>
      <c r="AQ740" s="145"/>
      <c r="AR740" s="145"/>
      <c r="AS740" s="145"/>
      <c r="AT740" s="145"/>
      <c r="AU740" s="145"/>
      <c r="AV740" s="145"/>
    </row>
  </sheetData>
  <autoFilter ref="B13:AW739"/>
  <mergeCells count="5">
    <mergeCell ref="F9:J10"/>
    <mergeCell ref="M9:N9"/>
    <mergeCell ref="C10:D10"/>
    <mergeCell ref="M10:N10"/>
    <mergeCell ref="M11:N11"/>
  </mergeCells>
  <dataValidations count="1">
    <dataValidation type="list" allowBlank="1" showInputMessage="1" showErrorMessage="1" sqref="S9">
      <formula1>"P,C,All"</formula1>
    </dataValidation>
  </dataValidations>
  <printOptions horizontalCentered="1"/>
  <pageMargins left="0.2" right="0.2" top="0.25" bottom="0.25" header="0.3" footer="0.3"/>
  <pageSetup scale="50" fitToWidth="2" pageOrder="overThenDown" orientation="landscape" r:id="rId1"/>
  <colBreaks count="1" manualBreakCount="1">
    <brk id="36" min="4" max="10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BD78"/>
  <sheetViews>
    <sheetView showGridLines="0" view="pageBreakPreview" topLeftCell="D22" zoomScale="60" zoomScaleNormal="80" workbookViewId="0">
      <pane xSplit="5" ySplit="7" topLeftCell="I53" activePane="bottomRight" state="frozen"/>
      <selection activeCell="H24" sqref="H24"/>
      <selection pane="topRight" activeCell="H24" sqref="H24"/>
      <selection pane="bottomLeft" activeCell="H24" sqref="H24"/>
      <selection pane="bottomRight" activeCell="R67" sqref="R67"/>
    </sheetView>
  </sheetViews>
  <sheetFormatPr defaultRowHeight="15" outlineLevelCol="1"/>
  <cols>
    <col min="1" max="2" width="9.140625" style="145"/>
    <col min="3" max="3" width="12.140625" style="145" customWidth="1"/>
    <col min="4" max="4" width="1.42578125" style="145" customWidth="1"/>
    <col min="5" max="5" width="10.42578125" style="145" customWidth="1"/>
    <col min="6" max="6" width="6" style="145" customWidth="1"/>
    <col min="7" max="7" width="5.42578125" style="145" customWidth="1"/>
    <col min="8" max="8" width="27.7109375" style="145" customWidth="1"/>
    <col min="9" max="9" width="49.5703125" style="145" customWidth="1" outlineLevel="1"/>
    <col min="10" max="10" width="45.140625" style="145" customWidth="1" outlineLevel="1"/>
    <col min="11" max="11" width="2.85546875" style="145" customWidth="1"/>
    <col min="12" max="12" width="35.28515625" style="145" bestFit="1" customWidth="1"/>
    <col min="13" max="13" width="20.7109375" style="145" bestFit="1" customWidth="1"/>
    <col min="14" max="14" width="11.7109375" style="145" bestFit="1" customWidth="1"/>
    <col min="15" max="15" width="12.85546875" style="145" bestFit="1" customWidth="1"/>
    <col min="16" max="16" width="12.28515625" style="145" bestFit="1" customWidth="1"/>
    <col min="17" max="17" width="17.5703125" style="145" customWidth="1"/>
    <col min="18" max="29" width="10" style="145" customWidth="1" outlineLevel="1"/>
    <col min="30" max="30" width="0.7109375" style="145" customWidth="1" outlineLevel="1"/>
    <col min="31" max="31" width="13.28515625" style="145" customWidth="1"/>
    <col min="32" max="32" width="0.85546875" style="145" customWidth="1"/>
    <col min="33" max="33" width="9.140625" style="145" hidden="1" customWidth="1" outlineLevel="1"/>
    <col min="34" max="34" width="42.140625" style="145" hidden="1" customWidth="1" outlineLevel="1"/>
    <col min="35" max="35" width="46.42578125" style="145" hidden="1" customWidth="1" outlineLevel="1"/>
    <col min="36" max="37" width="9.140625" style="145" hidden="1" customWidth="1" outlineLevel="1"/>
    <col min="38" max="38" width="25.5703125" style="145" customWidth="1" collapsed="1"/>
    <col min="39" max="39" width="26.7109375" style="145" customWidth="1"/>
    <col min="40" max="40" width="1.42578125" style="145" customWidth="1"/>
    <col min="41" max="41" width="58" style="145" customWidth="1"/>
    <col min="42" max="43" width="9.140625" style="145"/>
    <col min="44" max="44" width="49.28515625" style="145" customWidth="1"/>
    <col min="45" max="45" width="6.85546875" style="145" customWidth="1"/>
    <col min="46" max="46" width="1.42578125" style="145" customWidth="1"/>
    <col min="47" max="47" width="13" style="145" bestFit="1" customWidth="1"/>
    <col min="48" max="48" width="7.7109375" style="145" customWidth="1"/>
    <col min="49" max="49" width="1.28515625" style="145" customWidth="1"/>
    <col min="50" max="50" width="20.5703125" style="145" customWidth="1"/>
    <col min="51" max="51" width="19.42578125" style="145" bestFit="1" customWidth="1"/>
    <col min="52" max="52" width="6.85546875" style="145" customWidth="1"/>
    <col min="53" max="53" width="1.42578125" style="145" customWidth="1"/>
    <col min="54" max="54" width="15.42578125" style="145" customWidth="1"/>
    <col min="55" max="55" width="10.5703125" style="145" customWidth="1"/>
    <col min="56" max="16384" width="9.140625" style="145"/>
  </cols>
  <sheetData>
    <row r="1" spans="1:56" s="224" customFormat="1">
      <c r="D1" s="224" t="s">
        <v>2194</v>
      </c>
      <c r="AT1" s="145"/>
      <c r="AW1" s="145"/>
      <c r="BA1" s="145"/>
    </row>
    <row r="2" spans="1:56">
      <c r="C2" s="225"/>
      <c r="D2" s="226"/>
      <c r="E2" s="225"/>
      <c r="F2" s="225"/>
      <c r="G2" s="225"/>
      <c r="H2" s="227"/>
      <c r="I2" s="227"/>
      <c r="J2" s="227"/>
      <c r="L2" s="225"/>
      <c r="M2" s="225"/>
      <c r="N2" s="225"/>
      <c r="O2" s="225"/>
      <c r="P2" s="225"/>
      <c r="Q2" s="225" t="s">
        <v>2195</v>
      </c>
      <c r="R2" s="225"/>
      <c r="S2" s="225"/>
      <c r="T2" s="225"/>
      <c r="U2" s="225"/>
      <c r="V2" s="225"/>
      <c r="W2" s="225"/>
      <c r="X2" s="225"/>
      <c r="Y2" s="225"/>
      <c r="Z2" s="225"/>
      <c r="AA2" s="225"/>
      <c r="AB2" s="225"/>
      <c r="AC2" s="225"/>
      <c r="AG2" s="225"/>
      <c r="AH2" s="225"/>
      <c r="AI2" s="225"/>
      <c r="AJ2" s="225"/>
      <c r="AK2" s="225"/>
      <c r="AM2" s="225"/>
      <c r="AO2" s="225"/>
    </row>
    <row r="3" spans="1:56">
      <c r="A3" s="145" t="s">
        <v>2196</v>
      </c>
      <c r="B3" s="145" t="s">
        <v>2197</v>
      </c>
      <c r="C3" s="225" t="s">
        <v>2198</v>
      </c>
      <c r="D3" s="226"/>
      <c r="E3" s="225" t="s">
        <v>2199</v>
      </c>
      <c r="F3" s="225" t="s">
        <v>2200</v>
      </c>
      <c r="G3" s="225" t="s">
        <v>2201</v>
      </c>
      <c r="H3" s="227" t="s">
        <v>2202</v>
      </c>
      <c r="I3" s="227" t="s">
        <v>2203</v>
      </c>
      <c r="J3" s="227" t="s">
        <v>2204</v>
      </c>
      <c r="L3" s="225" t="s">
        <v>2205</v>
      </c>
      <c r="M3" s="225" t="s">
        <v>2206</v>
      </c>
      <c r="N3" s="225" t="s">
        <v>2207</v>
      </c>
      <c r="O3" s="225" t="s">
        <v>2208</v>
      </c>
      <c r="P3" s="225" t="s">
        <v>2209</v>
      </c>
      <c r="Q3" s="225" t="s">
        <v>2210</v>
      </c>
      <c r="R3" s="225" t="s">
        <v>2211</v>
      </c>
      <c r="S3" s="225" t="s">
        <v>2212</v>
      </c>
      <c r="T3" s="225" t="s">
        <v>2213</v>
      </c>
      <c r="U3" s="225" t="s">
        <v>2214</v>
      </c>
      <c r="V3" s="225" t="s">
        <v>2215</v>
      </c>
      <c r="W3" s="225" t="s">
        <v>2216</v>
      </c>
      <c r="X3" s="225" t="s">
        <v>2217</v>
      </c>
      <c r="Y3" s="225" t="s">
        <v>2218</v>
      </c>
      <c r="Z3" s="225" t="s">
        <v>2219</v>
      </c>
      <c r="AA3" s="225" t="s">
        <v>2220</v>
      </c>
      <c r="AB3" s="225" t="s">
        <v>2221</v>
      </c>
      <c r="AC3" s="225" t="s">
        <v>2222</v>
      </c>
      <c r="AG3" s="225" t="s">
        <v>2223</v>
      </c>
      <c r="AH3" s="225"/>
      <c r="AI3" s="225" t="s">
        <v>2224</v>
      </c>
      <c r="AJ3" s="225" t="s">
        <v>2225</v>
      </c>
      <c r="AK3" s="225" t="s">
        <v>2226</v>
      </c>
      <c r="AM3" s="225" t="s">
        <v>2227</v>
      </c>
      <c r="AO3" s="225"/>
    </row>
    <row r="4" spans="1:56">
      <c r="C4" s="145" t="s">
        <v>2197</v>
      </c>
      <c r="D4" s="226"/>
      <c r="E4" s="225"/>
      <c r="F4" s="225"/>
      <c r="G4" s="225" t="s">
        <v>2201</v>
      </c>
      <c r="H4" s="227"/>
      <c r="I4" s="227"/>
      <c r="J4" s="227"/>
      <c r="L4" s="225"/>
      <c r="M4" s="225"/>
      <c r="N4" s="225"/>
      <c r="O4" s="225"/>
      <c r="P4" s="225"/>
      <c r="Q4" s="225"/>
      <c r="R4" s="225"/>
      <c r="S4" s="225"/>
      <c r="T4" s="225"/>
      <c r="U4" s="225"/>
      <c r="V4" s="225"/>
      <c r="W4" s="225"/>
      <c r="X4" s="225"/>
      <c r="Y4" s="225"/>
      <c r="Z4" s="225"/>
      <c r="AA4" s="225"/>
      <c r="AB4" s="225"/>
      <c r="AC4" s="225"/>
      <c r="AG4" s="225"/>
      <c r="AH4" s="225"/>
      <c r="AI4" s="225"/>
      <c r="AJ4" s="225"/>
      <c r="AK4" s="225"/>
      <c r="AM4" s="225"/>
      <c r="AO4" s="225" t="s">
        <v>2228</v>
      </c>
    </row>
    <row r="5" spans="1:56" s="224" customFormat="1">
      <c r="D5" s="224" t="s">
        <v>2229</v>
      </c>
      <c r="AT5" s="145"/>
      <c r="AW5" s="145"/>
      <c r="BA5" s="145"/>
    </row>
    <row r="6" spans="1:56">
      <c r="A6" s="145" t="b">
        <f>IF(AND(C6&lt;&gt;"", B6&lt;&gt;C6),TRUE, FALSE)</f>
        <v>0</v>
      </c>
      <c r="B6" s="145" t="str">
        <f>IF(RIGHT("0000"&amp;F6,4)&amp;"-"&amp;G6 &lt;&gt; "0000-", RIGHT("0000"&amp;F6,4)&amp;"-"&amp;G6, "")</f>
        <v/>
      </c>
      <c r="C6" s="228"/>
      <c r="D6" s="229">
        <v>1</v>
      </c>
      <c r="E6" s="230"/>
      <c r="F6" s="231"/>
      <c r="G6" s="232"/>
      <c r="H6" s="233"/>
      <c r="I6" s="233"/>
      <c r="J6" s="233"/>
      <c r="K6" s="234"/>
      <c r="L6" s="235"/>
      <c r="M6" s="235"/>
      <c r="N6" s="236"/>
      <c r="O6" s="237"/>
      <c r="P6" s="237"/>
      <c r="Q6" s="238"/>
      <c r="R6" s="239"/>
      <c r="S6" s="240"/>
      <c r="T6" s="240"/>
      <c r="U6" s="240"/>
      <c r="V6" s="240"/>
      <c r="W6" s="240"/>
      <c r="X6" s="240"/>
      <c r="Y6" s="240"/>
      <c r="Z6" s="240"/>
      <c r="AA6" s="240"/>
      <c r="AB6" s="240"/>
      <c r="AC6" s="241"/>
      <c r="AD6" s="242"/>
      <c r="AE6" s="243">
        <f t="shared" ref="AE6" si="0">SUM(R6:AC6)</f>
        <v>0</v>
      </c>
      <c r="AG6" s="236"/>
      <c r="AH6" s="244"/>
      <c r="AI6" s="245"/>
      <c r="AJ6" s="236"/>
      <c r="AK6" s="232"/>
      <c r="AL6" s="246"/>
      <c r="AM6" s="247"/>
      <c r="AN6" s="248" t="s">
        <v>45</v>
      </c>
      <c r="AO6" s="249"/>
      <c r="AP6" s="246"/>
      <c r="AQ6" s="250" t="str">
        <f>IF(Q6="", "", Q6)</f>
        <v/>
      </c>
      <c r="AR6" s="250" t="str">
        <f>IFERROR(VLOOKUP($AQ6,[19]TruckCenterReference!$C$22:$I32,3,FALSE), "")</f>
        <v/>
      </c>
      <c r="AS6" s="251" t="str">
        <f>IF(Q6&lt;&gt;"",IF(AR6&lt;&gt;H6,"Review","ok"), "")</f>
        <v/>
      </c>
      <c r="AT6" s="252"/>
      <c r="AU6" s="253" t="str">
        <f>IFERROR(VLOOKUP($AQ6,[19]TruckCenterReference!$C$22:$I32,4,FALSE), "")</f>
        <v/>
      </c>
      <c r="AV6" s="251" t="str">
        <f>IF(Q6="","", IF($AU6&lt;&gt;$P6, "Fix!", "ok"))</f>
        <v/>
      </c>
      <c r="AX6" s="250" t="str">
        <f>IFERROR(VLOOKUP(M6,SubtypeToTruckType,2,FALSE),"")</f>
        <v/>
      </c>
      <c r="AY6" s="254" t="str">
        <f>IFERROR(VLOOKUP($AQ6,[19]TruckCenterReference!$C$22:$I32,6,FALSE), "")</f>
        <v/>
      </c>
      <c r="AZ6" s="251" t="str">
        <f>IF(Q6&lt;&gt;"",IF(AX6&lt;&gt;AY6,"Fix!","ok"), "")</f>
        <v/>
      </c>
      <c r="BA6" s="252"/>
      <c r="BB6" s="253">
        <f>IFERROR(VLOOKUP($AQ6,[19]TruckCenterReference!$C$22:$I32,7,FALSE), 0)</f>
        <v>0</v>
      </c>
      <c r="BC6" s="255" t="str">
        <f>IF(BB6&lt;&gt;0,BB6-AE6,"")</f>
        <v/>
      </c>
      <c r="BD6" s="251" t="str">
        <f>IF(Q6="","",IF(ABS(BC6)&gt;100,IF(RIGHT(M6,4)="Body","Review","Fix!"),"ok"))</f>
        <v/>
      </c>
    </row>
    <row r="7" spans="1:56" s="224" customFormat="1">
      <c r="D7" s="224" t="s">
        <v>2230</v>
      </c>
      <c r="AT7" s="145"/>
      <c r="AW7" s="145"/>
      <c r="BA7" s="145"/>
    </row>
    <row r="8" spans="1:56" s="225" customFormat="1">
      <c r="C8" s="256"/>
      <c r="D8" s="256"/>
      <c r="E8" s="256"/>
      <c r="F8" s="257" t="s">
        <v>2231</v>
      </c>
      <c r="G8" s="256"/>
      <c r="H8" s="256"/>
      <c r="I8" s="256"/>
      <c r="J8" s="256"/>
      <c r="K8" s="256"/>
      <c r="L8" s="256" t="str">
        <f ca="1">_xll.jFreezePanes(I29,D22)</f>
        <v xml:space="preserve">&gt; jFreezePanes is ready. </v>
      </c>
      <c r="M8" s="256"/>
      <c r="N8" s="256"/>
      <c r="AT8" s="145"/>
      <c r="AW8" s="145"/>
      <c r="BA8" s="145"/>
    </row>
    <row r="9" spans="1:56" s="225" customFormat="1">
      <c r="C9" s="256"/>
      <c r="D9" s="256"/>
      <c r="E9" s="258" t="s">
        <v>2232</v>
      </c>
      <c r="F9" s="256" t="str">
        <f ca="1">_xll.ReportDefaults("Pull","Clear",_xll.PairGroup(_xll.Pair("",H18)))</f>
        <v>OK!: ReportDefaults Formula OK [jAction{}]</v>
      </c>
      <c r="G9" s="256"/>
      <c r="H9" s="256"/>
      <c r="I9" s="256"/>
      <c r="J9" s="256"/>
      <c r="K9" s="258" t="s">
        <v>2233</v>
      </c>
      <c r="L9" s="256" t="str">
        <f ca="1">_xll.ReportDrill(,"CCQueryDrill",_xll.PairGroup(_xll.Pair(K18,"SummaryLevel"),_xll.Pair(H24,"BudYear"),_xll.Pair(H23,"DistrictCell"),_xll.Pair(C30:C88,"PONumber"),_xll.Pair(F20:AO20)),"Drill to CC Query for Change History")</f>
        <v>OK!: ReportDrill 'Drill to CC Query for Change History' Formula OK [jAction{}]</v>
      </c>
      <c r="M9" s="256"/>
      <c r="N9" s="256"/>
      <c r="AT9" s="145"/>
      <c r="AW9" s="145"/>
      <c r="BA9" s="145"/>
    </row>
    <row r="10" spans="1:56" s="225" customFormat="1">
      <c r="C10" s="256"/>
      <c r="D10" s="256"/>
      <c r="E10" s="259" t="s">
        <v>2234</v>
      </c>
      <c r="F10" s="225" t="str">
        <f>_xll.ReportRun([19]AssetTypeList!C7,FALSE,"Pull")</f>
        <v>OK!: ReportRun Formula OK [jAction{}]</v>
      </c>
      <c r="H10" s="256"/>
      <c r="I10" s="256"/>
      <c r="J10" s="256"/>
      <c r="K10" s="258"/>
      <c r="L10" s="256"/>
      <c r="M10" s="256"/>
      <c r="N10" s="256"/>
      <c r="AT10" s="145"/>
      <c r="AW10" s="145"/>
      <c r="BA10" s="145"/>
    </row>
    <row r="11" spans="1:56" s="225" customFormat="1">
      <c r="C11" s="256"/>
      <c r="D11" s="256"/>
      <c r="E11" s="258" t="s">
        <v>2235</v>
      </c>
      <c r="F11" s="256" t="str">
        <f ca="1">_xll.ReportRange("BudgetCapitalDetailPull",30:60,C3:BC3,C6:BC6,_xll.Param(H23,H24,H18,N18,K19))</f>
        <v>OK!: ReportRange Formula OK [jAction{}]</v>
      </c>
      <c r="G11" s="256"/>
      <c r="H11" s="256"/>
      <c r="I11" s="256"/>
      <c r="M11" s="256"/>
      <c r="N11" s="256"/>
      <c r="AG11" s="225" t="s">
        <v>2223</v>
      </c>
      <c r="AH11" s="225" t="s">
        <v>2236</v>
      </c>
      <c r="AT11" s="145"/>
      <c r="AW11" s="145"/>
      <c r="BA11" s="145"/>
    </row>
    <row r="12" spans="1:56" s="225" customFormat="1">
      <c r="C12" s="256"/>
      <c r="D12" s="256"/>
      <c r="E12" s="258" t="s">
        <v>2237</v>
      </c>
      <c r="F12" s="260" t="str">
        <f ca="1">_xll.ReportFixed("BudCap1",AG30:AG60,AG11:AH11,_xll.Param(DetailBudYear, DetailDistrict))</f>
        <v>OK!: ReportFixed Formula OK [jAction{}]</v>
      </c>
      <c r="G12" s="256"/>
      <c r="H12" s="256"/>
      <c r="I12" s="260"/>
      <c r="M12" s="256"/>
      <c r="N12" s="256"/>
      <c r="AT12" s="145"/>
      <c r="AW12" s="145"/>
      <c r="BA12" s="145"/>
    </row>
    <row r="13" spans="1:56" s="225" customFormat="1">
      <c r="C13" s="256"/>
      <c r="D13" s="256"/>
      <c r="E13" s="258"/>
      <c r="F13" s="260" t="str">
        <f>_xll.ReportRun([19]TruckCenterReference!F15,,"Pull")</f>
        <v>OK!: ReportRun Formula OK [jAction{}]</v>
      </c>
      <c r="G13" s="256"/>
      <c r="H13" s="256"/>
      <c r="I13" s="260"/>
      <c r="M13" s="256"/>
      <c r="N13" s="256"/>
      <c r="AT13" s="145"/>
      <c r="AW13" s="145"/>
      <c r="BA13" s="145"/>
    </row>
    <row r="14" spans="1:56" s="225" customFormat="1">
      <c r="C14" s="256"/>
      <c r="D14" s="256"/>
      <c r="E14" s="261"/>
      <c r="F14" s="257" t="s">
        <v>2238</v>
      </c>
      <c r="G14" s="256"/>
      <c r="H14" s="256"/>
      <c r="I14" s="256"/>
      <c r="J14" s="256"/>
      <c r="K14" s="258"/>
      <c r="L14" s="256"/>
      <c r="M14" s="256"/>
      <c r="N14" s="256"/>
      <c r="AT14" s="145"/>
      <c r="AW14" s="145"/>
      <c r="BA14" s="145"/>
    </row>
    <row r="15" spans="1:56" s="225" customFormat="1">
      <c r="C15" s="256"/>
      <c r="D15" s="256"/>
      <c r="E15" s="258" t="s">
        <v>2239</v>
      </c>
      <c r="F15" s="256" t="str">
        <f ca="1">_xll.ReportSave("BudgetCapitalDetailSave",B30:B60,A3:AM3,C4:AO4,_xll.Param(H23,H24,H18,N18))</f>
        <v>OK!: ReportSave Formula OK [jAction{}]</v>
      </c>
      <c r="G15" s="256"/>
      <c r="H15" s="256"/>
      <c r="I15" s="256"/>
      <c r="J15" s="256"/>
      <c r="K15" s="256"/>
      <c r="L15" s="256"/>
      <c r="M15" s="256"/>
      <c r="N15" s="256"/>
      <c r="AT15" s="145"/>
      <c r="AW15" s="145"/>
      <c r="BA15" s="145"/>
    </row>
    <row r="16" spans="1:56" s="225" customFormat="1">
      <c r="AT16" s="145"/>
      <c r="AW16" s="145"/>
      <c r="BA16" s="145"/>
    </row>
    <row r="17" spans="1:56" s="224" customFormat="1">
      <c r="D17" s="224" t="s">
        <v>2240</v>
      </c>
      <c r="M17" s="262"/>
      <c r="AT17" s="145"/>
      <c r="AW17" s="145"/>
      <c r="BA17" s="145"/>
    </row>
    <row r="18" spans="1:56" s="226" customFormat="1">
      <c r="A18" s="263" t="s">
        <v>2241</v>
      </c>
      <c r="B18" s="264" t="b">
        <f>IFERROR(OR(A30:A60),FALSE)</f>
        <v>0</v>
      </c>
      <c r="G18" s="259" t="s">
        <v>2242</v>
      </c>
      <c r="H18" s="265" t="s">
        <v>2243</v>
      </c>
      <c r="J18" s="259" t="s">
        <v>2244</v>
      </c>
      <c r="K18" s="265" t="s">
        <v>2245</v>
      </c>
      <c r="L18" s="265"/>
      <c r="M18" s="259" t="s">
        <v>2246</v>
      </c>
      <c r="N18" s="265">
        <v>2</v>
      </c>
      <c r="AT18" s="145"/>
      <c r="AW18" s="145"/>
      <c r="BA18" s="145"/>
    </row>
    <row r="19" spans="1:56" s="226" customFormat="1">
      <c r="A19" s="263"/>
      <c r="B19" s="264" t="str">
        <f>IF(B18=TRUE,"Save","SkipRePull")</f>
        <v>SkipRePull</v>
      </c>
      <c r="I19" s="256"/>
      <c r="J19" s="258" t="s">
        <v>2247</v>
      </c>
      <c r="K19" s="265" t="s">
        <v>2248</v>
      </c>
      <c r="L19" s="265"/>
      <c r="M19" s="259"/>
      <c r="N19" s="259"/>
      <c r="AT19" s="145"/>
      <c r="AW19" s="145"/>
      <c r="BA19" s="145"/>
    </row>
    <row r="20" spans="1:56" s="225" customFormat="1">
      <c r="F20" s="225" t="s">
        <v>2249</v>
      </c>
      <c r="G20" s="225" t="s">
        <v>2249</v>
      </c>
      <c r="H20" s="225" t="s">
        <v>2249</v>
      </c>
      <c r="I20" s="225" t="s">
        <v>2249</v>
      </c>
      <c r="J20" s="225" t="s">
        <v>2249</v>
      </c>
      <c r="K20" s="259"/>
      <c r="L20" s="225" t="s">
        <v>2249</v>
      </c>
      <c r="M20" s="225" t="s">
        <v>2249</v>
      </c>
      <c r="N20" s="225" t="s">
        <v>2249</v>
      </c>
      <c r="O20" s="225" t="s">
        <v>2249</v>
      </c>
      <c r="P20" s="225" t="s">
        <v>2249</v>
      </c>
      <c r="Q20" s="225" t="s">
        <v>2249</v>
      </c>
      <c r="R20" s="225" t="s">
        <v>2249</v>
      </c>
      <c r="S20" s="225" t="s">
        <v>2249</v>
      </c>
      <c r="T20" s="225" t="s">
        <v>2249</v>
      </c>
      <c r="U20" s="225" t="s">
        <v>2249</v>
      </c>
      <c r="V20" s="225" t="s">
        <v>2249</v>
      </c>
      <c r="W20" s="225" t="s">
        <v>2249</v>
      </c>
      <c r="X20" s="225" t="s">
        <v>2249</v>
      </c>
      <c r="Y20" s="225" t="s">
        <v>2249</v>
      </c>
      <c r="Z20" s="225" t="s">
        <v>2249</v>
      </c>
      <c r="AA20" s="225" t="s">
        <v>2249</v>
      </c>
      <c r="AB20" s="225" t="s">
        <v>2249</v>
      </c>
      <c r="AC20" s="225" t="s">
        <v>2249</v>
      </c>
      <c r="AE20" s="225" t="s">
        <v>2249</v>
      </c>
      <c r="AG20" s="225" t="s">
        <v>2249</v>
      </c>
      <c r="AJ20" s="225" t="s">
        <v>2249</v>
      </c>
      <c r="AK20" s="225" t="s">
        <v>2249</v>
      </c>
      <c r="AM20" s="225" t="s">
        <v>2249</v>
      </c>
      <c r="AO20" s="225" t="s">
        <v>2249</v>
      </c>
      <c r="AT20" s="145"/>
      <c r="AW20" s="145"/>
      <c r="BA20" s="145"/>
    </row>
    <row r="21" spans="1:56" s="224" customFormat="1">
      <c r="D21" s="224" t="s">
        <v>2250</v>
      </c>
      <c r="AT21" s="145"/>
      <c r="AW21" s="145"/>
      <c r="BA21" s="145"/>
    </row>
    <row r="22" spans="1:56">
      <c r="E22" s="266"/>
      <c r="F22" s="266"/>
      <c r="G22" s="266"/>
      <c r="H22" s="266"/>
      <c r="I22" s="266"/>
      <c r="J22" s="266"/>
      <c r="K22" s="266"/>
      <c r="L22" s="266"/>
      <c r="M22" s="266"/>
      <c r="N22" s="242"/>
      <c r="O22" s="242"/>
      <c r="P22" s="242"/>
      <c r="Q22" s="242"/>
      <c r="R22" s="266"/>
      <c r="S22" s="266"/>
      <c r="T22" s="266"/>
      <c r="U22" s="266"/>
      <c r="V22" s="266"/>
      <c r="W22" s="266"/>
      <c r="X22" s="266"/>
      <c r="Y22" s="266"/>
      <c r="Z22" s="266"/>
      <c r="AA22" s="266"/>
      <c r="AB22" s="266"/>
      <c r="AC22" s="266"/>
      <c r="AD22" s="266"/>
      <c r="AE22" s="266"/>
      <c r="AG22" s="242"/>
      <c r="AH22" s="242"/>
      <c r="AI22" s="242"/>
      <c r="AJ22" s="242"/>
      <c r="AK22" s="242"/>
      <c r="AM22" s="242"/>
    </row>
    <row r="23" spans="1:56" ht="15.75">
      <c r="E23" s="267"/>
      <c r="F23" s="268"/>
      <c r="G23" s="269" t="s">
        <v>2251</v>
      </c>
      <c r="H23" s="270" t="s">
        <v>999</v>
      </c>
      <c r="I23" s="271" t="s">
        <v>2252</v>
      </c>
      <c r="K23" s="272"/>
      <c r="M23" s="273"/>
      <c r="N23" s="242"/>
      <c r="O23" s="242"/>
      <c r="P23" s="242"/>
      <c r="Q23" s="242"/>
      <c r="R23" s="266"/>
      <c r="S23" s="266"/>
      <c r="T23" s="266"/>
      <c r="U23" s="266"/>
      <c r="V23" s="266"/>
      <c r="W23" s="266"/>
      <c r="X23" s="266"/>
      <c r="Y23" s="266"/>
      <c r="Z23" s="266"/>
      <c r="AA23" s="266"/>
      <c r="AB23" s="266"/>
      <c r="AC23" s="266"/>
      <c r="AD23" s="266"/>
      <c r="AE23" s="274"/>
      <c r="AG23" s="242"/>
      <c r="AH23" s="242"/>
      <c r="AI23" s="242"/>
      <c r="AJ23" s="242"/>
      <c r="AK23" s="242"/>
      <c r="AM23" s="242"/>
    </row>
    <row r="24" spans="1:56" ht="15.75">
      <c r="E24" s="275"/>
      <c r="F24" s="276"/>
      <c r="G24" s="277" t="s">
        <v>2253</v>
      </c>
      <c r="H24" s="278">
        <v>2022</v>
      </c>
      <c r="I24" s="279"/>
      <c r="J24" s="279"/>
      <c r="K24" s="272"/>
      <c r="L24" s="280"/>
      <c r="M24" s="273"/>
      <c r="N24" s="242"/>
      <c r="R24" s="266"/>
      <c r="S24" s="266"/>
      <c r="T24" s="266"/>
      <c r="U24" s="266"/>
      <c r="V24" s="266"/>
      <c r="W24" s="266"/>
      <c r="X24" s="266"/>
      <c r="Y24" s="266"/>
      <c r="Z24" s="266"/>
      <c r="AA24" s="266"/>
      <c r="AB24" s="266"/>
      <c r="AC24" s="266"/>
      <c r="AD24" s="266"/>
      <c r="AG24" s="242"/>
      <c r="AH24" s="242"/>
      <c r="AI24" s="242"/>
      <c r="AJ24" s="242"/>
      <c r="AK24" s="242"/>
      <c r="AM24" s="242"/>
    </row>
    <row r="25" spans="1:56">
      <c r="E25" s="281"/>
      <c r="F25" s="281"/>
      <c r="G25" s="281"/>
      <c r="H25" s="266"/>
      <c r="I25" s="266"/>
      <c r="J25" s="266"/>
      <c r="K25" s="266"/>
      <c r="L25" s="280" t="s">
        <v>2254</v>
      </c>
      <c r="M25" s="266"/>
      <c r="N25" s="242"/>
      <c r="O25" s="242"/>
      <c r="P25" s="242"/>
      <c r="Q25" s="242"/>
      <c r="R25" s="266"/>
      <c r="S25" s="266"/>
      <c r="T25" s="266"/>
      <c r="U25" s="266"/>
      <c r="V25" s="266"/>
      <c r="W25" s="266"/>
      <c r="X25" s="266"/>
      <c r="Y25" s="266"/>
      <c r="Z25" s="266"/>
      <c r="AA25" s="266"/>
      <c r="AB25" s="266"/>
      <c r="AC25" s="266"/>
      <c r="AD25" s="266"/>
      <c r="AE25" s="266"/>
      <c r="AG25" s="242"/>
      <c r="AH25" s="242"/>
      <c r="AI25" s="242"/>
      <c r="AJ25" s="242"/>
      <c r="AK25" s="242"/>
      <c r="AM25" s="242"/>
      <c r="AQ25" s="282" t="s">
        <v>2255</v>
      </c>
      <c r="AR25" s="282"/>
      <c r="AX25" s="282"/>
    </row>
    <row r="26" spans="1:56" ht="15.75">
      <c r="E26" s="283" t="s">
        <v>2256</v>
      </c>
      <c r="F26" s="284"/>
      <c r="G26" s="284"/>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6"/>
      <c r="AQ26" s="287"/>
      <c r="AR26" s="287"/>
      <c r="AS26" s="287"/>
      <c r="AU26" s="287"/>
      <c r="AV26" s="287"/>
      <c r="AX26" s="287"/>
      <c r="AY26" s="287"/>
      <c r="AZ26" s="287"/>
      <c r="BB26" s="287"/>
      <c r="BC26" s="287"/>
      <c r="BD26" s="287"/>
    </row>
    <row r="27" spans="1:56">
      <c r="E27" s="288"/>
      <c r="F27" s="288"/>
      <c r="G27" s="288"/>
      <c r="H27" s="288"/>
      <c r="I27" s="288"/>
      <c r="J27" s="288"/>
      <c r="K27" s="288"/>
      <c r="L27" s="288"/>
      <c r="M27" s="288"/>
      <c r="N27" s="289"/>
      <c r="O27" s="289"/>
      <c r="P27" s="289"/>
      <c r="Q27" s="289"/>
      <c r="R27" s="290"/>
      <c r="S27" s="291"/>
      <c r="T27" s="291"/>
      <c r="U27" s="291"/>
      <c r="V27" s="291"/>
      <c r="W27" s="291"/>
      <c r="X27" s="291"/>
      <c r="Y27" s="291"/>
      <c r="Z27" s="291"/>
      <c r="AA27" s="291"/>
      <c r="AB27" s="291"/>
      <c r="AC27" s="291"/>
      <c r="AD27" s="291"/>
      <c r="AE27" s="242"/>
      <c r="AF27" s="291" t="s">
        <v>2257</v>
      </c>
      <c r="AG27" s="292"/>
      <c r="AH27" s="292"/>
      <c r="AI27" s="292"/>
      <c r="AJ27" s="292"/>
      <c r="AK27" s="292"/>
      <c r="AQ27" s="293"/>
      <c r="AR27" s="294" t="s">
        <v>2258</v>
      </c>
      <c r="AS27" s="295"/>
      <c r="AU27" s="295" t="s">
        <v>2259</v>
      </c>
      <c r="AV27" s="295"/>
      <c r="AX27" s="295" t="s">
        <v>2260</v>
      </c>
      <c r="AY27" s="295" t="s">
        <v>2260</v>
      </c>
      <c r="AZ27" s="295"/>
      <c r="BB27" s="295" t="s">
        <v>2261</v>
      </c>
      <c r="BC27" s="296"/>
      <c r="BD27" s="295"/>
    </row>
    <row r="28" spans="1:56" ht="27" thickBot="1">
      <c r="E28" s="297" t="s">
        <v>2262</v>
      </c>
      <c r="F28" s="298" t="s">
        <v>2263</v>
      </c>
      <c r="G28" s="298" t="s">
        <v>2264</v>
      </c>
      <c r="H28" s="299" t="s">
        <v>2265</v>
      </c>
      <c r="I28" s="299" t="s">
        <v>2266</v>
      </c>
      <c r="J28" s="299" t="s">
        <v>2267</v>
      </c>
      <c r="K28" s="298"/>
      <c r="L28" s="298" t="s">
        <v>2268</v>
      </c>
      <c r="M28" s="298" t="s">
        <v>2269</v>
      </c>
      <c r="N28" s="298" t="s">
        <v>2207</v>
      </c>
      <c r="O28" s="298" t="s">
        <v>2270</v>
      </c>
      <c r="P28" s="298" t="s">
        <v>2271</v>
      </c>
      <c r="Q28" s="298" t="s">
        <v>2272</v>
      </c>
      <c r="R28" s="300">
        <v>40209</v>
      </c>
      <c r="S28" s="301">
        <v>40237</v>
      </c>
      <c r="T28" s="302">
        <v>40268</v>
      </c>
      <c r="U28" s="300">
        <v>40298</v>
      </c>
      <c r="V28" s="301">
        <v>40329</v>
      </c>
      <c r="W28" s="302">
        <v>40359</v>
      </c>
      <c r="X28" s="300">
        <v>40390</v>
      </c>
      <c r="Y28" s="301">
        <v>40421</v>
      </c>
      <c r="Z28" s="302">
        <v>40451</v>
      </c>
      <c r="AA28" s="300">
        <v>40482</v>
      </c>
      <c r="AB28" s="301">
        <v>40512</v>
      </c>
      <c r="AC28" s="302">
        <v>40543</v>
      </c>
      <c r="AD28" s="289"/>
      <c r="AE28" s="303" t="s">
        <v>42</v>
      </c>
      <c r="AF28" s="304"/>
      <c r="AG28" s="298" t="s">
        <v>384</v>
      </c>
      <c r="AH28" s="298" t="s">
        <v>2273</v>
      </c>
      <c r="AI28" s="298" t="s">
        <v>2274</v>
      </c>
      <c r="AJ28" s="298" t="s">
        <v>2275</v>
      </c>
      <c r="AK28" s="298" t="s">
        <v>1017</v>
      </c>
      <c r="AL28" s="305" t="s">
        <v>2276</v>
      </c>
      <c r="AM28" s="298" t="s">
        <v>2277</v>
      </c>
      <c r="AN28" s="305"/>
      <c r="AO28" s="298" t="s">
        <v>2278</v>
      </c>
      <c r="AP28" s="305"/>
      <c r="AQ28" s="306" t="s">
        <v>1041</v>
      </c>
      <c r="AR28" s="306" t="s">
        <v>2279</v>
      </c>
      <c r="AS28" s="294" t="s">
        <v>2280</v>
      </c>
      <c r="AU28" s="306" t="s">
        <v>2281</v>
      </c>
      <c r="AV28" s="294" t="s">
        <v>2282</v>
      </c>
      <c r="AX28" s="306" t="s">
        <v>2283</v>
      </c>
      <c r="AY28" s="306" t="s">
        <v>2281</v>
      </c>
      <c r="AZ28" s="294" t="s">
        <v>2280</v>
      </c>
      <c r="BB28" s="306" t="s">
        <v>2281</v>
      </c>
      <c r="BC28" s="306" t="s">
        <v>2284</v>
      </c>
      <c r="BD28" s="294" t="s">
        <v>2282</v>
      </c>
    </row>
    <row r="29" spans="1:56">
      <c r="E29" s="266"/>
      <c r="F29" s="266"/>
      <c r="G29" s="266"/>
      <c r="H29" s="266"/>
      <c r="I29" s="266"/>
      <c r="J29" s="266"/>
      <c r="K29" s="266"/>
      <c r="L29" s="266"/>
      <c r="M29" s="266"/>
      <c r="N29" s="242"/>
      <c r="O29" s="242"/>
      <c r="P29" s="242"/>
      <c r="Q29" s="242"/>
      <c r="R29" s="307"/>
      <c r="S29" s="242"/>
      <c r="T29" s="242"/>
      <c r="U29" s="242"/>
      <c r="V29" s="242"/>
      <c r="W29" s="242"/>
      <c r="X29" s="242"/>
      <c r="Y29" s="242"/>
      <c r="Z29" s="242"/>
      <c r="AA29" s="242"/>
      <c r="AB29" s="242"/>
      <c r="AC29" s="242"/>
      <c r="AD29" s="242"/>
      <c r="AE29" s="308"/>
      <c r="AG29" s="242"/>
      <c r="AH29" s="242"/>
      <c r="AI29" s="242"/>
      <c r="AJ29" s="242"/>
      <c r="AK29" s="242"/>
      <c r="AL29" s="242"/>
      <c r="AM29" s="242"/>
      <c r="AN29" s="242"/>
      <c r="AO29" s="242"/>
      <c r="AP29" s="242"/>
      <c r="AQ29" s="242"/>
      <c r="AR29" s="309"/>
      <c r="AX29" s="309"/>
    </row>
    <row r="30" spans="1:56" ht="76.5">
      <c r="A30" s="145" t="b">
        <f t="shared" ref="A30:A59" si="1">IF(AND(C30&lt;&gt;"", B30&lt;&gt;C30),TRUE, FALSE)</f>
        <v>0</v>
      </c>
      <c r="B30" s="145" t="str">
        <f t="shared" ref="B30:B59" si="2">IF(RIGHT("0000"&amp;F30,4)&amp;"-"&amp;G30 &lt;&gt; "0000-", RIGHT("0000"&amp;F30,4)&amp;"-"&amp;G30, "")</f>
        <v>0001-1</v>
      </c>
      <c r="C30" s="228" t="s">
        <v>2285</v>
      </c>
      <c r="D30" s="229">
        <v>1</v>
      </c>
      <c r="E30" s="230"/>
      <c r="F30" s="231">
        <v>1</v>
      </c>
      <c r="G30" s="232">
        <v>1</v>
      </c>
      <c r="H30" s="233" t="s">
        <v>2286</v>
      </c>
      <c r="I30" s="233" t="s">
        <v>2286</v>
      </c>
      <c r="J30" s="233" t="s">
        <v>2287</v>
      </c>
      <c r="K30" s="234"/>
      <c r="L30" s="235" t="s">
        <v>2288</v>
      </c>
      <c r="M30" s="235" t="s">
        <v>2289</v>
      </c>
      <c r="N30" s="236">
        <v>10</v>
      </c>
      <c r="O30" s="237" t="s">
        <v>1059</v>
      </c>
      <c r="P30" s="237" t="s">
        <v>809</v>
      </c>
      <c r="Q30" s="238"/>
      <c r="R30" s="239">
        <v>0</v>
      </c>
      <c r="S30" s="240">
        <v>0</v>
      </c>
      <c r="T30" s="240">
        <v>0</v>
      </c>
      <c r="U30" s="240">
        <v>0</v>
      </c>
      <c r="V30" s="240">
        <v>0</v>
      </c>
      <c r="W30" s="240">
        <v>0</v>
      </c>
      <c r="X30" s="240">
        <v>0</v>
      </c>
      <c r="Y30" s="240">
        <v>89000</v>
      </c>
      <c r="Z30" s="240">
        <v>0</v>
      </c>
      <c r="AA30" s="240">
        <v>0</v>
      </c>
      <c r="AB30" s="240">
        <v>0</v>
      </c>
      <c r="AC30" s="241">
        <v>0</v>
      </c>
      <c r="AD30" s="242"/>
      <c r="AE30" s="243">
        <f t="shared" ref="AE30:AE59" si="3">SUM(R30:AC30)</f>
        <v>89000</v>
      </c>
      <c r="AG30" s="467" t="s">
        <v>2367</v>
      </c>
      <c r="AH30" s="244"/>
      <c r="AI30" s="245" t="s">
        <v>2290</v>
      </c>
      <c r="AJ30" s="236"/>
      <c r="AK30" s="232"/>
      <c r="AL30" s="246"/>
      <c r="AM30" s="247"/>
      <c r="AN30" s="248" t="s">
        <v>45</v>
      </c>
      <c r="AO30" s="249"/>
      <c r="AP30" s="246"/>
      <c r="AQ30" s="250" t="str">
        <f t="shared" ref="AQ30:AQ59" si="4">IF(Q30="", "", Q30)</f>
        <v/>
      </c>
      <c r="AR30" s="250" t="str">
        <f>IFERROR(VLOOKUP($AQ30,[19]TruckCenterReference!$C$22:$I56,3,FALSE), "")</f>
        <v/>
      </c>
      <c r="AS30" s="251" t="str">
        <f t="shared" ref="AS30:AS59" si="5">IF(Q30&lt;&gt;"",IF(AR30&lt;&gt;H30,"Review","ok"), "")</f>
        <v/>
      </c>
      <c r="AT30" s="252"/>
      <c r="AU30" s="253" t="str">
        <f>IFERROR(VLOOKUP($AQ30,[19]TruckCenterReference!$C$22:$I56,4,FALSE), "")</f>
        <v/>
      </c>
      <c r="AV30" s="251" t="str">
        <f t="shared" ref="AV30:AV59" si="6">IF(Q30="","", IF($AU30&lt;&gt;$P30, "Fix!", "ok"))</f>
        <v/>
      </c>
      <c r="AX30" s="250" t="str">
        <f t="shared" ref="AX30:AX59" si="7">IFERROR(VLOOKUP(M30,SubtypeToTruckType,2,FALSE),"")</f>
        <v/>
      </c>
      <c r="AY30" s="254" t="str">
        <f>IFERROR(VLOOKUP($AQ30,[19]TruckCenterReference!$C$22:$I56,6,FALSE), "")</f>
        <v/>
      </c>
      <c r="AZ30" s="251" t="str">
        <f t="shared" ref="AZ30:AZ59" si="8">IF(Q30&lt;&gt;"",IF(AX30&lt;&gt;AY30,"Fix!","ok"), "")</f>
        <v/>
      </c>
      <c r="BA30" s="252"/>
      <c r="BB30" s="253">
        <f>IFERROR(VLOOKUP($AQ30,[19]TruckCenterReference!$C$22:$I56,7,FALSE), 0)</f>
        <v>0</v>
      </c>
      <c r="BC30" s="255" t="str">
        <f t="shared" ref="BC30:BC59" si="9">IF(BB30&lt;&gt;0,BB30-AE30,"")</f>
        <v/>
      </c>
      <c r="BD30" s="251" t="str">
        <f t="shared" ref="BD30:BD59" si="10">IF(Q30="","",IF(ABS(BC30)&gt;100,IF(RIGHT(M30,4)="Body","Review","Fix!"),"ok"))</f>
        <v/>
      </c>
    </row>
    <row r="31" spans="1:56" ht="140.25">
      <c r="A31" s="145" t="b">
        <f t="shared" si="1"/>
        <v>0</v>
      </c>
      <c r="B31" s="145" t="str">
        <f t="shared" si="2"/>
        <v>0003-1</v>
      </c>
      <c r="C31" s="228" t="s">
        <v>2291</v>
      </c>
      <c r="D31" s="229">
        <v>1</v>
      </c>
      <c r="E31" s="230"/>
      <c r="F31" s="231">
        <v>3</v>
      </c>
      <c r="G31" s="232">
        <v>1</v>
      </c>
      <c r="H31" s="233" t="s">
        <v>2292</v>
      </c>
      <c r="I31" s="233" t="s">
        <v>2292</v>
      </c>
      <c r="J31" s="233" t="s">
        <v>2293</v>
      </c>
      <c r="K31" s="234"/>
      <c r="L31" s="235" t="s">
        <v>2294</v>
      </c>
      <c r="M31" s="235" t="s">
        <v>2295</v>
      </c>
      <c r="N31" s="236">
        <v>10</v>
      </c>
      <c r="O31" s="237" t="s">
        <v>2296</v>
      </c>
      <c r="P31" s="237" t="s">
        <v>809</v>
      </c>
      <c r="Q31" s="238">
        <v>12020</v>
      </c>
      <c r="R31" s="239">
        <v>0</v>
      </c>
      <c r="S31" s="240">
        <v>0</v>
      </c>
      <c r="T31" s="240">
        <v>0</v>
      </c>
      <c r="U31" s="240">
        <v>402258</v>
      </c>
      <c r="V31" s="240">
        <v>0</v>
      </c>
      <c r="W31" s="240">
        <v>0</v>
      </c>
      <c r="X31" s="240">
        <v>0</v>
      </c>
      <c r="Y31" s="240">
        <v>0</v>
      </c>
      <c r="Z31" s="240">
        <v>0</v>
      </c>
      <c r="AA31" s="240">
        <v>0</v>
      </c>
      <c r="AB31" s="240">
        <v>0</v>
      </c>
      <c r="AC31" s="241">
        <v>0</v>
      </c>
      <c r="AD31" s="242"/>
      <c r="AE31" s="243">
        <f t="shared" si="3"/>
        <v>402258</v>
      </c>
      <c r="AG31" s="236">
        <v>61117</v>
      </c>
      <c r="AH31" s="244" t="s">
        <v>2158</v>
      </c>
      <c r="AI31" s="468" t="s">
        <v>2297</v>
      </c>
      <c r="AJ31" s="236">
        <v>3600</v>
      </c>
      <c r="AK31" s="232">
        <v>2007</v>
      </c>
      <c r="AL31" s="246" t="s">
        <v>2298</v>
      </c>
      <c r="AM31" s="310" t="str">
        <f>HYPERLINK("\\westfile01\DistShares\Western Region\ControllerDir\KevinJ\South LeMay\Budget History\Budget 2022\Capex\Pac - Shred Budget Quotes\2183 Assets to Replace.xlsx","\\westfile01\DistShares\Western Region\ControllerDir\KevinJ\South LeMay\Budget History\Budget 2022\Capex\Pac - Shred Budget Quotes\2183 Assets to Replace.xlsx")</f>
        <v>\\westfile01\DistShares\Western Region\ControllerDir\KevinJ\South LeMay\Budget History\Budget 2022\Capex\Pac - Shred Budget Quotes\2183 Assets to Replace.xlsx</v>
      </c>
      <c r="AN31" s="248" t="s">
        <v>45</v>
      </c>
      <c r="AO31" s="249"/>
      <c r="AP31" s="246"/>
      <c r="AQ31" s="250">
        <f t="shared" si="4"/>
        <v>12020</v>
      </c>
      <c r="AR31" s="250" t="str">
        <f>IFERROR(VLOOKUP($AQ31,[19]TruckCenterReference!$C$22:$I57,3,FALSE), "")</f>
        <v>New Peterbilt/Labrie Automated Resi (28 yd) (Not Manual)</v>
      </c>
      <c r="AS31" s="251" t="str">
        <f t="shared" si="5"/>
        <v>Review</v>
      </c>
      <c r="AT31" s="252"/>
      <c r="AU31" s="253" t="str">
        <f>IFERROR(VLOOKUP($AQ31,[19]TruckCenterReference!$C$22:$I57,4,FALSE), "")</f>
        <v>N</v>
      </c>
      <c r="AV31" s="251" t="str">
        <f t="shared" si="6"/>
        <v>ok</v>
      </c>
      <c r="AX31" s="250" t="str">
        <f t="shared" si="7"/>
        <v>Automated Sideloader</v>
      </c>
      <c r="AY31" s="254" t="str">
        <f>IFERROR(VLOOKUP($AQ31,[19]TruckCenterReference!$C$22:$I57,6,FALSE), "")</f>
        <v>Automated Sideloader</v>
      </c>
      <c r="AZ31" s="251" t="str">
        <f t="shared" si="8"/>
        <v>ok</v>
      </c>
      <c r="BA31" s="252"/>
      <c r="BB31" s="253">
        <f>IFERROR(VLOOKUP($AQ31,[19]TruckCenterReference!$C$22:$I57,7,FALSE), 0)</f>
        <v>402258</v>
      </c>
      <c r="BC31" s="255">
        <f t="shared" si="9"/>
        <v>0</v>
      </c>
      <c r="BD31" s="251" t="str">
        <f t="shared" si="10"/>
        <v>ok</v>
      </c>
    </row>
    <row r="32" spans="1:56" ht="127.5">
      <c r="A32" s="145" t="b">
        <f t="shared" si="1"/>
        <v>0</v>
      </c>
      <c r="B32" s="145" t="str">
        <f t="shared" si="2"/>
        <v>0004-1</v>
      </c>
      <c r="C32" s="228" t="s">
        <v>2299</v>
      </c>
      <c r="D32" s="229">
        <v>1</v>
      </c>
      <c r="E32" s="230"/>
      <c r="F32" s="231">
        <v>4</v>
      </c>
      <c r="G32" s="232">
        <v>1</v>
      </c>
      <c r="H32" s="233" t="s">
        <v>2292</v>
      </c>
      <c r="I32" s="233" t="s">
        <v>2292</v>
      </c>
      <c r="J32" s="233" t="s">
        <v>2300</v>
      </c>
      <c r="K32" s="234"/>
      <c r="L32" s="235" t="s">
        <v>2294</v>
      </c>
      <c r="M32" s="235" t="s">
        <v>2295</v>
      </c>
      <c r="N32" s="236">
        <v>10</v>
      </c>
      <c r="O32" s="237" t="s">
        <v>2296</v>
      </c>
      <c r="P32" s="237" t="s">
        <v>809</v>
      </c>
      <c r="Q32" s="238">
        <v>12038</v>
      </c>
      <c r="R32" s="239">
        <v>0</v>
      </c>
      <c r="S32" s="240">
        <v>0</v>
      </c>
      <c r="T32" s="240">
        <v>0</v>
      </c>
      <c r="U32" s="240">
        <v>0</v>
      </c>
      <c r="V32" s="240">
        <v>402258</v>
      </c>
      <c r="W32" s="240">
        <v>0</v>
      </c>
      <c r="X32" s="240">
        <v>0</v>
      </c>
      <c r="Y32" s="240">
        <v>0</v>
      </c>
      <c r="Z32" s="240">
        <v>0</v>
      </c>
      <c r="AA32" s="240">
        <v>0</v>
      </c>
      <c r="AB32" s="240">
        <v>0</v>
      </c>
      <c r="AC32" s="241">
        <v>0</v>
      </c>
      <c r="AD32" s="242"/>
      <c r="AE32" s="243">
        <f t="shared" si="3"/>
        <v>402258</v>
      </c>
      <c r="AG32" s="236">
        <v>61118</v>
      </c>
      <c r="AH32" s="244" t="s">
        <v>2158</v>
      </c>
      <c r="AI32" s="468" t="s">
        <v>2301</v>
      </c>
      <c r="AJ32" s="236">
        <v>3601</v>
      </c>
      <c r="AK32" s="232">
        <v>2007</v>
      </c>
      <c r="AL32" s="246" t="s">
        <v>2298</v>
      </c>
      <c r="AM32" s="310" t="str">
        <f>HYPERLINK("\\westfile01\DistShares\Western Region\ControllerDir\KevinJ\South LeMay\Budget History\Budget 2022\Capex\Pac - Shred Budget Quotes\2183 Assets to Replace.xlsx","\\westfile01\DistShares\Western Region\ControllerDir\KevinJ\South LeMay\Budget History\Budget 2022\Capex\Pac - Shred Budget Quotes\2183 Assets to Replace.xlsx")</f>
        <v>\\westfile01\DistShares\Western Region\ControllerDir\KevinJ\South LeMay\Budget History\Budget 2022\Capex\Pac - Shred Budget Quotes\2183 Assets to Replace.xlsx</v>
      </c>
      <c r="AN32" s="248" t="s">
        <v>45</v>
      </c>
      <c r="AO32" s="249"/>
      <c r="AP32" s="246"/>
      <c r="AQ32" s="250">
        <f t="shared" si="4"/>
        <v>12038</v>
      </c>
      <c r="AR32" s="250" t="str">
        <f>IFERROR(VLOOKUP($AQ32,[19]TruckCenterReference!$C$22:$I58,3,FALSE), "")</f>
        <v>New Peterbilt/Labrie Automated Resi (28 yd) (Not Manual)</v>
      </c>
      <c r="AS32" s="251" t="str">
        <f t="shared" si="5"/>
        <v>Review</v>
      </c>
      <c r="AT32" s="252"/>
      <c r="AU32" s="253" t="str">
        <f>IFERROR(VLOOKUP($AQ32,[19]TruckCenterReference!$C$22:$I58,4,FALSE), "")</f>
        <v>N</v>
      </c>
      <c r="AV32" s="251" t="str">
        <f t="shared" si="6"/>
        <v>ok</v>
      </c>
      <c r="AX32" s="250" t="str">
        <f t="shared" si="7"/>
        <v>Automated Sideloader</v>
      </c>
      <c r="AY32" s="254" t="str">
        <f>IFERROR(VLOOKUP($AQ32,[19]TruckCenterReference!$C$22:$I58,6,FALSE), "")</f>
        <v>Automated Sideloader</v>
      </c>
      <c r="AZ32" s="251" t="str">
        <f t="shared" si="8"/>
        <v>ok</v>
      </c>
      <c r="BA32" s="252"/>
      <c r="BB32" s="253">
        <f>IFERROR(VLOOKUP($AQ32,[19]TruckCenterReference!$C$22:$I58,7,FALSE), 0)</f>
        <v>402258</v>
      </c>
      <c r="BC32" s="255">
        <f t="shared" si="9"/>
        <v>0</v>
      </c>
      <c r="BD32" s="251" t="str">
        <f t="shared" si="10"/>
        <v>ok</v>
      </c>
    </row>
    <row r="33" spans="1:56" ht="140.25">
      <c r="A33" s="145" t="b">
        <f t="shared" si="1"/>
        <v>0</v>
      </c>
      <c r="B33" s="145" t="str">
        <f t="shared" si="2"/>
        <v>0005-1</v>
      </c>
      <c r="C33" s="228" t="s">
        <v>2302</v>
      </c>
      <c r="D33" s="229">
        <v>1</v>
      </c>
      <c r="E33" s="230"/>
      <c r="F33" s="231">
        <v>5</v>
      </c>
      <c r="G33" s="232">
        <v>1</v>
      </c>
      <c r="H33" s="233" t="s">
        <v>2292</v>
      </c>
      <c r="I33" s="233" t="s">
        <v>2292</v>
      </c>
      <c r="J33" s="233" t="s">
        <v>2303</v>
      </c>
      <c r="K33" s="234"/>
      <c r="L33" s="235" t="s">
        <v>2294</v>
      </c>
      <c r="M33" s="235" t="s">
        <v>2295</v>
      </c>
      <c r="N33" s="236">
        <v>10</v>
      </c>
      <c r="O33" s="237" t="s">
        <v>2296</v>
      </c>
      <c r="P33" s="237" t="s">
        <v>809</v>
      </c>
      <c r="Q33" s="238">
        <v>12039</v>
      </c>
      <c r="R33" s="239">
        <v>0</v>
      </c>
      <c r="S33" s="240">
        <v>0</v>
      </c>
      <c r="T33" s="240">
        <v>0</v>
      </c>
      <c r="U33" s="240">
        <v>0</v>
      </c>
      <c r="V33" s="240">
        <v>0</v>
      </c>
      <c r="W33" s="240">
        <v>0</v>
      </c>
      <c r="X33" s="240">
        <v>0</v>
      </c>
      <c r="Y33" s="240">
        <v>402258</v>
      </c>
      <c r="Z33" s="240">
        <v>0</v>
      </c>
      <c r="AA33" s="240">
        <v>0</v>
      </c>
      <c r="AB33" s="240">
        <v>0</v>
      </c>
      <c r="AC33" s="241">
        <v>0</v>
      </c>
      <c r="AD33" s="242"/>
      <c r="AE33" s="243">
        <f t="shared" si="3"/>
        <v>402258</v>
      </c>
      <c r="AG33" s="236">
        <v>61120</v>
      </c>
      <c r="AH33" s="244" t="s">
        <v>2158</v>
      </c>
      <c r="AI33" s="468" t="s">
        <v>2304</v>
      </c>
      <c r="AJ33" s="236">
        <v>3606</v>
      </c>
      <c r="AK33" s="232">
        <v>2007</v>
      </c>
      <c r="AL33" s="246" t="s">
        <v>2298</v>
      </c>
      <c r="AM33" s="310" t="str">
        <f>HYPERLINK("\\westfile01\DistShares\Western Region\ControllerDir\KevinJ\South LeMay\Budget History\Budget 2022\Capex\Pac - Shred Budget Quotes\2183 Assets to Replace.xlsx","\\westfile01\DistShares\Western Region\ControllerDir\KevinJ\South LeMay\Budget History\Budget 2022\Capex\Pac - Shred Budget Quotes\2183 Assets to Replace.xlsx")</f>
        <v>\\westfile01\DistShares\Western Region\ControllerDir\KevinJ\South LeMay\Budget History\Budget 2022\Capex\Pac - Shred Budget Quotes\2183 Assets to Replace.xlsx</v>
      </c>
      <c r="AN33" s="248" t="s">
        <v>45</v>
      </c>
      <c r="AO33" s="249"/>
      <c r="AP33" s="246"/>
      <c r="AQ33" s="250">
        <f t="shared" si="4"/>
        <v>12039</v>
      </c>
      <c r="AR33" s="250" t="str">
        <f>IFERROR(VLOOKUP($AQ33,[19]TruckCenterReference!$C$22:$I59,3,FALSE), "")</f>
        <v>New Peterbilt/Labrie Automated Resi (28 yd) (Not Manual)</v>
      </c>
      <c r="AS33" s="251" t="str">
        <f t="shared" si="5"/>
        <v>Review</v>
      </c>
      <c r="AT33" s="252"/>
      <c r="AU33" s="253" t="str">
        <f>IFERROR(VLOOKUP($AQ33,[19]TruckCenterReference!$C$22:$I59,4,FALSE), "")</f>
        <v>N</v>
      </c>
      <c r="AV33" s="251" t="str">
        <f t="shared" si="6"/>
        <v>ok</v>
      </c>
      <c r="AX33" s="250" t="str">
        <f t="shared" si="7"/>
        <v>Automated Sideloader</v>
      </c>
      <c r="AY33" s="254" t="str">
        <f>IFERROR(VLOOKUP($AQ33,[19]TruckCenterReference!$C$22:$I59,6,FALSE), "")</f>
        <v>Automated Sideloader</v>
      </c>
      <c r="AZ33" s="251" t="str">
        <f t="shared" si="8"/>
        <v>ok</v>
      </c>
      <c r="BA33" s="252"/>
      <c r="BB33" s="253">
        <f>IFERROR(VLOOKUP($AQ33,[19]TruckCenterReference!$C$22:$I59,7,FALSE), 0)</f>
        <v>402258</v>
      </c>
      <c r="BC33" s="255">
        <f t="shared" si="9"/>
        <v>0</v>
      </c>
      <c r="BD33" s="251" t="str">
        <f t="shared" si="10"/>
        <v>ok</v>
      </c>
    </row>
    <row r="34" spans="1:56" ht="140.25">
      <c r="A34" s="145" t="b">
        <f t="shared" si="1"/>
        <v>0</v>
      </c>
      <c r="B34" s="145" t="str">
        <f t="shared" si="2"/>
        <v>0006-1</v>
      </c>
      <c r="C34" s="228" t="s">
        <v>2305</v>
      </c>
      <c r="D34" s="229">
        <v>1</v>
      </c>
      <c r="E34" s="230"/>
      <c r="F34" s="231">
        <v>6</v>
      </c>
      <c r="G34" s="232">
        <v>1</v>
      </c>
      <c r="H34" s="233" t="s">
        <v>2292</v>
      </c>
      <c r="I34" s="233" t="s">
        <v>2292</v>
      </c>
      <c r="J34" s="233" t="s">
        <v>2306</v>
      </c>
      <c r="K34" s="234"/>
      <c r="L34" s="235" t="s">
        <v>2294</v>
      </c>
      <c r="M34" s="235" t="s">
        <v>2295</v>
      </c>
      <c r="N34" s="236">
        <v>10</v>
      </c>
      <c r="O34" s="237" t="s">
        <v>1059</v>
      </c>
      <c r="P34" s="237" t="s">
        <v>809</v>
      </c>
      <c r="Q34" s="238">
        <v>12041</v>
      </c>
      <c r="R34" s="239">
        <v>0</v>
      </c>
      <c r="S34" s="240">
        <v>0</v>
      </c>
      <c r="T34" s="240">
        <v>0</v>
      </c>
      <c r="U34" s="240">
        <v>0</v>
      </c>
      <c r="V34" s="240">
        <v>0</v>
      </c>
      <c r="W34" s="240">
        <v>0</v>
      </c>
      <c r="X34" s="240">
        <v>0</v>
      </c>
      <c r="Y34" s="240">
        <v>0</v>
      </c>
      <c r="Z34" s="240">
        <v>0</v>
      </c>
      <c r="AA34" s="240">
        <v>402258</v>
      </c>
      <c r="AB34" s="240">
        <v>0</v>
      </c>
      <c r="AC34" s="241">
        <v>0</v>
      </c>
      <c r="AD34" s="242"/>
      <c r="AE34" s="243">
        <f t="shared" si="3"/>
        <v>402258</v>
      </c>
      <c r="AG34" s="236"/>
      <c r="AH34" s="244"/>
      <c r="AI34" s="245" t="s">
        <v>2306</v>
      </c>
      <c r="AJ34" s="236"/>
      <c r="AK34" s="232"/>
      <c r="AL34" s="246" t="s">
        <v>2298</v>
      </c>
      <c r="AM34" s="247"/>
      <c r="AN34" s="248" t="s">
        <v>45</v>
      </c>
      <c r="AO34" s="249"/>
      <c r="AP34" s="246"/>
      <c r="AQ34" s="250">
        <f t="shared" si="4"/>
        <v>12041</v>
      </c>
      <c r="AR34" s="250" t="str">
        <f>IFERROR(VLOOKUP($AQ34,[19]TruckCenterReference!$C$22:$I60,3,FALSE), "")</f>
        <v>New Peterbilt/Labrie Automated Resi (28 yd) (Not Manual)</v>
      </c>
      <c r="AS34" s="251" t="str">
        <f t="shared" si="5"/>
        <v>Review</v>
      </c>
      <c r="AT34" s="252"/>
      <c r="AU34" s="253" t="str">
        <f>IFERROR(VLOOKUP($AQ34,[19]TruckCenterReference!$C$22:$I60,4,FALSE), "")</f>
        <v>N</v>
      </c>
      <c r="AV34" s="251" t="str">
        <f t="shared" si="6"/>
        <v>ok</v>
      </c>
      <c r="AX34" s="250" t="str">
        <f t="shared" si="7"/>
        <v>Automated Sideloader</v>
      </c>
      <c r="AY34" s="254" t="str">
        <f>IFERROR(VLOOKUP($AQ34,[19]TruckCenterReference!$C$22:$I60,6,FALSE), "")</f>
        <v>Automated Sideloader</v>
      </c>
      <c r="AZ34" s="251" t="str">
        <f t="shared" si="8"/>
        <v>ok</v>
      </c>
      <c r="BA34" s="252"/>
      <c r="BB34" s="253">
        <f>IFERROR(VLOOKUP($AQ34,[19]TruckCenterReference!$C$22:$I60,7,FALSE), 0)</f>
        <v>402258</v>
      </c>
      <c r="BC34" s="255">
        <f t="shared" si="9"/>
        <v>0</v>
      </c>
      <c r="BD34" s="251" t="str">
        <f t="shared" si="10"/>
        <v>ok</v>
      </c>
    </row>
    <row r="35" spans="1:56" ht="140.25">
      <c r="A35" s="145" t="b">
        <f t="shared" si="1"/>
        <v>0</v>
      </c>
      <c r="B35" s="145" t="str">
        <f t="shared" si="2"/>
        <v>0007-1</v>
      </c>
      <c r="C35" s="228" t="s">
        <v>2307</v>
      </c>
      <c r="D35" s="229">
        <v>1</v>
      </c>
      <c r="E35" s="230"/>
      <c r="F35" s="231">
        <v>7</v>
      </c>
      <c r="G35" s="232">
        <v>1</v>
      </c>
      <c r="H35" s="233" t="s">
        <v>2292</v>
      </c>
      <c r="I35" s="233" t="s">
        <v>2292</v>
      </c>
      <c r="J35" s="233" t="s">
        <v>2306</v>
      </c>
      <c r="K35" s="234"/>
      <c r="L35" s="235" t="s">
        <v>2294</v>
      </c>
      <c r="M35" s="235" t="s">
        <v>2295</v>
      </c>
      <c r="N35" s="236">
        <v>10</v>
      </c>
      <c r="O35" s="237" t="s">
        <v>1059</v>
      </c>
      <c r="P35" s="237" t="s">
        <v>809</v>
      </c>
      <c r="Q35" s="238">
        <v>12042</v>
      </c>
      <c r="R35" s="239">
        <v>0</v>
      </c>
      <c r="S35" s="240">
        <v>402258</v>
      </c>
      <c r="T35" s="240">
        <v>0</v>
      </c>
      <c r="U35" s="240">
        <v>0</v>
      </c>
      <c r="V35" s="240">
        <v>0</v>
      </c>
      <c r="W35" s="240">
        <v>0</v>
      </c>
      <c r="X35" s="240">
        <v>0</v>
      </c>
      <c r="Y35" s="240">
        <v>0</v>
      </c>
      <c r="Z35" s="240">
        <v>0</v>
      </c>
      <c r="AA35" s="240">
        <v>0</v>
      </c>
      <c r="AB35" s="240">
        <v>0</v>
      </c>
      <c r="AC35" s="241">
        <v>0</v>
      </c>
      <c r="AD35" s="242"/>
      <c r="AE35" s="243">
        <f t="shared" si="3"/>
        <v>402258</v>
      </c>
      <c r="AG35" s="236"/>
      <c r="AH35" s="244"/>
      <c r="AI35" s="245" t="s">
        <v>2306</v>
      </c>
      <c r="AJ35" s="236"/>
      <c r="AK35" s="232"/>
      <c r="AL35" s="246" t="s">
        <v>2298</v>
      </c>
      <c r="AM35" s="247"/>
      <c r="AN35" s="248" t="s">
        <v>45</v>
      </c>
      <c r="AO35" s="249"/>
      <c r="AP35" s="246"/>
      <c r="AQ35" s="250">
        <f t="shared" si="4"/>
        <v>12042</v>
      </c>
      <c r="AR35" s="250" t="str">
        <f>IFERROR(VLOOKUP($AQ35,[19]TruckCenterReference!$C$22:$I61,3,FALSE), "")</f>
        <v>New Peterbilt/Labrie Automated Resi (28 yd) (Not Manual)</v>
      </c>
      <c r="AS35" s="251" t="str">
        <f t="shared" si="5"/>
        <v>Review</v>
      </c>
      <c r="AT35" s="252"/>
      <c r="AU35" s="253" t="str">
        <f>IFERROR(VLOOKUP($AQ35,[19]TruckCenterReference!$C$22:$I61,4,FALSE), "")</f>
        <v>N</v>
      </c>
      <c r="AV35" s="251" t="str">
        <f t="shared" si="6"/>
        <v>ok</v>
      </c>
      <c r="AX35" s="250" t="str">
        <f t="shared" si="7"/>
        <v>Automated Sideloader</v>
      </c>
      <c r="AY35" s="254" t="str">
        <f>IFERROR(VLOOKUP($AQ35,[19]TruckCenterReference!$C$22:$I61,6,FALSE), "")</f>
        <v>Automated Sideloader</v>
      </c>
      <c r="AZ35" s="251" t="str">
        <f t="shared" si="8"/>
        <v>ok</v>
      </c>
      <c r="BA35" s="252"/>
      <c r="BB35" s="253">
        <f>IFERROR(VLOOKUP($AQ35,[19]TruckCenterReference!$C$22:$I61,7,FALSE), 0)</f>
        <v>402258</v>
      </c>
      <c r="BC35" s="255">
        <f t="shared" si="9"/>
        <v>0</v>
      </c>
      <c r="BD35" s="251" t="str">
        <f t="shared" si="10"/>
        <v>ok</v>
      </c>
    </row>
    <row r="36" spans="1:56" ht="114.75">
      <c r="A36" s="145" t="b">
        <f t="shared" si="1"/>
        <v>0</v>
      </c>
      <c r="B36" s="145" t="str">
        <f t="shared" si="2"/>
        <v>0008-1</v>
      </c>
      <c r="C36" s="228" t="s">
        <v>2308</v>
      </c>
      <c r="D36" s="229">
        <v>1</v>
      </c>
      <c r="E36" s="230"/>
      <c r="F36" s="231">
        <v>8</v>
      </c>
      <c r="G36" s="232">
        <v>1</v>
      </c>
      <c r="H36" s="233" t="s">
        <v>2309</v>
      </c>
      <c r="I36" s="233" t="s">
        <v>2309</v>
      </c>
      <c r="J36" s="233" t="s">
        <v>2310</v>
      </c>
      <c r="K36" s="234"/>
      <c r="L36" s="235" t="s">
        <v>2294</v>
      </c>
      <c r="M36" s="235" t="s">
        <v>2311</v>
      </c>
      <c r="N36" s="236">
        <v>10</v>
      </c>
      <c r="O36" s="237" t="s">
        <v>2296</v>
      </c>
      <c r="P36" s="237" t="s">
        <v>809</v>
      </c>
      <c r="Q36" s="238">
        <v>12043</v>
      </c>
      <c r="R36" s="239">
        <v>0</v>
      </c>
      <c r="S36" s="240">
        <v>0</v>
      </c>
      <c r="T36" s="240">
        <v>0</v>
      </c>
      <c r="U36" s="240">
        <v>0</v>
      </c>
      <c r="V36" s="240">
        <v>0</v>
      </c>
      <c r="W36" s="240">
        <v>0</v>
      </c>
      <c r="X36" s="240">
        <v>0</v>
      </c>
      <c r="Y36" s="240">
        <v>334633</v>
      </c>
      <c r="Z36" s="240">
        <v>0</v>
      </c>
      <c r="AA36" s="240">
        <v>0</v>
      </c>
      <c r="AB36" s="240">
        <v>0</v>
      </c>
      <c r="AC36" s="241">
        <v>0</v>
      </c>
      <c r="AD36" s="242"/>
      <c r="AE36" s="243">
        <f t="shared" si="3"/>
        <v>334633</v>
      </c>
      <c r="AG36" s="236">
        <v>114278</v>
      </c>
      <c r="AH36" s="244" t="s">
        <v>1756</v>
      </c>
      <c r="AI36" s="468" t="s">
        <v>2312</v>
      </c>
      <c r="AJ36" s="236">
        <v>1029</v>
      </c>
      <c r="AK36" s="232">
        <v>2000</v>
      </c>
      <c r="AL36" s="246" t="s">
        <v>2190</v>
      </c>
      <c r="AM36" s="310" t="str">
        <f>HYPERLINK("\\westfile01\DistShares\Western Region\ControllerDir\KevinJ\South LeMay\Budget History\Budget 2022\Capex\Pac - Shred Budget Quotes\2183 Assets to Replace.xlsx","\\westfile01\DistShares\Western Region\ControllerDir\KevinJ\South LeMay\Budget History\Budget 2022\Capex\Pac - Shred Budget Quotes\2183 Assets to Replace.xlsx")</f>
        <v>\\westfile01\DistShares\Western Region\ControllerDir\KevinJ\South LeMay\Budget History\Budget 2022\Capex\Pac - Shred Budget Quotes\2183 Assets to Replace.xlsx</v>
      </c>
      <c r="AN36" s="248" t="s">
        <v>45</v>
      </c>
      <c r="AO36" s="249"/>
      <c r="AP36" s="246"/>
      <c r="AQ36" s="250">
        <f t="shared" si="4"/>
        <v>12043</v>
      </c>
      <c r="AR36" s="250" t="str">
        <f>IFERROR(VLOOKUP($AQ36,[19]TruckCenterReference!$C$22:$I62,3,FALSE), "")</f>
        <v>New Peterbilt/Other Rearload 3 Axle (25 yd Only)</v>
      </c>
      <c r="AS36" s="251" t="str">
        <f t="shared" si="5"/>
        <v>Review</v>
      </c>
      <c r="AT36" s="252"/>
      <c r="AU36" s="253" t="str">
        <f>IFERROR(VLOOKUP($AQ36,[19]TruckCenterReference!$C$22:$I62,4,FALSE), "")</f>
        <v>N</v>
      </c>
      <c r="AV36" s="251" t="str">
        <f t="shared" si="6"/>
        <v>ok</v>
      </c>
      <c r="AX36" s="250" t="str">
        <f t="shared" si="7"/>
        <v>Rear Loader</v>
      </c>
      <c r="AY36" s="254" t="str">
        <f>IFERROR(VLOOKUP($AQ36,[19]TruckCenterReference!$C$22:$I62,6,FALSE), "")</f>
        <v>Rear Loader</v>
      </c>
      <c r="AZ36" s="251" t="str">
        <f t="shared" si="8"/>
        <v>ok</v>
      </c>
      <c r="BA36" s="252"/>
      <c r="BB36" s="253">
        <f>IFERROR(VLOOKUP($AQ36,[19]TruckCenterReference!$C$22:$I62,7,FALSE), 0)</f>
        <v>334633</v>
      </c>
      <c r="BC36" s="255">
        <f t="shared" si="9"/>
        <v>0</v>
      </c>
      <c r="BD36" s="251" t="str">
        <f t="shared" si="10"/>
        <v>ok</v>
      </c>
    </row>
    <row r="37" spans="1:56" ht="127.5">
      <c r="A37" s="145" t="b">
        <f t="shared" si="1"/>
        <v>0</v>
      </c>
      <c r="B37" s="145" t="str">
        <f t="shared" si="2"/>
        <v>0009-1</v>
      </c>
      <c r="C37" s="228" t="s">
        <v>2313</v>
      </c>
      <c r="D37" s="229">
        <v>1</v>
      </c>
      <c r="E37" s="230"/>
      <c r="F37" s="231">
        <v>9</v>
      </c>
      <c r="G37" s="232">
        <v>1</v>
      </c>
      <c r="H37" s="233" t="s">
        <v>2309</v>
      </c>
      <c r="I37" s="233" t="s">
        <v>2309</v>
      </c>
      <c r="J37" s="233" t="s">
        <v>2314</v>
      </c>
      <c r="K37" s="234"/>
      <c r="L37" s="235" t="s">
        <v>2294</v>
      </c>
      <c r="M37" s="235" t="s">
        <v>2311</v>
      </c>
      <c r="N37" s="236">
        <v>10</v>
      </c>
      <c r="O37" s="237" t="s">
        <v>2296</v>
      </c>
      <c r="P37" s="237" t="s">
        <v>809</v>
      </c>
      <c r="Q37" s="238">
        <v>12048</v>
      </c>
      <c r="R37" s="239">
        <v>0</v>
      </c>
      <c r="S37" s="240">
        <v>0</v>
      </c>
      <c r="T37" s="240">
        <v>0</v>
      </c>
      <c r="U37" s="240">
        <v>0</v>
      </c>
      <c r="V37" s="240">
        <v>0</v>
      </c>
      <c r="W37" s="240">
        <v>0</v>
      </c>
      <c r="X37" s="240">
        <v>0</v>
      </c>
      <c r="Y37" s="240">
        <v>0</v>
      </c>
      <c r="Z37" s="240">
        <v>0</v>
      </c>
      <c r="AA37" s="240">
        <v>0</v>
      </c>
      <c r="AB37" s="240">
        <v>334633</v>
      </c>
      <c r="AC37" s="241">
        <v>0</v>
      </c>
      <c r="AD37" s="242"/>
      <c r="AE37" s="243">
        <f t="shared" si="3"/>
        <v>334633</v>
      </c>
      <c r="AG37" s="236">
        <v>114280</v>
      </c>
      <c r="AH37" s="244" t="s">
        <v>1752</v>
      </c>
      <c r="AI37" s="468" t="s">
        <v>2315</v>
      </c>
      <c r="AJ37" s="236">
        <v>1035</v>
      </c>
      <c r="AK37" s="232">
        <v>2002</v>
      </c>
      <c r="AL37" s="246" t="s">
        <v>2190</v>
      </c>
      <c r="AM37" s="310" t="str">
        <f>HYPERLINK("\\westfile01\DistShares\Western Region\ControllerDir\KevinJ\South LeMay\Budget History\Budget 2022\Capex\Pac - Shred Budget Quotes\2183 Assets to Replace.xlsx","\\westfile01\DistShares\Western Region\ControllerDir\KevinJ\South LeMay\Budget History\Budget 2022\Capex\Pac - Shred Budget Quotes\2183 Assets to Replace.xlsx")</f>
        <v>\\westfile01\DistShares\Western Region\ControllerDir\KevinJ\South LeMay\Budget History\Budget 2022\Capex\Pac - Shred Budget Quotes\2183 Assets to Replace.xlsx</v>
      </c>
      <c r="AN37" s="248" t="s">
        <v>45</v>
      </c>
      <c r="AO37" s="249"/>
      <c r="AP37" s="246"/>
      <c r="AQ37" s="250">
        <f t="shared" si="4"/>
        <v>12048</v>
      </c>
      <c r="AR37" s="250" t="str">
        <f>IFERROR(VLOOKUP($AQ37,[19]TruckCenterReference!$C$22:$I63,3,FALSE), "")</f>
        <v>New Peterbilt/Other Rearload 3 Axle (25 yd Only)</v>
      </c>
      <c r="AS37" s="251" t="str">
        <f t="shared" si="5"/>
        <v>Review</v>
      </c>
      <c r="AT37" s="252"/>
      <c r="AU37" s="253" t="str">
        <f>IFERROR(VLOOKUP($AQ37,[19]TruckCenterReference!$C$22:$I63,4,FALSE), "")</f>
        <v>N</v>
      </c>
      <c r="AV37" s="251" t="str">
        <f t="shared" si="6"/>
        <v>ok</v>
      </c>
      <c r="AX37" s="250" t="str">
        <f t="shared" si="7"/>
        <v>Rear Loader</v>
      </c>
      <c r="AY37" s="254" t="str">
        <f>IFERROR(VLOOKUP($AQ37,[19]TruckCenterReference!$C$22:$I63,6,FALSE), "")</f>
        <v>Rear Loader</v>
      </c>
      <c r="AZ37" s="251" t="str">
        <f t="shared" si="8"/>
        <v>ok</v>
      </c>
      <c r="BA37" s="252"/>
      <c r="BB37" s="253">
        <f>IFERROR(VLOOKUP($AQ37,[19]TruckCenterReference!$C$22:$I63,7,FALSE), 0)</f>
        <v>334633</v>
      </c>
      <c r="BC37" s="255">
        <f t="shared" si="9"/>
        <v>0</v>
      </c>
      <c r="BD37" s="251" t="str">
        <f t="shared" si="10"/>
        <v>ok</v>
      </c>
    </row>
    <row r="38" spans="1:56" ht="63.75">
      <c r="A38" s="145" t="b">
        <f t="shared" si="1"/>
        <v>0</v>
      </c>
      <c r="B38" s="145" t="str">
        <f t="shared" si="2"/>
        <v>0010-1</v>
      </c>
      <c r="C38" s="228" t="s">
        <v>2316</v>
      </c>
      <c r="D38" s="229">
        <v>1</v>
      </c>
      <c r="E38" s="230"/>
      <c r="F38" s="231">
        <v>10</v>
      </c>
      <c r="G38" s="232">
        <v>1</v>
      </c>
      <c r="H38" s="233" t="s">
        <v>2317</v>
      </c>
      <c r="I38" s="233" t="s">
        <v>2317</v>
      </c>
      <c r="J38" s="233" t="s">
        <v>2318</v>
      </c>
      <c r="K38" s="234"/>
      <c r="L38" s="235" t="s">
        <v>2319</v>
      </c>
      <c r="M38" s="235" t="s">
        <v>2320</v>
      </c>
      <c r="N38" s="236">
        <v>7</v>
      </c>
      <c r="O38" s="237" t="s">
        <v>2296</v>
      </c>
      <c r="P38" s="237" t="s">
        <v>809</v>
      </c>
      <c r="Q38" s="238"/>
      <c r="R38" s="239">
        <v>0</v>
      </c>
      <c r="S38" s="240">
        <v>185000</v>
      </c>
      <c r="T38" s="240">
        <v>0</v>
      </c>
      <c r="U38" s="240">
        <v>0</v>
      </c>
      <c r="V38" s="240">
        <v>185000</v>
      </c>
      <c r="W38" s="240">
        <v>0</v>
      </c>
      <c r="X38" s="240">
        <v>0</v>
      </c>
      <c r="Y38" s="240">
        <v>185000</v>
      </c>
      <c r="Z38" s="240">
        <v>0</v>
      </c>
      <c r="AA38" s="240">
        <v>0</v>
      </c>
      <c r="AB38" s="240">
        <v>185000</v>
      </c>
      <c r="AC38" s="241">
        <v>0</v>
      </c>
      <c r="AD38" s="242"/>
      <c r="AE38" s="243">
        <f t="shared" si="3"/>
        <v>740000</v>
      </c>
      <c r="AG38" s="236"/>
      <c r="AH38" s="244"/>
      <c r="AI38" s="245" t="s">
        <v>2318</v>
      </c>
      <c r="AJ38" s="236"/>
      <c r="AK38" s="232"/>
      <c r="AL38" s="246" t="s">
        <v>2321</v>
      </c>
      <c r="AM38" s="247"/>
      <c r="AN38" s="248" t="s">
        <v>45</v>
      </c>
      <c r="AO38" s="249"/>
      <c r="AP38" s="246"/>
      <c r="AQ38" s="250" t="str">
        <f t="shared" si="4"/>
        <v/>
      </c>
      <c r="AR38" s="250" t="str">
        <f>IFERROR(VLOOKUP($AQ38,[19]TruckCenterReference!$C$22:$I64,3,FALSE), "")</f>
        <v/>
      </c>
      <c r="AS38" s="251" t="str">
        <f t="shared" si="5"/>
        <v/>
      </c>
      <c r="AT38" s="252"/>
      <c r="AU38" s="253" t="str">
        <f>IFERROR(VLOOKUP($AQ38,[19]TruckCenterReference!$C$22:$I64,4,FALSE), "")</f>
        <v/>
      </c>
      <c r="AV38" s="251" t="str">
        <f t="shared" si="6"/>
        <v/>
      </c>
      <c r="AX38" s="250" t="str">
        <f t="shared" si="7"/>
        <v/>
      </c>
      <c r="AY38" s="254" t="str">
        <f>IFERROR(VLOOKUP($AQ38,[19]TruckCenterReference!$C$22:$I64,6,FALSE), "")</f>
        <v/>
      </c>
      <c r="AZ38" s="251" t="str">
        <f t="shared" si="8"/>
        <v/>
      </c>
      <c r="BA38" s="252"/>
      <c r="BB38" s="253">
        <f>IFERROR(VLOOKUP($AQ38,[19]TruckCenterReference!$C$22:$I64,7,FALSE), 0)</f>
        <v>0</v>
      </c>
      <c r="BC38" s="255" t="str">
        <f t="shared" si="9"/>
        <v/>
      </c>
      <c r="BD38" s="251" t="str">
        <f t="shared" si="10"/>
        <v/>
      </c>
    </row>
    <row r="39" spans="1:56" ht="51">
      <c r="A39" s="145" t="b">
        <f t="shared" si="1"/>
        <v>0</v>
      </c>
      <c r="B39" s="145" t="str">
        <f t="shared" si="2"/>
        <v>0011-1</v>
      </c>
      <c r="C39" s="228" t="s">
        <v>2322</v>
      </c>
      <c r="D39" s="229">
        <v>1</v>
      </c>
      <c r="E39" s="230"/>
      <c r="F39" s="231">
        <v>11</v>
      </c>
      <c r="G39" s="232">
        <v>1</v>
      </c>
      <c r="H39" s="233" t="s">
        <v>2323</v>
      </c>
      <c r="I39" s="233" t="s">
        <v>2323</v>
      </c>
      <c r="J39" s="233" t="s">
        <v>2324</v>
      </c>
      <c r="K39" s="234"/>
      <c r="L39" s="235" t="s">
        <v>2325</v>
      </c>
      <c r="M39" s="235" t="s">
        <v>2325</v>
      </c>
      <c r="N39" s="236">
        <v>10</v>
      </c>
      <c r="O39" s="237" t="s">
        <v>1059</v>
      </c>
      <c r="P39" s="237" t="s">
        <v>809</v>
      </c>
      <c r="Q39" s="238"/>
      <c r="R39" s="239">
        <v>0</v>
      </c>
      <c r="S39" s="240">
        <v>0</v>
      </c>
      <c r="T39" s="240">
        <v>0</v>
      </c>
      <c r="U39" s="240">
        <v>0</v>
      </c>
      <c r="V39" s="240">
        <v>0</v>
      </c>
      <c r="W39" s="240">
        <v>0</v>
      </c>
      <c r="X39" s="240">
        <v>0</v>
      </c>
      <c r="Y39" s="240">
        <v>25000</v>
      </c>
      <c r="Z39" s="240">
        <v>0</v>
      </c>
      <c r="AA39" s="240">
        <v>0</v>
      </c>
      <c r="AB39" s="240">
        <v>0</v>
      </c>
      <c r="AC39" s="241">
        <v>0</v>
      </c>
      <c r="AD39" s="242"/>
      <c r="AE39" s="243">
        <f t="shared" si="3"/>
        <v>25000</v>
      </c>
      <c r="AG39" s="467" t="s">
        <v>2368</v>
      </c>
      <c r="AH39" s="244"/>
      <c r="AI39" s="245" t="s">
        <v>2324</v>
      </c>
      <c r="AJ39" s="236"/>
      <c r="AK39" s="232"/>
      <c r="AL39" s="246"/>
      <c r="AM39" s="247"/>
      <c r="AN39" s="248" t="s">
        <v>45</v>
      </c>
      <c r="AO39" s="249"/>
      <c r="AP39" s="246"/>
      <c r="AQ39" s="250" t="str">
        <f t="shared" si="4"/>
        <v/>
      </c>
      <c r="AR39" s="250" t="str">
        <f>IFERROR(VLOOKUP($AQ39,[19]TruckCenterReference!$C$22:$I65,3,FALSE), "")</f>
        <v/>
      </c>
      <c r="AS39" s="251" t="str">
        <f t="shared" si="5"/>
        <v/>
      </c>
      <c r="AT39" s="252"/>
      <c r="AU39" s="253" t="str">
        <f>IFERROR(VLOOKUP($AQ39,[19]TruckCenterReference!$C$22:$I65,4,FALSE), "")</f>
        <v/>
      </c>
      <c r="AV39" s="251" t="str">
        <f t="shared" si="6"/>
        <v/>
      </c>
      <c r="AX39" s="250" t="str">
        <f t="shared" si="7"/>
        <v/>
      </c>
      <c r="AY39" s="254" t="str">
        <f>IFERROR(VLOOKUP($AQ39,[19]TruckCenterReference!$C$22:$I65,6,FALSE), "")</f>
        <v/>
      </c>
      <c r="AZ39" s="251" t="str">
        <f t="shared" si="8"/>
        <v/>
      </c>
      <c r="BA39" s="252"/>
      <c r="BB39" s="253">
        <f>IFERROR(VLOOKUP($AQ39,[19]TruckCenterReference!$C$22:$I65,7,FALSE), 0)</f>
        <v>0</v>
      </c>
      <c r="BC39" s="255" t="str">
        <f t="shared" si="9"/>
        <v/>
      </c>
      <c r="BD39" s="251" t="str">
        <f t="shared" si="10"/>
        <v/>
      </c>
    </row>
    <row r="40" spans="1:56">
      <c r="A40" s="145" t="b">
        <f t="shared" si="1"/>
        <v>0</v>
      </c>
      <c r="B40" s="145" t="str">
        <f t="shared" si="2"/>
        <v/>
      </c>
      <c r="C40" s="228" t="s">
        <v>316</v>
      </c>
      <c r="D40" s="229">
        <v>1</v>
      </c>
      <c r="E40" s="230"/>
      <c r="F40" s="231"/>
      <c r="G40" s="232"/>
      <c r="H40" s="233" t="s">
        <v>316</v>
      </c>
      <c r="I40" s="233" t="s">
        <v>316</v>
      </c>
      <c r="J40" s="233" t="s">
        <v>316</v>
      </c>
      <c r="K40" s="234"/>
      <c r="L40" s="235" t="s">
        <v>316</v>
      </c>
      <c r="M40" s="235" t="s">
        <v>316</v>
      </c>
      <c r="N40" s="236"/>
      <c r="O40" s="237" t="s">
        <v>316</v>
      </c>
      <c r="P40" s="237" t="s">
        <v>316</v>
      </c>
      <c r="Q40" s="238"/>
      <c r="R40" s="239">
        <v>0</v>
      </c>
      <c r="S40" s="240">
        <v>0</v>
      </c>
      <c r="T40" s="240">
        <v>0</v>
      </c>
      <c r="U40" s="240">
        <v>0</v>
      </c>
      <c r="V40" s="240">
        <v>0</v>
      </c>
      <c r="W40" s="240">
        <v>0</v>
      </c>
      <c r="X40" s="240">
        <v>0</v>
      </c>
      <c r="Y40" s="240">
        <v>0</v>
      </c>
      <c r="Z40" s="240">
        <v>0</v>
      </c>
      <c r="AA40" s="240">
        <v>0</v>
      </c>
      <c r="AB40" s="240">
        <v>0</v>
      </c>
      <c r="AC40" s="241">
        <v>0</v>
      </c>
      <c r="AD40" s="242"/>
      <c r="AE40" s="243">
        <f t="shared" si="3"/>
        <v>0</v>
      </c>
      <c r="AG40" s="236"/>
      <c r="AH40" s="244"/>
      <c r="AI40" s="245" t="s">
        <v>316</v>
      </c>
      <c r="AJ40" s="236"/>
      <c r="AK40" s="232"/>
      <c r="AL40" s="246"/>
      <c r="AM40" s="247"/>
      <c r="AN40" s="248" t="s">
        <v>45</v>
      </c>
      <c r="AO40" s="249"/>
      <c r="AP40" s="246"/>
      <c r="AQ40" s="250" t="str">
        <f t="shared" si="4"/>
        <v/>
      </c>
      <c r="AR40" s="250" t="str">
        <f>IFERROR(VLOOKUP($AQ40,[19]TruckCenterReference!$C$22:$I66,3,FALSE), "")</f>
        <v/>
      </c>
      <c r="AS40" s="251" t="str">
        <f t="shared" si="5"/>
        <v/>
      </c>
      <c r="AT40" s="252"/>
      <c r="AU40" s="253" t="str">
        <f>IFERROR(VLOOKUP($AQ40,[19]TruckCenterReference!$C$22:$I66,4,FALSE), "")</f>
        <v/>
      </c>
      <c r="AV40" s="251" t="str">
        <f t="shared" si="6"/>
        <v/>
      </c>
      <c r="AX40" s="250" t="str">
        <f t="shared" si="7"/>
        <v/>
      </c>
      <c r="AY40" s="254" t="str">
        <f>IFERROR(VLOOKUP($AQ40,[19]TruckCenterReference!$C$22:$I66,6,FALSE), "")</f>
        <v/>
      </c>
      <c r="AZ40" s="251" t="str">
        <f t="shared" si="8"/>
        <v/>
      </c>
      <c r="BA40" s="252"/>
      <c r="BB40" s="253">
        <f>IFERROR(VLOOKUP($AQ40,[19]TruckCenterReference!$C$22:$I66,7,FALSE), 0)</f>
        <v>0</v>
      </c>
      <c r="BC40" s="255" t="str">
        <f t="shared" si="9"/>
        <v/>
      </c>
      <c r="BD40" s="251" t="str">
        <f t="shared" si="10"/>
        <v/>
      </c>
    </row>
    <row r="41" spans="1:56">
      <c r="A41" s="145" t="b">
        <f t="shared" si="1"/>
        <v>0</v>
      </c>
      <c r="B41" s="145" t="str">
        <f t="shared" si="2"/>
        <v/>
      </c>
      <c r="C41" s="228" t="s">
        <v>316</v>
      </c>
      <c r="D41" s="229">
        <v>1</v>
      </c>
      <c r="E41" s="230"/>
      <c r="F41" s="231"/>
      <c r="G41" s="232"/>
      <c r="H41" s="233" t="s">
        <v>316</v>
      </c>
      <c r="I41" s="233" t="s">
        <v>316</v>
      </c>
      <c r="J41" s="233" t="s">
        <v>316</v>
      </c>
      <c r="K41" s="234"/>
      <c r="L41" s="235" t="s">
        <v>316</v>
      </c>
      <c r="M41" s="235" t="s">
        <v>316</v>
      </c>
      <c r="N41" s="236"/>
      <c r="O41" s="237" t="s">
        <v>316</v>
      </c>
      <c r="P41" s="237" t="s">
        <v>316</v>
      </c>
      <c r="Q41" s="238"/>
      <c r="R41" s="239">
        <v>0</v>
      </c>
      <c r="S41" s="240">
        <v>0</v>
      </c>
      <c r="T41" s="240">
        <v>0</v>
      </c>
      <c r="U41" s="240">
        <v>0</v>
      </c>
      <c r="V41" s="240">
        <v>0</v>
      </c>
      <c r="W41" s="240">
        <v>0</v>
      </c>
      <c r="X41" s="240">
        <v>0</v>
      </c>
      <c r="Y41" s="240">
        <v>0</v>
      </c>
      <c r="Z41" s="240">
        <v>0</v>
      </c>
      <c r="AA41" s="240">
        <v>0</v>
      </c>
      <c r="AB41" s="240">
        <v>0</v>
      </c>
      <c r="AC41" s="241">
        <v>0</v>
      </c>
      <c r="AD41" s="242"/>
      <c r="AE41" s="243">
        <f t="shared" si="3"/>
        <v>0</v>
      </c>
      <c r="AG41" s="236"/>
      <c r="AH41" s="244"/>
      <c r="AI41" s="245" t="s">
        <v>316</v>
      </c>
      <c r="AJ41" s="236"/>
      <c r="AK41" s="232"/>
      <c r="AL41" s="246"/>
      <c r="AM41" s="247"/>
      <c r="AN41" s="248" t="s">
        <v>45</v>
      </c>
      <c r="AO41" s="249"/>
      <c r="AP41" s="246"/>
      <c r="AQ41" s="250" t="str">
        <f t="shared" si="4"/>
        <v/>
      </c>
      <c r="AR41" s="250" t="str">
        <f>IFERROR(VLOOKUP($AQ41,[19]TruckCenterReference!$C$22:$I67,3,FALSE), "")</f>
        <v/>
      </c>
      <c r="AS41" s="251" t="str">
        <f t="shared" si="5"/>
        <v/>
      </c>
      <c r="AT41" s="252"/>
      <c r="AU41" s="253" t="str">
        <f>IFERROR(VLOOKUP($AQ41,[19]TruckCenterReference!$C$22:$I67,4,FALSE), "")</f>
        <v/>
      </c>
      <c r="AV41" s="251" t="str">
        <f t="shared" si="6"/>
        <v/>
      </c>
      <c r="AX41" s="250" t="str">
        <f t="shared" si="7"/>
        <v/>
      </c>
      <c r="AY41" s="254" t="str">
        <f>IFERROR(VLOOKUP($AQ41,[19]TruckCenterReference!$C$22:$I67,6,FALSE), "")</f>
        <v/>
      </c>
      <c r="AZ41" s="251" t="str">
        <f t="shared" si="8"/>
        <v/>
      </c>
      <c r="BA41" s="252"/>
      <c r="BB41" s="253">
        <f>IFERROR(VLOOKUP($AQ41,[19]TruckCenterReference!$C$22:$I67,7,FALSE), 0)</f>
        <v>0</v>
      </c>
      <c r="BC41" s="255" t="str">
        <f t="shared" si="9"/>
        <v/>
      </c>
      <c r="BD41" s="251" t="str">
        <f t="shared" si="10"/>
        <v/>
      </c>
    </row>
    <row r="42" spans="1:56">
      <c r="A42" s="145" t="b">
        <f t="shared" si="1"/>
        <v>0</v>
      </c>
      <c r="B42" s="145" t="str">
        <f t="shared" si="2"/>
        <v/>
      </c>
      <c r="C42" s="228" t="s">
        <v>316</v>
      </c>
      <c r="D42" s="229">
        <v>1</v>
      </c>
      <c r="E42" s="230"/>
      <c r="F42" s="231"/>
      <c r="G42" s="232"/>
      <c r="H42" s="233" t="s">
        <v>316</v>
      </c>
      <c r="I42" s="233" t="s">
        <v>316</v>
      </c>
      <c r="J42" s="233" t="s">
        <v>316</v>
      </c>
      <c r="K42" s="234"/>
      <c r="L42" s="235" t="s">
        <v>316</v>
      </c>
      <c r="M42" s="235" t="s">
        <v>316</v>
      </c>
      <c r="N42" s="236"/>
      <c r="O42" s="237" t="s">
        <v>316</v>
      </c>
      <c r="P42" s="237" t="s">
        <v>316</v>
      </c>
      <c r="Q42" s="238"/>
      <c r="R42" s="239">
        <v>0</v>
      </c>
      <c r="S42" s="240">
        <v>0</v>
      </c>
      <c r="T42" s="240">
        <v>0</v>
      </c>
      <c r="U42" s="240">
        <v>0</v>
      </c>
      <c r="V42" s="240">
        <v>0</v>
      </c>
      <c r="W42" s="240">
        <v>0</v>
      </c>
      <c r="X42" s="240">
        <v>0</v>
      </c>
      <c r="Y42" s="240">
        <v>0</v>
      </c>
      <c r="Z42" s="240">
        <v>0</v>
      </c>
      <c r="AA42" s="240">
        <v>0</v>
      </c>
      <c r="AB42" s="240">
        <v>0</v>
      </c>
      <c r="AC42" s="241">
        <v>0</v>
      </c>
      <c r="AD42" s="242"/>
      <c r="AE42" s="243">
        <f t="shared" si="3"/>
        <v>0</v>
      </c>
      <c r="AG42" s="236"/>
      <c r="AH42" s="244"/>
      <c r="AI42" s="245" t="s">
        <v>316</v>
      </c>
      <c r="AJ42" s="236"/>
      <c r="AK42" s="232"/>
      <c r="AL42" s="246"/>
      <c r="AM42" s="247"/>
      <c r="AN42" s="248" t="s">
        <v>45</v>
      </c>
      <c r="AO42" s="249"/>
      <c r="AP42" s="246"/>
      <c r="AQ42" s="250" t="str">
        <f t="shared" si="4"/>
        <v/>
      </c>
      <c r="AR42" s="250" t="str">
        <f>IFERROR(VLOOKUP($AQ42,[19]TruckCenterReference!$C$22:$I68,3,FALSE), "")</f>
        <v/>
      </c>
      <c r="AS42" s="251" t="str">
        <f t="shared" si="5"/>
        <v/>
      </c>
      <c r="AT42" s="252"/>
      <c r="AU42" s="253" t="str">
        <f>IFERROR(VLOOKUP($AQ42,[19]TruckCenterReference!$C$22:$I68,4,FALSE), "")</f>
        <v/>
      </c>
      <c r="AV42" s="251" t="str">
        <f t="shared" si="6"/>
        <v/>
      </c>
      <c r="AX42" s="250" t="str">
        <f t="shared" si="7"/>
        <v/>
      </c>
      <c r="AY42" s="254" t="str">
        <f>IFERROR(VLOOKUP($AQ42,[19]TruckCenterReference!$C$22:$I68,6,FALSE), "")</f>
        <v/>
      </c>
      <c r="AZ42" s="251" t="str">
        <f t="shared" si="8"/>
        <v/>
      </c>
      <c r="BA42" s="252"/>
      <c r="BB42" s="253">
        <f>IFERROR(VLOOKUP($AQ42,[19]TruckCenterReference!$C$22:$I68,7,FALSE), 0)</f>
        <v>0</v>
      </c>
      <c r="BC42" s="255" t="str">
        <f t="shared" si="9"/>
        <v/>
      </c>
      <c r="BD42" s="251" t="str">
        <f t="shared" si="10"/>
        <v/>
      </c>
    </row>
    <row r="43" spans="1:56">
      <c r="A43" s="145" t="b">
        <f t="shared" si="1"/>
        <v>0</v>
      </c>
      <c r="B43" s="145" t="str">
        <f t="shared" si="2"/>
        <v/>
      </c>
      <c r="C43" s="228" t="s">
        <v>316</v>
      </c>
      <c r="D43" s="229">
        <v>1</v>
      </c>
      <c r="E43" s="230"/>
      <c r="F43" s="231"/>
      <c r="G43" s="232"/>
      <c r="H43" s="233" t="s">
        <v>316</v>
      </c>
      <c r="I43" s="233" t="s">
        <v>316</v>
      </c>
      <c r="J43" s="233" t="s">
        <v>316</v>
      </c>
      <c r="K43" s="234"/>
      <c r="L43" s="235" t="s">
        <v>316</v>
      </c>
      <c r="M43" s="235" t="s">
        <v>316</v>
      </c>
      <c r="N43" s="236"/>
      <c r="O43" s="237" t="s">
        <v>316</v>
      </c>
      <c r="P43" s="237" t="s">
        <v>316</v>
      </c>
      <c r="Q43" s="238"/>
      <c r="R43" s="239">
        <v>0</v>
      </c>
      <c r="S43" s="240">
        <v>0</v>
      </c>
      <c r="T43" s="240">
        <v>0</v>
      </c>
      <c r="U43" s="240">
        <v>0</v>
      </c>
      <c r="V43" s="240">
        <v>0</v>
      </c>
      <c r="W43" s="240">
        <v>0</v>
      </c>
      <c r="X43" s="240">
        <v>0</v>
      </c>
      <c r="Y43" s="240">
        <v>0</v>
      </c>
      <c r="Z43" s="240">
        <v>0</v>
      </c>
      <c r="AA43" s="240">
        <v>0</v>
      </c>
      <c r="AB43" s="240">
        <v>0</v>
      </c>
      <c r="AC43" s="241">
        <v>0</v>
      </c>
      <c r="AD43" s="242"/>
      <c r="AE43" s="243">
        <f t="shared" si="3"/>
        <v>0</v>
      </c>
      <c r="AG43" s="236"/>
      <c r="AH43" s="244"/>
      <c r="AI43" s="245" t="s">
        <v>316</v>
      </c>
      <c r="AJ43" s="236"/>
      <c r="AK43" s="232"/>
      <c r="AL43" s="246"/>
      <c r="AM43" s="247"/>
      <c r="AN43" s="248" t="s">
        <v>45</v>
      </c>
      <c r="AO43" s="249"/>
      <c r="AP43" s="246"/>
      <c r="AQ43" s="250" t="str">
        <f t="shared" si="4"/>
        <v/>
      </c>
      <c r="AR43" s="250" t="str">
        <f>IFERROR(VLOOKUP($AQ43,[19]TruckCenterReference!$C$22:$I69,3,FALSE), "")</f>
        <v/>
      </c>
      <c r="AS43" s="251" t="str">
        <f t="shared" si="5"/>
        <v/>
      </c>
      <c r="AT43" s="252"/>
      <c r="AU43" s="253" t="str">
        <f>IFERROR(VLOOKUP($AQ43,[19]TruckCenterReference!$C$22:$I69,4,FALSE), "")</f>
        <v/>
      </c>
      <c r="AV43" s="251" t="str">
        <f t="shared" si="6"/>
        <v/>
      </c>
      <c r="AX43" s="250" t="str">
        <f t="shared" si="7"/>
        <v/>
      </c>
      <c r="AY43" s="254" t="str">
        <f>IFERROR(VLOOKUP($AQ43,[19]TruckCenterReference!$C$22:$I69,6,FALSE), "")</f>
        <v/>
      </c>
      <c r="AZ43" s="251" t="str">
        <f t="shared" si="8"/>
        <v/>
      </c>
      <c r="BA43" s="252"/>
      <c r="BB43" s="253">
        <f>IFERROR(VLOOKUP($AQ43,[19]TruckCenterReference!$C$22:$I69,7,FALSE), 0)</f>
        <v>0</v>
      </c>
      <c r="BC43" s="255" t="str">
        <f t="shared" si="9"/>
        <v/>
      </c>
      <c r="BD43" s="251" t="str">
        <f t="shared" si="10"/>
        <v/>
      </c>
    </row>
    <row r="44" spans="1:56">
      <c r="A44" s="145" t="b">
        <f t="shared" si="1"/>
        <v>0</v>
      </c>
      <c r="B44" s="145" t="str">
        <f t="shared" si="2"/>
        <v/>
      </c>
      <c r="C44" s="228" t="s">
        <v>316</v>
      </c>
      <c r="D44" s="229">
        <v>1</v>
      </c>
      <c r="E44" s="230"/>
      <c r="F44" s="231"/>
      <c r="G44" s="232"/>
      <c r="H44" s="233" t="s">
        <v>316</v>
      </c>
      <c r="I44" s="233" t="s">
        <v>316</v>
      </c>
      <c r="J44" s="233" t="s">
        <v>316</v>
      </c>
      <c r="K44" s="234"/>
      <c r="L44" s="235" t="s">
        <v>316</v>
      </c>
      <c r="M44" s="235" t="s">
        <v>316</v>
      </c>
      <c r="N44" s="236"/>
      <c r="O44" s="237" t="s">
        <v>316</v>
      </c>
      <c r="P44" s="237" t="s">
        <v>316</v>
      </c>
      <c r="Q44" s="238"/>
      <c r="R44" s="239">
        <v>0</v>
      </c>
      <c r="S44" s="240">
        <v>0</v>
      </c>
      <c r="T44" s="240">
        <v>0</v>
      </c>
      <c r="U44" s="240">
        <v>0</v>
      </c>
      <c r="V44" s="240">
        <v>0</v>
      </c>
      <c r="W44" s="240">
        <v>0</v>
      </c>
      <c r="X44" s="240">
        <v>0</v>
      </c>
      <c r="Y44" s="240">
        <v>0</v>
      </c>
      <c r="Z44" s="240">
        <v>0</v>
      </c>
      <c r="AA44" s="240">
        <v>0</v>
      </c>
      <c r="AB44" s="240">
        <v>0</v>
      </c>
      <c r="AC44" s="241">
        <v>0</v>
      </c>
      <c r="AD44" s="242"/>
      <c r="AE44" s="243">
        <f t="shared" si="3"/>
        <v>0</v>
      </c>
      <c r="AG44" s="236"/>
      <c r="AH44" s="244"/>
      <c r="AI44" s="245" t="s">
        <v>316</v>
      </c>
      <c r="AJ44" s="236"/>
      <c r="AK44" s="232"/>
      <c r="AL44" s="246"/>
      <c r="AM44" s="247"/>
      <c r="AN44" s="248" t="s">
        <v>45</v>
      </c>
      <c r="AO44" s="249"/>
      <c r="AP44" s="246"/>
      <c r="AQ44" s="250" t="str">
        <f t="shared" si="4"/>
        <v/>
      </c>
      <c r="AR44" s="250" t="str">
        <f>IFERROR(VLOOKUP($AQ44,[19]TruckCenterReference!$C$22:$I70,3,FALSE), "")</f>
        <v/>
      </c>
      <c r="AS44" s="251" t="str">
        <f t="shared" si="5"/>
        <v/>
      </c>
      <c r="AT44" s="252"/>
      <c r="AU44" s="253" t="str">
        <f>IFERROR(VLOOKUP($AQ44,[19]TruckCenterReference!$C$22:$I70,4,FALSE), "")</f>
        <v/>
      </c>
      <c r="AV44" s="251" t="str">
        <f t="shared" si="6"/>
        <v/>
      </c>
      <c r="AX44" s="250" t="str">
        <f t="shared" si="7"/>
        <v/>
      </c>
      <c r="AY44" s="254" t="str">
        <f>IFERROR(VLOOKUP($AQ44,[19]TruckCenterReference!$C$22:$I70,6,FALSE), "")</f>
        <v/>
      </c>
      <c r="AZ44" s="251" t="str">
        <f t="shared" si="8"/>
        <v/>
      </c>
      <c r="BA44" s="252"/>
      <c r="BB44" s="253">
        <f>IFERROR(VLOOKUP($AQ44,[19]TruckCenterReference!$C$22:$I70,7,FALSE), 0)</f>
        <v>0</v>
      </c>
      <c r="BC44" s="255" t="str">
        <f t="shared" si="9"/>
        <v/>
      </c>
      <c r="BD44" s="251" t="str">
        <f t="shared" si="10"/>
        <v/>
      </c>
    </row>
    <row r="45" spans="1:56">
      <c r="A45" s="145" t="b">
        <f t="shared" si="1"/>
        <v>0</v>
      </c>
      <c r="B45" s="145" t="str">
        <f t="shared" si="2"/>
        <v/>
      </c>
      <c r="C45" s="228" t="s">
        <v>316</v>
      </c>
      <c r="D45" s="229">
        <v>1</v>
      </c>
      <c r="E45" s="230"/>
      <c r="F45" s="231"/>
      <c r="G45" s="232"/>
      <c r="H45" s="233" t="s">
        <v>316</v>
      </c>
      <c r="I45" s="233" t="s">
        <v>316</v>
      </c>
      <c r="J45" s="233" t="s">
        <v>316</v>
      </c>
      <c r="K45" s="234"/>
      <c r="L45" s="235" t="s">
        <v>316</v>
      </c>
      <c r="M45" s="235" t="s">
        <v>316</v>
      </c>
      <c r="N45" s="236"/>
      <c r="O45" s="237" t="s">
        <v>316</v>
      </c>
      <c r="P45" s="237" t="s">
        <v>316</v>
      </c>
      <c r="Q45" s="238"/>
      <c r="R45" s="239">
        <v>0</v>
      </c>
      <c r="S45" s="240">
        <v>0</v>
      </c>
      <c r="T45" s="240">
        <v>0</v>
      </c>
      <c r="U45" s="240">
        <v>0</v>
      </c>
      <c r="V45" s="240">
        <v>0</v>
      </c>
      <c r="W45" s="240">
        <v>0</v>
      </c>
      <c r="X45" s="240">
        <v>0</v>
      </c>
      <c r="Y45" s="240">
        <v>0</v>
      </c>
      <c r="Z45" s="240">
        <v>0</v>
      </c>
      <c r="AA45" s="240">
        <v>0</v>
      </c>
      <c r="AB45" s="240">
        <v>0</v>
      </c>
      <c r="AC45" s="241">
        <v>0</v>
      </c>
      <c r="AD45" s="242"/>
      <c r="AE45" s="243">
        <f t="shared" si="3"/>
        <v>0</v>
      </c>
      <c r="AG45" s="236"/>
      <c r="AH45" s="244"/>
      <c r="AI45" s="245" t="s">
        <v>316</v>
      </c>
      <c r="AJ45" s="236"/>
      <c r="AK45" s="232"/>
      <c r="AL45" s="246"/>
      <c r="AM45" s="247"/>
      <c r="AN45" s="248" t="s">
        <v>45</v>
      </c>
      <c r="AO45" s="249"/>
      <c r="AP45" s="246"/>
      <c r="AQ45" s="250" t="str">
        <f t="shared" si="4"/>
        <v/>
      </c>
      <c r="AR45" s="250" t="str">
        <f>IFERROR(VLOOKUP($AQ45,[19]TruckCenterReference!$C$22:$I71,3,FALSE), "")</f>
        <v/>
      </c>
      <c r="AS45" s="251" t="str">
        <f t="shared" si="5"/>
        <v/>
      </c>
      <c r="AT45" s="252"/>
      <c r="AU45" s="253" t="str">
        <f>IFERROR(VLOOKUP($AQ45,[19]TruckCenterReference!$C$22:$I71,4,FALSE), "")</f>
        <v/>
      </c>
      <c r="AV45" s="251" t="str">
        <f t="shared" si="6"/>
        <v/>
      </c>
      <c r="AX45" s="250" t="str">
        <f t="shared" si="7"/>
        <v/>
      </c>
      <c r="AY45" s="254" t="str">
        <f>IFERROR(VLOOKUP($AQ45,[19]TruckCenterReference!$C$22:$I71,6,FALSE), "")</f>
        <v/>
      </c>
      <c r="AZ45" s="251" t="str">
        <f t="shared" si="8"/>
        <v/>
      </c>
      <c r="BA45" s="252"/>
      <c r="BB45" s="253">
        <f>IFERROR(VLOOKUP($AQ45,[19]TruckCenterReference!$C$22:$I71,7,FALSE), 0)</f>
        <v>0</v>
      </c>
      <c r="BC45" s="255" t="str">
        <f t="shared" si="9"/>
        <v/>
      </c>
      <c r="BD45" s="251" t="str">
        <f t="shared" si="10"/>
        <v/>
      </c>
    </row>
    <row r="46" spans="1:56">
      <c r="A46" s="145" t="b">
        <f t="shared" si="1"/>
        <v>0</v>
      </c>
      <c r="B46" s="145" t="str">
        <f t="shared" si="2"/>
        <v/>
      </c>
      <c r="C46" s="228" t="s">
        <v>316</v>
      </c>
      <c r="D46" s="229">
        <v>1</v>
      </c>
      <c r="E46" s="230"/>
      <c r="F46" s="231"/>
      <c r="G46" s="232"/>
      <c r="H46" s="233" t="s">
        <v>316</v>
      </c>
      <c r="I46" s="233" t="s">
        <v>316</v>
      </c>
      <c r="J46" s="233" t="s">
        <v>316</v>
      </c>
      <c r="K46" s="234"/>
      <c r="L46" s="235" t="s">
        <v>316</v>
      </c>
      <c r="M46" s="235" t="s">
        <v>316</v>
      </c>
      <c r="N46" s="236"/>
      <c r="O46" s="237" t="s">
        <v>316</v>
      </c>
      <c r="P46" s="237" t="s">
        <v>316</v>
      </c>
      <c r="Q46" s="238"/>
      <c r="R46" s="239">
        <v>0</v>
      </c>
      <c r="S46" s="240">
        <v>0</v>
      </c>
      <c r="T46" s="240">
        <v>0</v>
      </c>
      <c r="U46" s="240">
        <v>0</v>
      </c>
      <c r="V46" s="240">
        <v>0</v>
      </c>
      <c r="W46" s="240">
        <v>0</v>
      </c>
      <c r="X46" s="240">
        <v>0</v>
      </c>
      <c r="Y46" s="240">
        <v>0</v>
      </c>
      <c r="Z46" s="240">
        <v>0</v>
      </c>
      <c r="AA46" s="240">
        <v>0</v>
      </c>
      <c r="AB46" s="240">
        <v>0</v>
      </c>
      <c r="AC46" s="241">
        <v>0</v>
      </c>
      <c r="AD46" s="242"/>
      <c r="AE46" s="243">
        <f t="shared" si="3"/>
        <v>0</v>
      </c>
      <c r="AG46" s="236"/>
      <c r="AH46" s="244"/>
      <c r="AI46" s="245" t="s">
        <v>316</v>
      </c>
      <c r="AJ46" s="236"/>
      <c r="AK46" s="232"/>
      <c r="AL46" s="246"/>
      <c r="AM46" s="247"/>
      <c r="AN46" s="248" t="s">
        <v>45</v>
      </c>
      <c r="AO46" s="249"/>
      <c r="AP46" s="246"/>
      <c r="AQ46" s="250" t="str">
        <f t="shared" si="4"/>
        <v/>
      </c>
      <c r="AR46" s="250" t="str">
        <f>IFERROR(VLOOKUP($AQ46,[19]TruckCenterReference!$C$22:$I72,3,FALSE), "")</f>
        <v/>
      </c>
      <c r="AS46" s="251" t="str">
        <f t="shared" si="5"/>
        <v/>
      </c>
      <c r="AT46" s="252"/>
      <c r="AU46" s="253" t="str">
        <f>IFERROR(VLOOKUP($AQ46,[19]TruckCenterReference!$C$22:$I72,4,FALSE), "")</f>
        <v/>
      </c>
      <c r="AV46" s="251" t="str">
        <f t="shared" si="6"/>
        <v/>
      </c>
      <c r="AX46" s="250" t="str">
        <f t="shared" si="7"/>
        <v/>
      </c>
      <c r="AY46" s="254" t="str">
        <f>IFERROR(VLOOKUP($AQ46,[19]TruckCenterReference!$C$22:$I72,6,FALSE), "")</f>
        <v/>
      </c>
      <c r="AZ46" s="251" t="str">
        <f t="shared" si="8"/>
        <v/>
      </c>
      <c r="BA46" s="252"/>
      <c r="BB46" s="253">
        <f>IFERROR(VLOOKUP($AQ46,[19]TruckCenterReference!$C$22:$I72,7,FALSE), 0)</f>
        <v>0</v>
      </c>
      <c r="BC46" s="255" t="str">
        <f t="shared" si="9"/>
        <v/>
      </c>
      <c r="BD46" s="251" t="str">
        <f t="shared" si="10"/>
        <v/>
      </c>
    </row>
    <row r="47" spans="1:56">
      <c r="A47" s="145" t="b">
        <f t="shared" si="1"/>
        <v>0</v>
      </c>
      <c r="B47" s="145" t="str">
        <f t="shared" si="2"/>
        <v/>
      </c>
      <c r="C47" s="228" t="s">
        <v>316</v>
      </c>
      <c r="D47" s="229">
        <v>1</v>
      </c>
      <c r="E47" s="230"/>
      <c r="F47" s="231"/>
      <c r="G47" s="232"/>
      <c r="H47" s="233" t="s">
        <v>316</v>
      </c>
      <c r="I47" s="233" t="s">
        <v>316</v>
      </c>
      <c r="J47" s="233" t="s">
        <v>316</v>
      </c>
      <c r="K47" s="234"/>
      <c r="L47" s="235" t="s">
        <v>316</v>
      </c>
      <c r="M47" s="235" t="s">
        <v>316</v>
      </c>
      <c r="N47" s="236"/>
      <c r="O47" s="237" t="s">
        <v>316</v>
      </c>
      <c r="P47" s="237" t="s">
        <v>316</v>
      </c>
      <c r="Q47" s="238"/>
      <c r="R47" s="239">
        <v>0</v>
      </c>
      <c r="S47" s="240">
        <v>0</v>
      </c>
      <c r="T47" s="240">
        <v>0</v>
      </c>
      <c r="U47" s="240">
        <v>0</v>
      </c>
      <c r="V47" s="240">
        <v>0</v>
      </c>
      <c r="W47" s="240">
        <v>0</v>
      </c>
      <c r="X47" s="240">
        <v>0</v>
      </c>
      <c r="Y47" s="240">
        <v>0</v>
      </c>
      <c r="Z47" s="240">
        <v>0</v>
      </c>
      <c r="AA47" s="240">
        <v>0</v>
      </c>
      <c r="AB47" s="240">
        <v>0</v>
      </c>
      <c r="AC47" s="241">
        <v>0</v>
      </c>
      <c r="AD47" s="242"/>
      <c r="AE47" s="243">
        <f t="shared" si="3"/>
        <v>0</v>
      </c>
      <c r="AG47" s="236"/>
      <c r="AH47" s="244"/>
      <c r="AI47" s="245" t="s">
        <v>316</v>
      </c>
      <c r="AJ47" s="236"/>
      <c r="AK47" s="232"/>
      <c r="AL47" s="246"/>
      <c r="AM47" s="247"/>
      <c r="AN47" s="248" t="s">
        <v>45</v>
      </c>
      <c r="AO47" s="249"/>
      <c r="AP47" s="246"/>
      <c r="AQ47" s="250" t="str">
        <f t="shared" si="4"/>
        <v/>
      </c>
      <c r="AR47" s="250" t="str">
        <f>IFERROR(VLOOKUP($AQ47,[19]TruckCenterReference!$C$22:$I73,3,FALSE), "")</f>
        <v/>
      </c>
      <c r="AS47" s="251" t="str">
        <f t="shared" si="5"/>
        <v/>
      </c>
      <c r="AT47" s="252"/>
      <c r="AU47" s="253" t="str">
        <f>IFERROR(VLOOKUP($AQ47,[19]TruckCenterReference!$C$22:$I73,4,FALSE), "")</f>
        <v/>
      </c>
      <c r="AV47" s="251" t="str">
        <f t="shared" si="6"/>
        <v/>
      </c>
      <c r="AX47" s="250" t="str">
        <f t="shared" si="7"/>
        <v/>
      </c>
      <c r="AY47" s="254" t="str">
        <f>IFERROR(VLOOKUP($AQ47,[19]TruckCenterReference!$C$22:$I73,6,FALSE), "")</f>
        <v/>
      </c>
      <c r="AZ47" s="251" t="str">
        <f t="shared" si="8"/>
        <v/>
      </c>
      <c r="BA47" s="252"/>
      <c r="BB47" s="253">
        <f>IFERROR(VLOOKUP($AQ47,[19]TruckCenterReference!$C$22:$I73,7,FALSE), 0)</f>
        <v>0</v>
      </c>
      <c r="BC47" s="255" t="str">
        <f t="shared" si="9"/>
        <v/>
      </c>
      <c r="BD47" s="251" t="str">
        <f t="shared" si="10"/>
        <v/>
      </c>
    </row>
    <row r="48" spans="1:56">
      <c r="A48" s="145" t="b">
        <f t="shared" si="1"/>
        <v>0</v>
      </c>
      <c r="B48" s="145" t="str">
        <f t="shared" si="2"/>
        <v/>
      </c>
      <c r="C48" s="228" t="s">
        <v>316</v>
      </c>
      <c r="D48" s="229">
        <v>1</v>
      </c>
      <c r="E48" s="230"/>
      <c r="F48" s="231"/>
      <c r="G48" s="232"/>
      <c r="H48" s="233" t="s">
        <v>316</v>
      </c>
      <c r="I48" s="233" t="s">
        <v>316</v>
      </c>
      <c r="J48" s="233" t="s">
        <v>316</v>
      </c>
      <c r="K48" s="234"/>
      <c r="L48" s="235" t="s">
        <v>316</v>
      </c>
      <c r="M48" s="235" t="s">
        <v>316</v>
      </c>
      <c r="N48" s="236"/>
      <c r="O48" s="237" t="s">
        <v>316</v>
      </c>
      <c r="P48" s="237" t="s">
        <v>316</v>
      </c>
      <c r="Q48" s="238"/>
      <c r="R48" s="239">
        <v>0</v>
      </c>
      <c r="S48" s="240">
        <v>0</v>
      </c>
      <c r="T48" s="240">
        <v>0</v>
      </c>
      <c r="U48" s="240">
        <v>0</v>
      </c>
      <c r="V48" s="240">
        <v>0</v>
      </c>
      <c r="W48" s="240">
        <v>0</v>
      </c>
      <c r="X48" s="240">
        <v>0</v>
      </c>
      <c r="Y48" s="240">
        <v>0</v>
      </c>
      <c r="Z48" s="240">
        <v>0</v>
      </c>
      <c r="AA48" s="240">
        <v>0</v>
      </c>
      <c r="AB48" s="240">
        <v>0</v>
      </c>
      <c r="AC48" s="241">
        <v>0</v>
      </c>
      <c r="AD48" s="242"/>
      <c r="AE48" s="243">
        <f t="shared" si="3"/>
        <v>0</v>
      </c>
      <c r="AG48" s="236"/>
      <c r="AH48" s="244"/>
      <c r="AI48" s="245" t="s">
        <v>316</v>
      </c>
      <c r="AJ48" s="236"/>
      <c r="AK48" s="232"/>
      <c r="AL48" s="246"/>
      <c r="AM48" s="247"/>
      <c r="AN48" s="248" t="s">
        <v>45</v>
      </c>
      <c r="AO48" s="249"/>
      <c r="AP48" s="246"/>
      <c r="AQ48" s="250" t="str">
        <f t="shared" si="4"/>
        <v/>
      </c>
      <c r="AR48" s="250" t="str">
        <f>IFERROR(VLOOKUP($AQ48,[19]TruckCenterReference!$C$22:$I74,3,FALSE), "")</f>
        <v/>
      </c>
      <c r="AS48" s="251" t="str">
        <f t="shared" si="5"/>
        <v/>
      </c>
      <c r="AT48" s="252"/>
      <c r="AU48" s="253" t="str">
        <f>IFERROR(VLOOKUP($AQ48,[19]TruckCenterReference!$C$22:$I74,4,FALSE), "")</f>
        <v/>
      </c>
      <c r="AV48" s="251" t="str">
        <f t="shared" si="6"/>
        <v/>
      </c>
      <c r="AX48" s="250" t="str">
        <f t="shared" si="7"/>
        <v/>
      </c>
      <c r="AY48" s="254" t="str">
        <f>IFERROR(VLOOKUP($AQ48,[19]TruckCenterReference!$C$22:$I74,6,FALSE), "")</f>
        <v/>
      </c>
      <c r="AZ48" s="251" t="str">
        <f t="shared" si="8"/>
        <v/>
      </c>
      <c r="BA48" s="252"/>
      <c r="BB48" s="253">
        <f>IFERROR(VLOOKUP($AQ48,[19]TruckCenterReference!$C$22:$I74,7,FALSE), 0)</f>
        <v>0</v>
      </c>
      <c r="BC48" s="255" t="str">
        <f t="shared" si="9"/>
        <v/>
      </c>
      <c r="BD48" s="251" t="str">
        <f t="shared" si="10"/>
        <v/>
      </c>
    </row>
    <row r="49" spans="1:56">
      <c r="A49" s="145" t="b">
        <f t="shared" si="1"/>
        <v>0</v>
      </c>
      <c r="B49" s="145" t="str">
        <f t="shared" si="2"/>
        <v/>
      </c>
      <c r="C49" s="228" t="s">
        <v>316</v>
      </c>
      <c r="D49" s="229">
        <v>1</v>
      </c>
      <c r="E49" s="230"/>
      <c r="F49" s="231"/>
      <c r="G49" s="232"/>
      <c r="H49" s="233" t="s">
        <v>316</v>
      </c>
      <c r="I49" s="233" t="s">
        <v>316</v>
      </c>
      <c r="J49" s="233" t="s">
        <v>316</v>
      </c>
      <c r="K49" s="234"/>
      <c r="L49" s="235" t="s">
        <v>316</v>
      </c>
      <c r="M49" s="235" t="s">
        <v>316</v>
      </c>
      <c r="N49" s="236"/>
      <c r="O49" s="237" t="s">
        <v>316</v>
      </c>
      <c r="P49" s="237" t="s">
        <v>316</v>
      </c>
      <c r="Q49" s="238"/>
      <c r="R49" s="239">
        <v>0</v>
      </c>
      <c r="S49" s="240">
        <v>0</v>
      </c>
      <c r="T49" s="240">
        <v>0</v>
      </c>
      <c r="U49" s="240">
        <v>0</v>
      </c>
      <c r="V49" s="240">
        <v>0</v>
      </c>
      <c r="W49" s="240">
        <v>0</v>
      </c>
      <c r="X49" s="240">
        <v>0</v>
      </c>
      <c r="Y49" s="240">
        <v>0</v>
      </c>
      <c r="Z49" s="240">
        <v>0</v>
      </c>
      <c r="AA49" s="240">
        <v>0</v>
      </c>
      <c r="AB49" s="240">
        <v>0</v>
      </c>
      <c r="AC49" s="241">
        <v>0</v>
      </c>
      <c r="AD49" s="242"/>
      <c r="AE49" s="243">
        <f t="shared" si="3"/>
        <v>0</v>
      </c>
      <c r="AG49" s="236"/>
      <c r="AH49" s="244"/>
      <c r="AI49" s="245" t="s">
        <v>316</v>
      </c>
      <c r="AJ49" s="236"/>
      <c r="AK49" s="232"/>
      <c r="AL49" s="246"/>
      <c r="AM49" s="247"/>
      <c r="AN49" s="248" t="s">
        <v>45</v>
      </c>
      <c r="AO49" s="249"/>
      <c r="AP49" s="246"/>
      <c r="AQ49" s="250" t="str">
        <f t="shared" si="4"/>
        <v/>
      </c>
      <c r="AR49" s="250" t="str">
        <f>IFERROR(VLOOKUP($AQ49,[19]TruckCenterReference!$C$22:$I75,3,FALSE), "")</f>
        <v/>
      </c>
      <c r="AS49" s="251" t="str">
        <f t="shared" si="5"/>
        <v/>
      </c>
      <c r="AT49" s="252"/>
      <c r="AU49" s="253" t="str">
        <f>IFERROR(VLOOKUP($AQ49,[19]TruckCenterReference!$C$22:$I75,4,FALSE), "")</f>
        <v/>
      </c>
      <c r="AV49" s="251" t="str">
        <f t="shared" si="6"/>
        <v/>
      </c>
      <c r="AX49" s="250" t="str">
        <f t="shared" si="7"/>
        <v/>
      </c>
      <c r="AY49" s="254" t="str">
        <f>IFERROR(VLOOKUP($AQ49,[19]TruckCenterReference!$C$22:$I75,6,FALSE), "")</f>
        <v/>
      </c>
      <c r="AZ49" s="251" t="str">
        <f t="shared" si="8"/>
        <v/>
      </c>
      <c r="BA49" s="252"/>
      <c r="BB49" s="253">
        <f>IFERROR(VLOOKUP($AQ49,[19]TruckCenterReference!$C$22:$I75,7,FALSE), 0)</f>
        <v>0</v>
      </c>
      <c r="BC49" s="255" t="str">
        <f t="shared" si="9"/>
        <v/>
      </c>
      <c r="BD49" s="251" t="str">
        <f t="shared" si="10"/>
        <v/>
      </c>
    </row>
    <row r="50" spans="1:56">
      <c r="A50" s="145" t="b">
        <f t="shared" si="1"/>
        <v>0</v>
      </c>
      <c r="B50" s="145" t="str">
        <f t="shared" si="2"/>
        <v/>
      </c>
      <c r="C50" s="228" t="s">
        <v>316</v>
      </c>
      <c r="D50" s="229">
        <v>1</v>
      </c>
      <c r="E50" s="230"/>
      <c r="F50" s="231"/>
      <c r="G50" s="232"/>
      <c r="H50" s="233" t="s">
        <v>316</v>
      </c>
      <c r="I50" s="233" t="s">
        <v>316</v>
      </c>
      <c r="J50" s="233" t="s">
        <v>316</v>
      </c>
      <c r="K50" s="234"/>
      <c r="L50" s="235" t="s">
        <v>316</v>
      </c>
      <c r="M50" s="235" t="s">
        <v>316</v>
      </c>
      <c r="N50" s="236"/>
      <c r="O50" s="237" t="s">
        <v>316</v>
      </c>
      <c r="P50" s="237" t="s">
        <v>316</v>
      </c>
      <c r="Q50" s="238"/>
      <c r="R50" s="239">
        <v>0</v>
      </c>
      <c r="S50" s="240">
        <v>0</v>
      </c>
      <c r="T50" s="240">
        <v>0</v>
      </c>
      <c r="U50" s="240">
        <v>0</v>
      </c>
      <c r="V50" s="240">
        <v>0</v>
      </c>
      <c r="W50" s="240">
        <v>0</v>
      </c>
      <c r="X50" s="240">
        <v>0</v>
      </c>
      <c r="Y50" s="240">
        <v>0</v>
      </c>
      <c r="Z50" s="240">
        <v>0</v>
      </c>
      <c r="AA50" s="240">
        <v>0</v>
      </c>
      <c r="AB50" s="240">
        <v>0</v>
      </c>
      <c r="AC50" s="241">
        <v>0</v>
      </c>
      <c r="AD50" s="242"/>
      <c r="AE50" s="243">
        <f t="shared" si="3"/>
        <v>0</v>
      </c>
      <c r="AG50" s="236"/>
      <c r="AH50" s="244"/>
      <c r="AI50" s="245" t="s">
        <v>316</v>
      </c>
      <c r="AJ50" s="236"/>
      <c r="AK50" s="232"/>
      <c r="AL50" s="246"/>
      <c r="AM50" s="247"/>
      <c r="AN50" s="248" t="s">
        <v>45</v>
      </c>
      <c r="AO50" s="249"/>
      <c r="AP50" s="246"/>
      <c r="AQ50" s="250" t="str">
        <f t="shared" si="4"/>
        <v/>
      </c>
      <c r="AR50" s="250" t="str">
        <f>IFERROR(VLOOKUP($AQ50,[19]TruckCenterReference!$C$22:$I76,3,FALSE), "")</f>
        <v/>
      </c>
      <c r="AS50" s="251" t="str">
        <f t="shared" si="5"/>
        <v/>
      </c>
      <c r="AT50" s="252"/>
      <c r="AU50" s="253" t="str">
        <f>IFERROR(VLOOKUP($AQ50,[19]TruckCenterReference!$C$22:$I76,4,FALSE), "")</f>
        <v/>
      </c>
      <c r="AV50" s="251" t="str">
        <f t="shared" si="6"/>
        <v/>
      </c>
      <c r="AX50" s="250" t="str">
        <f t="shared" si="7"/>
        <v/>
      </c>
      <c r="AY50" s="254" t="str">
        <f>IFERROR(VLOOKUP($AQ50,[19]TruckCenterReference!$C$22:$I76,6,FALSE), "")</f>
        <v/>
      </c>
      <c r="AZ50" s="251" t="str">
        <f t="shared" si="8"/>
        <v/>
      </c>
      <c r="BA50" s="252"/>
      <c r="BB50" s="253">
        <f>IFERROR(VLOOKUP($AQ50,[19]TruckCenterReference!$C$22:$I76,7,FALSE), 0)</f>
        <v>0</v>
      </c>
      <c r="BC50" s="255" t="str">
        <f t="shared" si="9"/>
        <v/>
      </c>
      <c r="BD50" s="251" t="str">
        <f t="shared" si="10"/>
        <v/>
      </c>
    </row>
    <row r="51" spans="1:56">
      <c r="A51" s="145" t="b">
        <f t="shared" si="1"/>
        <v>0</v>
      </c>
      <c r="B51" s="145" t="str">
        <f t="shared" si="2"/>
        <v/>
      </c>
      <c r="C51" s="228" t="s">
        <v>316</v>
      </c>
      <c r="D51" s="229">
        <v>1</v>
      </c>
      <c r="E51" s="230"/>
      <c r="F51" s="231"/>
      <c r="G51" s="232"/>
      <c r="H51" s="233" t="s">
        <v>316</v>
      </c>
      <c r="I51" s="233" t="s">
        <v>316</v>
      </c>
      <c r="J51" s="233" t="s">
        <v>316</v>
      </c>
      <c r="K51" s="234"/>
      <c r="L51" s="235" t="s">
        <v>316</v>
      </c>
      <c r="M51" s="235" t="s">
        <v>316</v>
      </c>
      <c r="N51" s="236"/>
      <c r="O51" s="237" t="s">
        <v>316</v>
      </c>
      <c r="P51" s="237" t="s">
        <v>316</v>
      </c>
      <c r="Q51" s="238"/>
      <c r="R51" s="239">
        <v>0</v>
      </c>
      <c r="S51" s="240">
        <v>0</v>
      </c>
      <c r="T51" s="240">
        <v>0</v>
      </c>
      <c r="U51" s="240">
        <v>0</v>
      </c>
      <c r="V51" s="240">
        <v>0</v>
      </c>
      <c r="W51" s="240">
        <v>0</v>
      </c>
      <c r="X51" s="240">
        <v>0</v>
      </c>
      <c r="Y51" s="240">
        <v>0</v>
      </c>
      <c r="Z51" s="240">
        <v>0</v>
      </c>
      <c r="AA51" s="240">
        <v>0</v>
      </c>
      <c r="AB51" s="240">
        <v>0</v>
      </c>
      <c r="AC51" s="241">
        <v>0</v>
      </c>
      <c r="AD51" s="242"/>
      <c r="AE51" s="243">
        <f t="shared" si="3"/>
        <v>0</v>
      </c>
      <c r="AG51" s="236"/>
      <c r="AH51" s="244"/>
      <c r="AI51" s="245" t="s">
        <v>316</v>
      </c>
      <c r="AJ51" s="236"/>
      <c r="AK51" s="232"/>
      <c r="AL51" s="246"/>
      <c r="AM51" s="247"/>
      <c r="AN51" s="248" t="s">
        <v>45</v>
      </c>
      <c r="AO51" s="249"/>
      <c r="AP51" s="246"/>
      <c r="AQ51" s="250" t="str">
        <f t="shared" si="4"/>
        <v/>
      </c>
      <c r="AR51" s="250" t="str">
        <f>IFERROR(VLOOKUP($AQ51,[19]TruckCenterReference!$C$22:$I77,3,FALSE), "")</f>
        <v/>
      </c>
      <c r="AS51" s="251" t="str">
        <f t="shared" si="5"/>
        <v/>
      </c>
      <c r="AT51" s="252"/>
      <c r="AU51" s="253" t="str">
        <f>IFERROR(VLOOKUP($AQ51,[19]TruckCenterReference!$C$22:$I77,4,FALSE), "")</f>
        <v/>
      </c>
      <c r="AV51" s="251" t="str">
        <f t="shared" si="6"/>
        <v/>
      </c>
      <c r="AX51" s="250" t="str">
        <f t="shared" si="7"/>
        <v/>
      </c>
      <c r="AY51" s="254" t="str">
        <f>IFERROR(VLOOKUP($AQ51,[19]TruckCenterReference!$C$22:$I77,6,FALSE), "")</f>
        <v/>
      </c>
      <c r="AZ51" s="251" t="str">
        <f t="shared" si="8"/>
        <v/>
      </c>
      <c r="BA51" s="252"/>
      <c r="BB51" s="253">
        <f>IFERROR(VLOOKUP($AQ51,[19]TruckCenterReference!$C$22:$I77,7,FALSE), 0)</f>
        <v>0</v>
      </c>
      <c r="BC51" s="255" t="str">
        <f t="shared" si="9"/>
        <v/>
      </c>
      <c r="BD51" s="251" t="str">
        <f t="shared" si="10"/>
        <v/>
      </c>
    </row>
    <row r="52" spans="1:56">
      <c r="A52" s="145" t="b">
        <f t="shared" si="1"/>
        <v>0</v>
      </c>
      <c r="B52" s="145" t="str">
        <f t="shared" si="2"/>
        <v/>
      </c>
      <c r="C52" s="228" t="s">
        <v>316</v>
      </c>
      <c r="D52" s="229">
        <v>1</v>
      </c>
      <c r="E52" s="230"/>
      <c r="F52" s="231"/>
      <c r="G52" s="232"/>
      <c r="H52" s="233" t="s">
        <v>316</v>
      </c>
      <c r="I52" s="233" t="s">
        <v>316</v>
      </c>
      <c r="J52" s="233" t="s">
        <v>316</v>
      </c>
      <c r="K52" s="234"/>
      <c r="L52" s="235" t="s">
        <v>316</v>
      </c>
      <c r="M52" s="235" t="s">
        <v>316</v>
      </c>
      <c r="N52" s="236"/>
      <c r="O52" s="237" t="s">
        <v>316</v>
      </c>
      <c r="P52" s="237" t="s">
        <v>316</v>
      </c>
      <c r="Q52" s="238"/>
      <c r="R52" s="239">
        <v>0</v>
      </c>
      <c r="S52" s="240">
        <v>0</v>
      </c>
      <c r="T52" s="240">
        <v>0</v>
      </c>
      <c r="U52" s="240">
        <v>0</v>
      </c>
      <c r="V52" s="240">
        <v>0</v>
      </c>
      <c r="W52" s="240">
        <v>0</v>
      </c>
      <c r="X52" s="240">
        <v>0</v>
      </c>
      <c r="Y52" s="240">
        <v>0</v>
      </c>
      <c r="Z52" s="240">
        <v>0</v>
      </c>
      <c r="AA52" s="240">
        <v>0</v>
      </c>
      <c r="AB52" s="240">
        <v>0</v>
      </c>
      <c r="AC52" s="241">
        <v>0</v>
      </c>
      <c r="AD52" s="242"/>
      <c r="AE52" s="243">
        <f t="shared" si="3"/>
        <v>0</v>
      </c>
      <c r="AG52" s="236"/>
      <c r="AH52" s="244"/>
      <c r="AI52" s="245" t="s">
        <v>316</v>
      </c>
      <c r="AJ52" s="236"/>
      <c r="AK52" s="232"/>
      <c r="AL52" s="246"/>
      <c r="AM52" s="247"/>
      <c r="AN52" s="248" t="s">
        <v>45</v>
      </c>
      <c r="AO52" s="249"/>
      <c r="AP52" s="246"/>
      <c r="AQ52" s="250" t="str">
        <f t="shared" si="4"/>
        <v/>
      </c>
      <c r="AR52" s="250" t="str">
        <f>IFERROR(VLOOKUP($AQ52,[19]TruckCenterReference!$C$22:$I78,3,FALSE), "")</f>
        <v/>
      </c>
      <c r="AS52" s="251" t="str">
        <f t="shared" si="5"/>
        <v/>
      </c>
      <c r="AT52" s="252"/>
      <c r="AU52" s="253" t="str">
        <f>IFERROR(VLOOKUP($AQ52,[19]TruckCenterReference!$C$22:$I78,4,FALSE), "")</f>
        <v/>
      </c>
      <c r="AV52" s="251" t="str">
        <f t="shared" si="6"/>
        <v/>
      </c>
      <c r="AX52" s="250" t="str">
        <f t="shared" si="7"/>
        <v/>
      </c>
      <c r="AY52" s="254" t="str">
        <f>IFERROR(VLOOKUP($AQ52,[19]TruckCenterReference!$C$22:$I78,6,FALSE), "")</f>
        <v/>
      </c>
      <c r="AZ52" s="251" t="str">
        <f t="shared" si="8"/>
        <v/>
      </c>
      <c r="BA52" s="252"/>
      <c r="BB52" s="253">
        <f>IFERROR(VLOOKUP($AQ52,[19]TruckCenterReference!$C$22:$I78,7,FALSE), 0)</f>
        <v>0</v>
      </c>
      <c r="BC52" s="255" t="str">
        <f t="shared" si="9"/>
        <v/>
      </c>
      <c r="BD52" s="251" t="str">
        <f t="shared" si="10"/>
        <v/>
      </c>
    </row>
    <row r="53" spans="1:56">
      <c r="A53" s="145" t="b">
        <f t="shared" si="1"/>
        <v>0</v>
      </c>
      <c r="B53" s="145" t="str">
        <f t="shared" si="2"/>
        <v/>
      </c>
      <c r="C53" s="228" t="s">
        <v>316</v>
      </c>
      <c r="D53" s="229">
        <v>1</v>
      </c>
      <c r="E53" s="230"/>
      <c r="F53" s="231"/>
      <c r="G53" s="232"/>
      <c r="H53" s="233" t="s">
        <v>316</v>
      </c>
      <c r="I53" s="233" t="s">
        <v>316</v>
      </c>
      <c r="J53" s="233" t="s">
        <v>316</v>
      </c>
      <c r="K53" s="234"/>
      <c r="L53" s="235" t="s">
        <v>316</v>
      </c>
      <c r="M53" s="235" t="s">
        <v>316</v>
      </c>
      <c r="N53" s="236"/>
      <c r="O53" s="237" t="s">
        <v>316</v>
      </c>
      <c r="P53" s="237" t="s">
        <v>316</v>
      </c>
      <c r="Q53" s="238"/>
      <c r="R53" s="239">
        <v>0</v>
      </c>
      <c r="S53" s="240">
        <v>0</v>
      </c>
      <c r="T53" s="240">
        <v>0</v>
      </c>
      <c r="U53" s="240">
        <v>0</v>
      </c>
      <c r="V53" s="240">
        <v>0</v>
      </c>
      <c r="W53" s="240">
        <v>0</v>
      </c>
      <c r="X53" s="240">
        <v>0</v>
      </c>
      <c r="Y53" s="240">
        <v>0</v>
      </c>
      <c r="Z53" s="240">
        <v>0</v>
      </c>
      <c r="AA53" s="240">
        <v>0</v>
      </c>
      <c r="AB53" s="240">
        <v>0</v>
      </c>
      <c r="AC53" s="241">
        <v>0</v>
      </c>
      <c r="AD53" s="242"/>
      <c r="AE53" s="243">
        <f t="shared" si="3"/>
        <v>0</v>
      </c>
      <c r="AG53" s="236"/>
      <c r="AH53" s="244"/>
      <c r="AI53" s="245" t="s">
        <v>316</v>
      </c>
      <c r="AJ53" s="236"/>
      <c r="AK53" s="232"/>
      <c r="AL53" s="246"/>
      <c r="AM53" s="247"/>
      <c r="AN53" s="248" t="s">
        <v>45</v>
      </c>
      <c r="AO53" s="249"/>
      <c r="AP53" s="246"/>
      <c r="AQ53" s="250" t="str">
        <f t="shared" si="4"/>
        <v/>
      </c>
      <c r="AR53" s="250" t="str">
        <f>IFERROR(VLOOKUP($AQ53,[19]TruckCenterReference!$C$22:$I79,3,FALSE), "")</f>
        <v/>
      </c>
      <c r="AS53" s="251" t="str">
        <f t="shared" si="5"/>
        <v/>
      </c>
      <c r="AT53" s="252"/>
      <c r="AU53" s="253" t="str">
        <f>IFERROR(VLOOKUP($AQ53,[19]TruckCenterReference!$C$22:$I79,4,FALSE), "")</f>
        <v/>
      </c>
      <c r="AV53" s="251" t="str">
        <f t="shared" si="6"/>
        <v/>
      </c>
      <c r="AX53" s="250" t="str">
        <f t="shared" si="7"/>
        <v/>
      </c>
      <c r="AY53" s="254" t="str">
        <f>IFERROR(VLOOKUP($AQ53,[19]TruckCenterReference!$C$22:$I79,6,FALSE), "")</f>
        <v/>
      </c>
      <c r="AZ53" s="251" t="str">
        <f t="shared" si="8"/>
        <v/>
      </c>
      <c r="BA53" s="252"/>
      <c r="BB53" s="253">
        <f>IFERROR(VLOOKUP($AQ53,[19]TruckCenterReference!$C$22:$I79,7,FALSE), 0)</f>
        <v>0</v>
      </c>
      <c r="BC53" s="255" t="str">
        <f t="shared" si="9"/>
        <v/>
      </c>
      <c r="BD53" s="251" t="str">
        <f t="shared" si="10"/>
        <v/>
      </c>
    </row>
    <row r="54" spans="1:56">
      <c r="A54" s="145" t="b">
        <f t="shared" si="1"/>
        <v>0</v>
      </c>
      <c r="B54" s="145" t="str">
        <f t="shared" si="2"/>
        <v/>
      </c>
      <c r="C54" s="228" t="s">
        <v>316</v>
      </c>
      <c r="D54" s="229">
        <v>1</v>
      </c>
      <c r="E54" s="230"/>
      <c r="F54" s="231"/>
      <c r="G54" s="232"/>
      <c r="H54" s="233" t="s">
        <v>316</v>
      </c>
      <c r="I54" s="233" t="s">
        <v>316</v>
      </c>
      <c r="J54" s="233" t="s">
        <v>316</v>
      </c>
      <c r="K54" s="234"/>
      <c r="L54" s="235" t="s">
        <v>316</v>
      </c>
      <c r="M54" s="235" t="s">
        <v>316</v>
      </c>
      <c r="N54" s="236"/>
      <c r="O54" s="237" t="s">
        <v>316</v>
      </c>
      <c r="P54" s="237" t="s">
        <v>316</v>
      </c>
      <c r="Q54" s="238"/>
      <c r="R54" s="239">
        <v>0</v>
      </c>
      <c r="S54" s="240">
        <v>0</v>
      </c>
      <c r="T54" s="240">
        <v>0</v>
      </c>
      <c r="U54" s="240">
        <v>0</v>
      </c>
      <c r="V54" s="240">
        <v>0</v>
      </c>
      <c r="W54" s="240">
        <v>0</v>
      </c>
      <c r="X54" s="240">
        <v>0</v>
      </c>
      <c r="Y54" s="240">
        <v>0</v>
      </c>
      <c r="Z54" s="240">
        <v>0</v>
      </c>
      <c r="AA54" s="240">
        <v>0</v>
      </c>
      <c r="AB54" s="240">
        <v>0</v>
      </c>
      <c r="AC54" s="241">
        <v>0</v>
      </c>
      <c r="AD54" s="242"/>
      <c r="AE54" s="243">
        <f t="shared" si="3"/>
        <v>0</v>
      </c>
      <c r="AG54" s="236"/>
      <c r="AH54" s="244"/>
      <c r="AI54" s="245" t="s">
        <v>316</v>
      </c>
      <c r="AJ54" s="236"/>
      <c r="AK54" s="232"/>
      <c r="AL54" s="246"/>
      <c r="AM54" s="247"/>
      <c r="AN54" s="248" t="s">
        <v>45</v>
      </c>
      <c r="AO54" s="249"/>
      <c r="AP54" s="246"/>
      <c r="AQ54" s="250" t="str">
        <f t="shared" si="4"/>
        <v/>
      </c>
      <c r="AR54" s="250" t="str">
        <f>IFERROR(VLOOKUP($AQ54,[19]TruckCenterReference!$C$22:$I80,3,FALSE), "")</f>
        <v/>
      </c>
      <c r="AS54" s="251" t="str">
        <f t="shared" si="5"/>
        <v/>
      </c>
      <c r="AT54" s="252"/>
      <c r="AU54" s="253" t="str">
        <f>IFERROR(VLOOKUP($AQ54,[19]TruckCenterReference!$C$22:$I80,4,FALSE), "")</f>
        <v/>
      </c>
      <c r="AV54" s="251" t="str">
        <f t="shared" si="6"/>
        <v/>
      </c>
      <c r="AX54" s="250" t="str">
        <f t="shared" si="7"/>
        <v/>
      </c>
      <c r="AY54" s="254" t="str">
        <f>IFERROR(VLOOKUP($AQ54,[19]TruckCenterReference!$C$22:$I80,6,FALSE), "")</f>
        <v/>
      </c>
      <c r="AZ54" s="251" t="str">
        <f t="shared" si="8"/>
        <v/>
      </c>
      <c r="BA54" s="252"/>
      <c r="BB54" s="253">
        <f>IFERROR(VLOOKUP($AQ54,[19]TruckCenterReference!$C$22:$I80,7,FALSE), 0)</f>
        <v>0</v>
      </c>
      <c r="BC54" s="255" t="str">
        <f t="shared" si="9"/>
        <v/>
      </c>
      <c r="BD54" s="251" t="str">
        <f t="shared" si="10"/>
        <v/>
      </c>
    </row>
    <row r="55" spans="1:56">
      <c r="A55" s="145" t="b">
        <f t="shared" si="1"/>
        <v>0</v>
      </c>
      <c r="B55" s="145" t="str">
        <f t="shared" si="2"/>
        <v/>
      </c>
      <c r="C55" s="228" t="s">
        <v>316</v>
      </c>
      <c r="D55" s="229">
        <v>1</v>
      </c>
      <c r="E55" s="230"/>
      <c r="F55" s="231"/>
      <c r="G55" s="232"/>
      <c r="H55" s="233" t="s">
        <v>316</v>
      </c>
      <c r="I55" s="233" t="s">
        <v>316</v>
      </c>
      <c r="J55" s="233" t="s">
        <v>316</v>
      </c>
      <c r="K55" s="234"/>
      <c r="L55" s="235" t="s">
        <v>316</v>
      </c>
      <c r="M55" s="235" t="s">
        <v>316</v>
      </c>
      <c r="N55" s="236"/>
      <c r="O55" s="237" t="s">
        <v>316</v>
      </c>
      <c r="P55" s="237" t="s">
        <v>316</v>
      </c>
      <c r="Q55" s="238"/>
      <c r="R55" s="239">
        <v>0</v>
      </c>
      <c r="S55" s="240">
        <v>0</v>
      </c>
      <c r="T55" s="240">
        <v>0</v>
      </c>
      <c r="U55" s="240">
        <v>0</v>
      </c>
      <c r="V55" s="240">
        <v>0</v>
      </c>
      <c r="W55" s="240">
        <v>0</v>
      </c>
      <c r="X55" s="240">
        <v>0</v>
      </c>
      <c r="Y55" s="240">
        <v>0</v>
      </c>
      <c r="Z55" s="240">
        <v>0</v>
      </c>
      <c r="AA55" s="240">
        <v>0</v>
      </c>
      <c r="AB55" s="240">
        <v>0</v>
      </c>
      <c r="AC55" s="241">
        <v>0</v>
      </c>
      <c r="AD55" s="242"/>
      <c r="AE55" s="243">
        <f t="shared" si="3"/>
        <v>0</v>
      </c>
      <c r="AG55" s="236"/>
      <c r="AH55" s="244"/>
      <c r="AI55" s="245" t="s">
        <v>316</v>
      </c>
      <c r="AJ55" s="236"/>
      <c r="AK55" s="232"/>
      <c r="AL55" s="246"/>
      <c r="AM55" s="247"/>
      <c r="AN55" s="248" t="s">
        <v>45</v>
      </c>
      <c r="AO55" s="249"/>
      <c r="AP55" s="246"/>
      <c r="AQ55" s="250" t="str">
        <f t="shared" si="4"/>
        <v/>
      </c>
      <c r="AR55" s="250" t="str">
        <f>IFERROR(VLOOKUP($AQ55,[19]TruckCenterReference!$C$22:$I81,3,FALSE), "")</f>
        <v/>
      </c>
      <c r="AS55" s="251" t="str">
        <f t="shared" si="5"/>
        <v/>
      </c>
      <c r="AT55" s="252"/>
      <c r="AU55" s="253" t="str">
        <f>IFERROR(VLOOKUP($AQ55,[19]TruckCenterReference!$C$22:$I81,4,FALSE), "")</f>
        <v/>
      </c>
      <c r="AV55" s="251" t="str">
        <f t="shared" si="6"/>
        <v/>
      </c>
      <c r="AX55" s="250" t="str">
        <f t="shared" si="7"/>
        <v/>
      </c>
      <c r="AY55" s="254" t="str">
        <f>IFERROR(VLOOKUP($AQ55,[19]TruckCenterReference!$C$22:$I81,6,FALSE), "")</f>
        <v/>
      </c>
      <c r="AZ55" s="251" t="str">
        <f t="shared" si="8"/>
        <v/>
      </c>
      <c r="BA55" s="252"/>
      <c r="BB55" s="253">
        <f>IFERROR(VLOOKUP($AQ55,[19]TruckCenterReference!$C$22:$I81,7,FALSE), 0)</f>
        <v>0</v>
      </c>
      <c r="BC55" s="255" t="str">
        <f t="shared" si="9"/>
        <v/>
      </c>
      <c r="BD55" s="251" t="str">
        <f t="shared" si="10"/>
        <v/>
      </c>
    </row>
    <row r="56" spans="1:56">
      <c r="A56" s="145" t="b">
        <f t="shared" si="1"/>
        <v>0</v>
      </c>
      <c r="B56" s="145" t="str">
        <f t="shared" si="2"/>
        <v/>
      </c>
      <c r="C56" s="228" t="s">
        <v>316</v>
      </c>
      <c r="D56" s="229">
        <v>1</v>
      </c>
      <c r="E56" s="230"/>
      <c r="F56" s="231"/>
      <c r="G56" s="232"/>
      <c r="H56" s="233" t="s">
        <v>316</v>
      </c>
      <c r="I56" s="233" t="s">
        <v>316</v>
      </c>
      <c r="J56" s="233" t="s">
        <v>316</v>
      </c>
      <c r="K56" s="234"/>
      <c r="L56" s="235" t="s">
        <v>316</v>
      </c>
      <c r="M56" s="235" t="s">
        <v>316</v>
      </c>
      <c r="N56" s="236"/>
      <c r="O56" s="237" t="s">
        <v>316</v>
      </c>
      <c r="P56" s="237" t="s">
        <v>316</v>
      </c>
      <c r="Q56" s="238"/>
      <c r="R56" s="239">
        <v>0</v>
      </c>
      <c r="S56" s="240">
        <v>0</v>
      </c>
      <c r="T56" s="240">
        <v>0</v>
      </c>
      <c r="U56" s="240">
        <v>0</v>
      </c>
      <c r="V56" s="240">
        <v>0</v>
      </c>
      <c r="W56" s="240">
        <v>0</v>
      </c>
      <c r="X56" s="240">
        <v>0</v>
      </c>
      <c r="Y56" s="240">
        <v>0</v>
      </c>
      <c r="Z56" s="240">
        <v>0</v>
      </c>
      <c r="AA56" s="240">
        <v>0</v>
      </c>
      <c r="AB56" s="240">
        <v>0</v>
      </c>
      <c r="AC56" s="241">
        <v>0</v>
      </c>
      <c r="AD56" s="242"/>
      <c r="AE56" s="243">
        <f t="shared" si="3"/>
        <v>0</v>
      </c>
      <c r="AG56" s="236"/>
      <c r="AH56" s="244"/>
      <c r="AI56" s="245" t="s">
        <v>316</v>
      </c>
      <c r="AJ56" s="236"/>
      <c r="AK56" s="232"/>
      <c r="AL56" s="246"/>
      <c r="AM56" s="247"/>
      <c r="AN56" s="248" t="s">
        <v>45</v>
      </c>
      <c r="AO56" s="249"/>
      <c r="AP56" s="246"/>
      <c r="AQ56" s="250" t="str">
        <f t="shared" si="4"/>
        <v/>
      </c>
      <c r="AR56" s="250" t="str">
        <f>IFERROR(VLOOKUP($AQ56,[19]TruckCenterReference!$C$22:$I82,3,FALSE), "")</f>
        <v/>
      </c>
      <c r="AS56" s="251" t="str">
        <f t="shared" si="5"/>
        <v/>
      </c>
      <c r="AT56" s="252"/>
      <c r="AU56" s="253" t="str">
        <f>IFERROR(VLOOKUP($AQ56,[19]TruckCenterReference!$C$22:$I82,4,FALSE), "")</f>
        <v/>
      </c>
      <c r="AV56" s="251" t="str">
        <f t="shared" si="6"/>
        <v/>
      </c>
      <c r="AX56" s="250" t="str">
        <f t="shared" si="7"/>
        <v/>
      </c>
      <c r="AY56" s="254" t="str">
        <f>IFERROR(VLOOKUP($AQ56,[19]TruckCenterReference!$C$22:$I82,6,FALSE), "")</f>
        <v/>
      </c>
      <c r="AZ56" s="251" t="str">
        <f t="shared" si="8"/>
        <v/>
      </c>
      <c r="BA56" s="252"/>
      <c r="BB56" s="253">
        <f>IFERROR(VLOOKUP($AQ56,[19]TruckCenterReference!$C$22:$I82,7,FALSE), 0)</f>
        <v>0</v>
      </c>
      <c r="BC56" s="255" t="str">
        <f t="shared" si="9"/>
        <v/>
      </c>
      <c r="BD56" s="251" t="str">
        <f t="shared" si="10"/>
        <v/>
      </c>
    </row>
    <row r="57" spans="1:56">
      <c r="A57" s="145" t="b">
        <f t="shared" si="1"/>
        <v>0</v>
      </c>
      <c r="B57" s="145" t="str">
        <f t="shared" si="2"/>
        <v/>
      </c>
      <c r="C57" s="228" t="s">
        <v>316</v>
      </c>
      <c r="D57" s="229">
        <v>1</v>
      </c>
      <c r="E57" s="230"/>
      <c r="F57" s="231"/>
      <c r="G57" s="232"/>
      <c r="H57" s="233" t="s">
        <v>316</v>
      </c>
      <c r="I57" s="233" t="s">
        <v>316</v>
      </c>
      <c r="J57" s="233" t="s">
        <v>316</v>
      </c>
      <c r="K57" s="234"/>
      <c r="L57" s="235" t="s">
        <v>316</v>
      </c>
      <c r="M57" s="235" t="s">
        <v>316</v>
      </c>
      <c r="N57" s="236"/>
      <c r="O57" s="237" t="s">
        <v>316</v>
      </c>
      <c r="P57" s="237" t="s">
        <v>316</v>
      </c>
      <c r="Q57" s="238"/>
      <c r="R57" s="239">
        <v>0</v>
      </c>
      <c r="S57" s="240">
        <v>0</v>
      </c>
      <c r="T57" s="240">
        <v>0</v>
      </c>
      <c r="U57" s="240">
        <v>0</v>
      </c>
      <c r="V57" s="240">
        <v>0</v>
      </c>
      <c r="W57" s="240">
        <v>0</v>
      </c>
      <c r="X57" s="240">
        <v>0</v>
      </c>
      <c r="Y57" s="240">
        <v>0</v>
      </c>
      <c r="Z57" s="240">
        <v>0</v>
      </c>
      <c r="AA57" s="240">
        <v>0</v>
      </c>
      <c r="AB57" s="240">
        <v>0</v>
      </c>
      <c r="AC57" s="241">
        <v>0</v>
      </c>
      <c r="AD57" s="242"/>
      <c r="AE57" s="243">
        <f t="shared" si="3"/>
        <v>0</v>
      </c>
      <c r="AG57" s="236"/>
      <c r="AH57" s="244"/>
      <c r="AI57" s="245" t="s">
        <v>316</v>
      </c>
      <c r="AJ57" s="236"/>
      <c r="AK57" s="232"/>
      <c r="AL57" s="246"/>
      <c r="AM57" s="247"/>
      <c r="AN57" s="248" t="s">
        <v>45</v>
      </c>
      <c r="AO57" s="249"/>
      <c r="AP57" s="246"/>
      <c r="AQ57" s="250" t="str">
        <f t="shared" si="4"/>
        <v/>
      </c>
      <c r="AR57" s="250" t="str">
        <f>IFERROR(VLOOKUP($AQ57,[19]TruckCenterReference!$C$22:$I83,3,FALSE), "")</f>
        <v/>
      </c>
      <c r="AS57" s="251" t="str">
        <f t="shared" si="5"/>
        <v/>
      </c>
      <c r="AT57" s="252"/>
      <c r="AU57" s="253" t="str">
        <f>IFERROR(VLOOKUP($AQ57,[19]TruckCenterReference!$C$22:$I83,4,FALSE), "")</f>
        <v/>
      </c>
      <c r="AV57" s="251" t="str">
        <f t="shared" si="6"/>
        <v/>
      </c>
      <c r="AX57" s="250" t="str">
        <f t="shared" si="7"/>
        <v/>
      </c>
      <c r="AY57" s="254" t="str">
        <f>IFERROR(VLOOKUP($AQ57,[19]TruckCenterReference!$C$22:$I83,6,FALSE), "")</f>
        <v/>
      </c>
      <c r="AZ57" s="251" t="str">
        <f t="shared" si="8"/>
        <v/>
      </c>
      <c r="BA57" s="252"/>
      <c r="BB57" s="253">
        <f>IFERROR(VLOOKUP($AQ57,[19]TruckCenterReference!$C$22:$I83,7,FALSE), 0)</f>
        <v>0</v>
      </c>
      <c r="BC57" s="255" t="str">
        <f t="shared" si="9"/>
        <v/>
      </c>
      <c r="BD57" s="251" t="str">
        <f t="shared" si="10"/>
        <v/>
      </c>
    </row>
    <row r="58" spans="1:56">
      <c r="A58" s="145" t="b">
        <f t="shared" si="1"/>
        <v>0</v>
      </c>
      <c r="B58" s="145" t="str">
        <f t="shared" si="2"/>
        <v/>
      </c>
      <c r="C58" s="228" t="s">
        <v>316</v>
      </c>
      <c r="D58" s="229">
        <v>1</v>
      </c>
      <c r="E58" s="230"/>
      <c r="F58" s="231"/>
      <c r="G58" s="232"/>
      <c r="H58" s="233" t="s">
        <v>316</v>
      </c>
      <c r="I58" s="233" t="s">
        <v>316</v>
      </c>
      <c r="J58" s="233" t="s">
        <v>316</v>
      </c>
      <c r="K58" s="234"/>
      <c r="L58" s="235" t="s">
        <v>316</v>
      </c>
      <c r="M58" s="235" t="s">
        <v>316</v>
      </c>
      <c r="N58" s="236"/>
      <c r="O58" s="237" t="s">
        <v>316</v>
      </c>
      <c r="P58" s="237" t="s">
        <v>316</v>
      </c>
      <c r="Q58" s="238"/>
      <c r="R58" s="239">
        <v>0</v>
      </c>
      <c r="S58" s="240">
        <v>0</v>
      </c>
      <c r="T58" s="240">
        <v>0</v>
      </c>
      <c r="U58" s="240">
        <v>0</v>
      </c>
      <c r="V58" s="240">
        <v>0</v>
      </c>
      <c r="W58" s="240">
        <v>0</v>
      </c>
      <c r="X58" s="240">
        <v>0</v>
      </c>
      <c r="Y58" s="240">
        <v>0</v>
      </c>
      <c r="Z58" s="240">
        <v>0</v>
      </c>
      <c r="AA58" s="240">
        <v>0</v>
      </c>
      <c r="AB58" s="240">
        <v>0</v>
      </c>
      <c r="AC58" s="241">
        <v>0</v>
      </c>
      <c r="AD58" s="242"/>
      <c r="AE58" s="243">
        <f t="shared" si="3"/>
        <v>0</v>
      </c>
      <c r="AG58" s="236"/>
      <c r="AH58" s="244"/>
      <c r="AI58" s="245" t="s">
        <v>316</v>
      </c>
      <c r="AJ58" s="236"/>
      <c r="AK58" s="232"/>
      <c r="AL58" s="246"/>
      <c r="AM58" s="247"/>
      <c r="AN58" s="248" t="s">
        <v>45</v>
      </c>
      <c r="AO58" s="249"/>
      <c r="AP58" s="246"/>
      <c r="AQ58" s="250" t="str">
        <f t="shared" si="4"/>
        <v/>
      </c>
      <c r="AR58" s="250" t="str">
        <f>IFERROR(VLOOKUP($AQ58,[19]TruckCenterReference!$C$22:$I84,3,FALSE), "")</f>
        <v/>
      </c>
      <c r="AS58" s="251" t="str">
        <f t="shared" si="5"/>
        <v/>
      </c>
      <c r="AT58" s="252"/>
      <c r="AU58" s="253" t="str">
        <f>IFERROR(VLOOKUP($AQ58,[19]TruckCenterReference!$C$22:$I84,4,FALSE), "")</f>
        <v/>
      </c>
      <c r="AV58" s="251" t="str">
        <f t="shared" si="6"/>
        <v/>
      </c>
      <c r="AX58" s="250" t="str">
        <f t="shared" si="7"/>
        <v/>
      </c>
      <c r="AY58" s="254" t="str">
        <f>IFERROR(VLOOKUP($AQ58,[19]TruckCenterReference!$C$22:$I84,6,FALSE), "")</f>
        <v/>
      </c>
      <c r="AZ58" s="251" t="str">
        <f t="shared" si="8"/>
        <v/>
      </c>
      <c r="BA58" s="252"/>
      <c r="BB58" s="253">
        <f>IFERROR(VLOOKUP($AQ58,[19]TruckCenterReference!$C$22:$I84,7,FALSE), 0)</f>
        <v>0</v>
      </c>
      <c r="BC58" s="255" t="str">
        <f t="shared" si="9"/>
        <v/>
      </c>
      <c r="BD58" s="251" t="str">
        <f t="shared" si="10"/>
        <v/>
      </c>
    </row>
    <row r="59" spans="1:56">
      <c r="A59" s="145" t="b">
        <f t="shared" si="1"/>
        <v>0</v>
      </c>
      <c r="B59" s="145" t="str">
        <f t="shared" si="2"/>
        <v/>
      </c>
      <c r="C59" s="228" t="s">
        <v>316</v>
      </c>
      <c r="D59" s="229">
        <v>1</v>
      </c>
      <c r="E59" s="230"/>
      <c r="F59" s="231"/>
      <c r="G59" s="232"/>
      <c r="H59" s="233" t="s">
        <v>316</v>
      </c>
      <c r="I59" s="233" t="s">
        <v>316</v>
      </c>
      <c r="J59" s="233" t="s">
        <v>316</v>
      </c>
      <c r="K59" s="234"/>
      <c r="L59" s="235" t="s">
        <v>316</v>
      </c>
      <c r="M59" s="235" t="s">
        <v>316</v>
      </c>
      <c r="N59" s="236"/>
      <c r="O59" s="237" t="s">
        <v>316</v>
      </c>
      <c r="P59" s="237" t="s">
        <v>316</v>
      </c>
      <c r="Q59" s="238"/>
      <c r="R59" s="239">
        <v>0</v>
      </c>
      <c r="S59" s="240">
        <v>0</v>
      </c>
      <c r="T59" s="240">
        <v>0</v>
      </c>
      <c r="U59" s="240">
        <v>0</v>
      </c>
      <c r="V59" s="240">
        <v>0</v>
      </c>
      <c r="W59" s="240">
        <v>0</v>
      </c>
      <c r="X59" s="240">
        <v>0</v>
      </c>
      <c r="Y59" s="240">
        <v>0</v>
      </c>
      <c r="Z59" s="240">
        <v>0</v>
      </c>
      <c r="AA59" s="240">
        <v>0</v>
      </c>
      <c r="AB59" s="240">
        <v>0</v>
      </c>
      <c r="AC59" s="241">
        <v>0</v>
      </c>
      <c r="AD59" s="242"/>
      <c r="AE59" s="243">
        <f t="shared" si="3"/>
        <v>0</v>
      </c>
      <c r="AG59" s="236"/>
      <c r="AH59" s="244"/>
      <c r="AI59" s="245" t="s">
        <v>316</v>
      </c>
      <c r="AJ59" s="236"/>
      <c r="AK59" s="232"/>
      <c r="AL59" s="246"/>
      <c r="AM59" s="247"/>
      <c r="AN59" s="248" t="s">
        <v>45</v>
      </c>
      <c r="AO59" s="249"/>
      <c r="AP59" s="246"/>
      <c r="AQ59" s="250" t="str">
        <f t="shared" si="4"/>
        <v/>
      </c>
      <c r="AR59" s="250" t="str">
        <f>IFERROR(VLOOKUP($AQ59,[19]TruckCenterReference!$C$22:$I85,3,FALSE), "")</f>
        <v/>
      </c>
      <c r="AS59" s="251" t="str">
        <f t="shared" si="5"/>
        <v/>
      </c>
      <c r="AT59" s="252"/>
      <c r="AU59" s="253" t="str">
        <f>IFERROR(VLOOKUP($AQ59,[19]TruckCenterReference!$C$22:$I85,4,FALSE), "")</f>
        <v/>
      </c>
      <c r="AV59" s="251" t="str">
        <f t="shared" si="6"/>
        <v/>
      </c>
      <c r="AX59" s="250" t="str">
        <f t="shared" si="7"/>
        <v/>
      </c>
      <c r="AY59" s="254" t="str">
        <f>IFERROR(VLOOKUP($AQ59,[19]TruckCenterReference!$C$22:$I85,6,FALSE), "")</f>
        <v/>
      </c>
      <c r="AZ59" s="251" t="str">
        <f t="shared" si="8"/>
        <v/>
      </c>
      <c r="BA59" s="252"/>
      <c r="BB59" s="253">
        <f>IFERROR(VLOOKUP($AQ59,[19]TruckCenterReference!$C$22:$I85,7,FALSE), 0)</f>
        <v>0</v>
      </c>
      <c r="BC59" s="255" t="str">
        <f t="shared" si="9"/>
        <v/>
      </c>
      <c r="BD59" s="251" t="str">
        <f t="shared" si="10"/>
        <v/>
      </c>
    </row>
    <row r="60" spans="1:56">
      <c r="E60" s="311" t="s">
        <v>2326</v>
      </c>
      <c r="F60" s="312"/>
      <c r="G60" s="313"/>
      <c r="H60" s="266"/>
      <c r="I60" s="266"/>
      <c r="J60" s="266"/>
      <c r="K60" s="266"/>
      <c r="L60" s="266"/>
      <c r="M60" s="266"/>
      <c r="N60" s="242"/>
      <c r="O60" s="242"/>
      <c r="P60" s="242"/>
      <c r="Q60" s="242"/>
      <c r="R60" s="314"/>
      <c r="S60" s="314"/>
      <c r="T60" s="314"/>
      <c r="U60" s="314"/>
      <c r="V60" s="314"/>
      <c r="W60" s="314"/>
      <c r="X60" s="314"/>
      <c r="Y60" s="314"/>
      <c r="Z60" s="314"/>
      <c r="AA60" s="314"/>
      <c r="AB60" s="314"/>
      <c r="AC60" s="314"/>
      <c r="AD60" s="242"/>
      <c r="AE60" s="315"/>
      <c r="AG60" s="242"/>
      <c r="AH60" s="242"/>
      <c r="AI60" s="242"/>
      <c r="AJ60" s="242"/>
      <c r="AK60" s="242"/>
      <c r="AM60" s="242"/>
    </row>
    <row r="61" spans="1:56" ht="15.75" thickBot="1">
      <c r="P61" s="304"/>
      <c r="Q61" s="316" t="s">
        <v>2327</v>
      </c>
      <c r="R61" s="317">
        <f t="shared" ref="R61:AC61" si="11">SUM(R29:R60)</f>
        <v>0</v>
      </c>
      <c r="S61" s="317">
        <f t="shared" si="11"/>
        <v>587258</v>
      </c>
      <c r="T61" s="317">
        <f t="shared" si="11"/>
        <v>0</v>
      </c>
      <c r="U61" s="317">
        <f t="shared" si="11"/>
        <v>402258</v>
      </c>
      <c r="V61" s="317">
        <f t="shared" si="11"/>
        <v>587258</v>
      </c>
      <c r="W61" s="317">
        <f t="shared" si="11"/>
        <v>0</v>
      </c>
      <c r="X61" s="317">
        <f t="shared" si="11"/>
        <v>0</v>
      </c>
      <c r="Y61" s="317">
        <f t="shared" si="11"/>
        <v>1035891</v>
      </c>
      <c r="Z61" s="317">
        <f t="shared" si="11"/>
        <v>0</v>
      </c>
      <c r="AA61" s="317">
        <f t="shared" si="11"/>
        <v>402258</v>
      </c>
      <c r="AB61" s="317">
        <f t="shared" si="11"/>
        <v>519633</v>
      </c>
      <c r="AC61" s="317">
        <f t="shared" si="11"/>
        <v>0</v>
      </c>
      <c r="AD61" s="308"/>
      <c r="AE61" s="317">
        <f>SUM(AE29:AE60)</f>
        <v>3534556</v>
      </c>
      <c r="AG61" s="242"/>
      <c r="AH61" s="242"/>
      <c r="AI61" s="242"/>
      <c r="AJ61" s="242"/>
      <c r="AK61" s="242"/>
      <c r="AM61" s="242"/>
    </row>
    <row r="62" spans="1:56" ht="15.75" thickTop="1">
      <c r="E62" s="266"/>
      <c r="F62" s="266"/>
      <c r="G62" s="266"/>
      <c r="H62" s="266"/>
      <c r="I62" s="266"/>
      <c r="J62" s="266"/>
      <c r="K62" s="266"/>
      <c r="L62" s="266"/>
      <c r="M62" s="266"/>
      <c r="N62" s="242"/>
      <c r="O62" s="242"/>
      <c r="P62" s="242"/>
      <c r="Q62" s="242"/>
      <c r="R62" s="314"/>
      <c r="S62" s="314"/>
      <c r="T62" s="314"/>
      <c r="U62" s="314"/>
      <c r="V62" s="314"/>
      <c r="W62" s="314"/>
      <c r="X62" s="314"/>
      <c r="Y62" s="314"/>
      <c r="Z62" s="314"/>
      <c r="AA62" s="314"/>
      <c r="AB62" s="314"/>
      <c r="AC62" s="314"/>
      <c r="AD62" s="242"/>
      <c r="AE62" s="318"/>
      <c r="AG62" s="242"/>
      <c r="AH62" s="242"/>
      <c r="AI62" s="242"/>
      <c r="AJ62" s="242"/>
      <c r="AK62" s="242"/>
      <c r="AM62" s="242"/>
    </row>
    <row r="63" spans="1:56" ht="15.75" thickBot="1">
      <c r="AD63" s="242"/>
    </row>
    <row r="64" spans="1:56">
      <c r="L64" s="319"/>
      <c r="M64" s="320"/>
      <c r="N64" s="320"/>
      <c r="O64" s="320"/>
      <c r="P64" s="320"/>
      <c r="Q64" s="321"/>
      <c r="AE64" s="322"/>
    </row>
    <row r="65" spans="12:22" ht="30">
      <c r="L65" s="323"/>
      <c r="M65" s="324" t="s">
        <v>173</v>
      </c>
      <c r="N65" s="324" t="s">
        <v>1024</v>
      </c>
      <c r="O65" s="325" t="s">
        <v>1047</v>
      </c>
      <c r="P65" s="325" t="s">
        <v>2328</v>
      </c>
      <c r="Q65" s="326" t="s">
        <v>2329</v>
      </c>
    </row>
    <row r="66" spans="12:22">
      <c r="L66" s="327" t="s">
        <v>2298</v>
      </c>
      <c r="M66" s="328">
        <f>+SUMIF($AL:$AL,L66,$AE:$AE)</f>
        <v>2011290</v>
      </c>
      <c r="N66" s="329">
        <f>+N31</f>
        <v>10</v>
      </c>
      <c r="O66" s="328">
        <f t="shared" ref="O66:O68" si="12">+M66/N66</f>
        <v>201129</v>
      </c>
      <c r="P66" s="330">
        <f t="shared" ref="P66:P68" si="13">+O66</f>
        <v>201129</v>
      </c>
      <c r="Q66" s="331">
        <f t="shared" ref="Q66:Q68" si="14">+M66-P66</f>
        <v>1810161</v>
      </c>
      <c r="V66" s="332"/>
    </row>
    <row r="67" spans="12:22">
      <c r="L67" s="327" t="s">
        <v>2190</v>
      </c>
      <c r="M67" s="328">
        <f>+SUMIF($AL:$AL,L67,$AE:$AE)</f>
        <v>669266</v>
      </c>
      <c r="N67" s="329">
        <f>+N37</f>
        <v>10</v>
      </c>
      <c r="O67" s="328">
        <f t="shared" si="12"/>
        <v>66926.600000000006</v>
      </c>
      <c r="P67" s="330">
        <f t="shared" si="13"/>
        <v>66926.600000000006</v>
      </c>
      <c r="Q67" s="331">
        <f t="shared" si="14"/>
        <v>602339.4</v>
      </c>
      <c r="V67" s="332"/>
    </row>
    <row r="68" spans="12:22">
      <c r="L68" s="462" t="s">
        <v>2366</v>
      </c>
      <c r="M68" s="463">
        <f>+SUM(R38:Z38)</f>
        <v>555000</v>
      </c>
      <c r="N68" s="464">
        <f>(10+7)/2</f>
        <v>8.5</v>
      </c>
      <c r="O68" s="463">
        <f t="shared" si="12"/>
        <v>65294.117647058825</v>
      </c>
      <c r="P68" s="465">
        <f t="shared" si="13"/>
        <v>65294.117647058825</v>
      </c>
      <c r="Q68" s="466">
        <f t="shared" si="14"/>
        <v>489705.8823529412</v>
      </c>
      <c r="R68" s="461"/>
      <c r="V68" s="332"/>
    </row>
    <row r="69" spans="12:22">
      <c r="L69" s="327" t="s">
        <v>919</v>
      </c>
      <c r="M69" s="328">
        <f>+'Depreciation Pivot 2021'!E40</f>
        <v>3900</v>
      </c>
      <c r="N69" s="329">
        <v>10</v>
      </c>
      <c r="O69" s="328">
        <f t="shared" ref="O69" si="15">+M69/N69</f>
        <v>390</v>
      </c>
      <c r="P69" s="330">
        <f t="shared" ref="P69" si="16">+O69</f>
        <v>390</v>
      </c>
      <c r="Q69" s="331">
        <f t="shared" ref="Q69" si="17">+M69-P69</f>
        <v>3510</v>
      </c>
    </row>
    <row r="70" spans="12:22">
      <c r="L70" s="327" t="s">
        <v>2345</v>
      </c>
      <c r="M70" s="328">
        <f>+'2022 Bud Capital Input 2184'!AE30</f>
        <v>144431</v>
      </c>
      <c r="N70" s="329">
        <f>+'2022 Bud Capital Input 2184'!N30</f>
        <v>12</v>
      </c>
      <c r="O70" s="328">
        <f t="shared" ref="O70:O71" si="18">+M70/N70</f>
        <v>12035.916666666666</v>
      </c>
      <c r="P70" s="330">
        <f t="shared" ref="P70:P71" si="19">+O70</f>
        <v>12035.916666666666</v>
      </c>
      <c r="Q70" s="331">
        <f t="shared" ref="Q70:Q71" si="20">+M70-P70</f>
        <v>132395.08333333334</v>
      </c>
    </row>
    <row r="71" spans="12:22">
      <c r="L71" s="327" t="s">
        <v>2346</v>
      </c>
      <c r="M71" s="328">
        <f>+'2022 Bud Capital Input 2184'!AE31</f>
        <v>961800</v>
      </c>
      <c r="N71" s="329">
        <f>+'2022 Bud Capital Input 2184'!N31</f>
        <v>10</v>
      </c>
      <c r="O71" s="328">
        <f t="shared" si="18"/>
        <v>96180</v>
      </c>
      <c r="P71" s="330">
        <f t="shared" si="19"/>
        <v>96180</v>
      </c>
      <c r="Q71" s="331">
        <f t="shared" si="20"/>
        <v>865620</v>
      </c>
    </row>
    <row r="72" spans="12:22">
      <c r="L72" s="327" t="s">
        <v>2365</v>
      </c>
      <c r="M72" s="335">
        <f>+'2021 Bud Capital Input 2183'!AE50+'2021 Bud Capital Input 2183'!AE51</f>
        <v>628694</v>
      </c>
      <c r="N72" s="336">
        <f>+'2021 Bud Capital Input 2183'!N50</f>
        <v>10</v>
      </c>
      <c r="O72" s="335">
        <f t="shared" ref="O72" si="21">+M72/N72</f>
        <v>62869.4</v>
      </c>
      <c r="P72" s="337">
        <f t="shared" ref="P72" si="22">+O72</f>
        <v>62869.4</v>
      </c>
      <c r="Q72" s="338">
        <f t="shared" ref="Q72" si="23">+M72-P72</f>
        <v>565824.6</v>
      </c>
    </row>
    <row r="73" spans="12:22" ht="15.75" thickBot="1">
      <c r="L73" s="339"/>
      <c r="M73" s="333">
        <f>+SUM(M66:M72)</f>
        <v>4974381</v>
      </c>
      <c r="N73" s="340"/>
      <c r="O73" s="333">
        <f>+SUM(O66:O72)</f>
        <v>504825.03431372548</v>
      </c>
      <c r="P73" s="333">
        <f>+SUM(P66:P72)</f>
        <v>504825.03431372548</v>
      </c>
      <c r="Q73" s="334">
        <f>+SUM(Q66:Q72)</f>
        <v>4469555.9656862747</v>
      </c>
      <c r="V73" s="332"/>
    </row>
    <row r="78" spans="12:22">
      <c r="L78" s="332"/>
      <c r="M78" s="332"/>
    </row>
  </sheetData>
  <conditionalFormatting sqref="AZ6">
    <cfRule type="cellIs" dxfId="29" priority="10" operator="equal">
      <formula>"Fix!"</formula>
    </cfRule>
  </conditionalFormatting>
  <conditionalFormatting sqref="BD6">
    <cfRule type="cellIs" dxfId="28" priority="8" operator="equal">
      <formula>"Review"</formula>
    </cfRule>
    <cfRule type="cellIs" dxfId="27" priority="9" operator="equal">
      <formula>"Fix!"</formula>
    </cfRule>
  </conditionalFormatting>
  <conditionalFormatting sqref="AS6">
    <cfRule type="cellIs" dxfId="26" priority="7" operator="equal">
      <formula>"Review"</formula>
    </cfRule>
  </conditionalFormatting>
  <conditionalFormatting sqref="AZ30:AZ59">
    <cfRule type="cellIs" dxfId="25" priority="5" operator="equal">
      <formula>"Fix!"</formula>
    </cfRule>
  </conditionalFormatting>
  <conditionalFormatting sqref="AV6">
    <cfRule type="cellIs" dxfId="24" priority="6" operator="equal">
      <formula>"Fix!"</formula>
    </cfRule>
  </conditionalFormatting>
  <conditionalFormatting sqref="BD30:BD59">
    <cfRule type="cellIs" dxfId="23" priority="3" operator="equal">
      <formula>"Review"</formula>
    </cfRule>
    <cfRule type="cellIs" dxfId="22" priority="4" operator="equal">
      <formula>"Fix!"</formula>
    </cfRule>
  </conditionalFormatting>
  <conditionalFormatting sqref="AV30:AV59">
    <cfRule type="cellIs" dxfId="21" priority="1" operator="equal">
      <formula>"Fix!"</formula>
    </cfRule>
  </conditionalFormatting>
  <conditionalFormatting sqref="AS30:AS59">
    <cfRule type="cellIs" dxfId="20" priority="2" operator="equal">
      <formula>"Review"</formula>
    </cfRule>
  </conditionalFormatting>
  <dataValidations count="5">
    <dataValidation type="list" allowBlank="1" showInputMessage="1" showErrorMessage="1" sqref="E6 E30:E59">
      <formula1>"Delete!"</formula1>
    </dataValidation>
    <dataValidation type="list" allowBlank="1" showInputMessage="1" showErrorMessage="1" sqref="O6 O30:O59">
      <formula1>"A,R"</formula1>
    </dataValidation>
    <dataValidation type="list" allowBlank="1" showInputMessage="1" showErrorMessage="1" sqref="P6 P30:P59">
      <formula1>"N,U"</formula1>
    </dataValidation>
    <dataValidation type="list" allowBlank="1" showInputMessage="1" showErrorMessage="1" sqref="I15">
      <formula1>H19</formula1>
    </dataValidation>
    <dataValidation type="list" allowBlank="1" showInputMessage="1" showErrorMessage="1" sqref="Q30:Q59">
      <formula1>",,12020,12038,12039,12041,12042,12043,12048,12999,13000"</formula1>
    </dataValidation>
  </dataValidations>
  <pageMargins left="0.25" right="0.25" top="0.25" bottom="0.25" header="0.3" footer="0.3"/>
  <pageSetup scale="31"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INDIRECT(VLOOKUP($L6,'C:\Users\lindsaywa\AppData\Local\Interject\FileCache\[Budget Capital Input v2.20.xlsx]Reference'!#REF!,4,FALSE))</xm:f>
          </x14:formula1>
          <xm:sqref>M6 M30:M59</xm:sqref>
        </x14:dataValidation>
        <x14:dataValidation type="list" allowBlank="1" showInputMessage="1" showErrorMessage="1">
          <x14:formula1>
            <xm:f>INDIRECT(VLOOKUP($L6&amp;":"&amp;$M6,'C:\Users\lindsaywa\AppData\Local\Interject\FileCache\[Budget Capital Input v2.20.xlsx]Reference'!#REF!,4,FALSE))</xm:f>
          </x14:formula1>
          <xm:sqref>N6 N30:N59</xm:sqref>
        </x14:dataValidation>
        <x14:dataValidation type="list" allowBlank="1" showInputMessage="1" showErrorMessage="1">
          <x14:formula1>
            <xm:f>'C:\Users\lindsaywa\AppData\Local\Interject\FileCache\[Budget Capital Input v2.20.xlsx]AssetTypeList'!#REF!</xm:f>
          </x14:formula1>
          <xm:sqref>L30:L59 L6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BD73"/>
  <sheetViews>
    <sheetView showGridLines="0" view="pageBreakPreview" topLeftCell="D22" zoomScale="60" zoomScaleNormal="80" workbookViewId="0">
      <pane xSplit="5" ySplit="7" topLeftCell="I44" activePane="bottomRight" state="frozen"/>
      <selection activeCell="D22" sqref="D22"/>
      <selection pane="topRight" activeCell="I22" sqref="I22"/>
      <selection pane="bottomLeft" activeCell="D29" sqref="D29"/>
      <selection pane="bottomRight" activeCell="AM58" sqref="AM58"/>
    </sheetView>
  </sheetViews>
  <sheetFormatPr defaultRowHeight="15" outlineLevelCol="1"/>
  <cols>
    <col min="1" max="2" width="9.140625" style="392"/>
    <col min="3" max="3" width="12.140625" style="392" customWidth="1"/>
    <col min="4" max="4" width="1.42578125" style="392" customWidth="1"/>
    <col min="5" max="5" width="10.42578125" style="392" customWidth="1"/>
    <col min="6" max="6" width="6" style="392" customWidth="1"/>
    <col min="7" max="7" width="5.42578125" style="392" customWidth="1"/>
    <col min="8" max="8" width="27.7109375" style="392" customWidth="1"/>
    <col min="9" max="9" width="49.5703125" style="392" customWidth="1" outlineLevel="1"/>
    <col min="10" max="10" width="45.140625" style="392" customWidth="1" outlineLevel="1"/>
    <col min="11" max="11" width="2.85546875" style="392" customWidth="1"/>
    <col min="12" max="12" width="35.28515625" style="392" bestFit="1" customWidth="1"/>
    <col min="13" max="13" width="28.85546875" style="392" bestFit="1" customWidth="1"/>
    <col min="14" max="14" width="5.7109375" style="392" customWidth="1"/>
    <col min="15" max="15" width="5.5703125" style="392" customWidth="1"/>
    <col min="16" max="16" width="5.140625" style="392" customWidth="1"/>
    <col min="17" max="17" width="9.140625" style="392"/>
    <col min="18" max="29" width="10" style="392" customWidth="1" outlineLevel="1"/>
    <col min="30" max="30" width="0.7109375" style="392" customWidth="1" outlineLevel="1"/>
    <col min="31" max="31" width="13.28515625" style="392" customWidth="1"/>
    <col min="32" max="32" width="0.85546875" style="392" customWidth="1"/>
    <col min="33" max="33" width="9.140625" style="392" hidden="1" customWidth="1" outlineLevel="1"/>
    <col min="34" max="34" width="42.140625" style="392" hidden="1" customWidth="1" outlineLevel="1"/>
    <col min="35" max="35" width="46.42578125" style="392" hidden="1" customWidth="1" outlineLevel="1"/>
    <col min="36" max="37" width="9.140625" style="392" hidden="1" customWidth="1" outlineLevel="1"/>
    <col min="38" max="38" width="2.7109375" style="392" customWidth="1" collapsed="1"/>
    <col min="39" max="39" width="26.7109375" style="392" customWidth="1"/>
    <col min="40" max="40" width="1.42578125" style="392" customWidth="1"/>
    <col min="41" max="41" width="58" style="392" customWidth="1"/>
    <col min="42" max="43" width="9.140625" style="392"/>
    <col min="44" max="44" width="49.28515625" style="392" customWidth="1"/>
    <col min="45" max="45" width="6.85546875" style="392" customWidth="1"/>
    <col min="46" max="46" width="1.42578125" style="392" customWidth="1"/>
    <col min="47" max="47" width="13" style="392" bestFit="1" customWidth="1"/>
    <col min="48" max="48" width="7.7109375" style="392" customWidth="1"/>
    <col min="49" max="49" width="1.28515625" style="392" customWidth="1"/>
    <col min="50" max="50" width="20.5703125" style="392" customWidth="1"/>
    <col min="51" max="51" width="19.42578125" style="392" bestFit="1" customWidth="1"/>
    <col min="52" max="52" width="6.85546875" style="392" customWidth="1"/>
    <col min="53" max="53" width="1.42578125" style="392" customWidth="1"/>
    <col min="54" max="54" width="15.42578125" style="392" customWidth="1"/>
    <col min="55" max="55" width="10.5703125" style="392" customWidth="1"/>
    <col min="56" max="16384" width="9.140625" style="392"/>
  </cols>
  <sheetData>
    <row r="1" spans="1:56" s="391" customFormat="1">
      <c r="D1" s="391" t="s">
        <v>2194</v>
      </c>
      <c r="AT1" s="392"/>
      <c r="AW1" s="392"/>
      <c r="BA1" s="392"/>
    </row>
    <row r="2" spans="1:56">
      <c r="C2" s="393"/>
      <c r="D2" s="394"/>
      <c r="E2" s="393"/>
      <c r="F2" s="393"/>
      <c r="G2" s="393"/>
      <c r="H2" s="395"/>
      <c r="I2" s="395"/>
      <c r="J2" s="395"/>
      <c r="L2" s="393"/>
      <c r="M2" s="393"/>
      <c r="N2" s="393"/>
      <c r="O2" s="393"/>
      <c r="P2" s="393"/>
      <c r="Q2" s="393" t="s">
        <v>2195</v>
      </c>
      <c r="R2" s="393"/>
      <c r="S2" s="393"/>
      <c r="T2" s="393"/>
      <c r="U2" s="393"/>
      <c r="V2" s="393"/>
      <c r="W2" s="393"/>
      <c r="X2" s="393"/>
      <c r="Y2" s="393"/>
      <c r="Z2" s="393"/>
      <c r="AA2" s="393"/>
      <c r="AB2" s="393"/>
      <c r="AC2" s="393"/>
      <c r="AG2" s="393"/>
      <c r="AH2" s="393"/>
      <c r="AI2" s="393"/>
      <c r="AJ2" s="393"/>
      <c r="AK2" s="393"/>
      <c r="AM2" s="393"/>
      <c r="AO2" s="393"/>
    </row>
    <row r="3" spans="1:56">
      <c r="A3" s="392" t="s">
        <v>2196</v>
      </c>
      <c r="B3" s="392" t="s">
        <v>2197</v>
      </c>
      <c r="C3" s="393" t="s">
        <v>2198</v>
      </c>
      <c r="D3" s="394"/>
      <c r="E3" s="393" t="s">
        <v>2199</v>
      </c>
      <c r="F3" s="393" t="s">
        <v>2200</v>
      </c>
      <c r="G3" s="393" t="s">
        <v>2201</v>
      </c>
      <c r="H3" s="395" t="s">
        <v>2202</v>
      </c>
      <c r="I3" s="395" t="s">
        <v>2203</v>
      </c>
      <c r="J3" s="395" t="s">
        <v>2204</v>
      </c>
      <c r="L3" s="393" t="s">
        <v>2205</v>
      </c>
      <c r="M3" s="393" t="s">
        <v>2206</v>
      </c>
      <c r="N3" s="393" t="s">
        <v>2207</v>
      </c>
      <c r="O3" s="393" t="s">
        <v>2208</v>
      </c>
      <c r="P3" s="393" t="s">
        <v>2209</v>
      </c>
      <c r="Q3" s="393" t="s">
        <v>2210</v>
      </c>
      <c r="R3" s="393" t="s">
        <v>2211</v>
      </c>
      <c r="S3" s="393" t="s">
        <v>2212</v>
      </c>
      <c r="T3" s="393" t="s">
        <v>2213</v>
      </c>
      <c r="U3" s="393" t="s">
        <v>2214</v>
      </c>
      <c r="V3" s="393" t="s">
        <v>2215</v>
      </c>
      <c r="W3" s="393" t="s">
        <v>2216</v>
      </c>
      <c r="X3" s="393" t="s">
        <v>2217</v>
      </c>
      <c r="Y3" s="393" t="s">
        <v>2218</v>
      </c>
      <c r="Z3" s="393" t="s">
        <v>2219</v>
      </c>
      <c r="AA3" s="393" t="s">
        <v>2220</v>
      </c>
      <c r="AB3" s="393" t="s">
        <v>2221</v>
      </c>
      <c r="AC3" s="393" t="s">
        <v>2222</v>
      </c>
      <c r="AG3" s="393" t="s">
        <v>2223</v>
      </c>
      <c r="AH3" s="393"/>
      <c r="AI3" s="393" t="s">
        <v>2224</v>
      </c>
      <c r="AJ3" s="393" t="s">
        <v>2225</v>
      </c>
      <c r="AK3" s="393" t="s">
        <v>2226</v>
      </c>
      <c r="AM3" s="393" t="s">
        <v>2227</v>
      </c>
      <c r="AO3" s="393"/>
    </row>
    <row r="4" spans="1:56">
      <c r="C4" s="392" t="s">
        <v>2197</v>
      </c>
      <c r="D4" s="394"/>
      <c r="E4" s="393"/>
      <c r="F4" s="393"/>
      <c r="G4" s="393" t="s">
        <v>2201</v>
      </c>
      <c r="H4" s="395"/>
      <c r="I4" s="395"/>
      <c r="J4" s="395"/>
      <c r="L4" s="393"/>
      <c r="M4" s="393"/>
      <c r="N4" s="393"/>
      <c r="O4" s="393"/>
      <c r="P4" s="393"/>
      <c r="Q4" s="393"/>
      <c r="R4" s="393"/>
      <c r="S4" s="393"/>
      <c r="T4" s="393"/>
      <c r="U4" s="393"/>
      <c r="V4" s="393"/>
      <c r="W4" s="393"/>
      <c r="X4" s="393"/>
      <c r="Y4" s="393"/>
      <c r="Z4" s="393"/>
      <c r="AA4" s="393"/>
      <c r="AB4" s="393"/>
      <c r="AC4" s="393"/>
      <c r="AG4" s="393"/>
      <c r="AH4" s="393"/>
      <c r="AI4" s="393"/>
      <c r="AJ4" s="393"/>
      <c r="AK4" s="393"/>
      <c r="AM4" s="393"/>
      <c r="AO4" s="393" t="s">
        <v>2228</v>
      </c>
    </row>
    <row r="5" spans="1:56" s="391" customFormat="1">
      <c r="D5" s="391" t="s">
        <v>2229</v>
      </c>
      <c r="AT5" s="392"/>
      <c r="AW5" s="392"/>
      <c r="BA5" s="392"/>
    </row>
    <row r="6" spans="1:56">
      <c r="A6" s="392" t="b">
        <f>IF(AND(C6&lt;&gt;"", B6&lt;&gt;C6),TRUE, FALSE)</f>
        <v>0</v>
      </c>
      <c r="B6" s="392" t="str">
        <f>IF(RIGHT("0000"&amp;F6,4)&amp;"-"&amp;G6 &lt;&gt; "0000-", RIGHT("0000"&amp;F6,4)&amp;"-"&amp;G6, "")</f>
        <v/>
      </c>
      <c r="C6" s="396"/>
      <c r="D6" s="397">
        <v>1</v>
      </c>
      <c r="E6" s="230"/>
      <c r="F6" s="231"/>
      <c r="G6" s="232"/>
      <c r="H6" s="233"/>
      <c r="I6" s="233"/>
      <c r="J6" s="233"/>
      <c r="K6" s="234"/>
      <c r="L6" s="235"/>
      <c r="M6" s="235"/>
      <c r="N6" s="236"/>
      <c r="O6" s="237"/>
      <c r="P6" s="237"/>
      <c r="Q6" s="238"/>
      <c r="R6" s="398"/>
      <c r="S6" s="399"/>
      <c r="T6" s="399"/>
      <c r="U6" s="399"/>
      <c r="V6" s="399"/>
      <c r="W6" s="399"/>
      <c r="X6" s="399"/>
      <c r="Y6" s="399"/>
      <c r="Z6" s="399"/>
      <c r="AA6" s="399"/>
      <c r="AB6" s="399"/>
      <c r="AC6" s="400"/>
      <c r="AD6" s="242"/>
      <c r="AE6" s="401">
        <f>SUM(R6:AC6)</f>
        <v>0</v>
      </c>
      <c r="AG6" s="236"/>
      <c r="AH6" s="244"/>
      <c r="AI6" s="245"/>
      <c r="AJ6" s="236"/>
      <c r="AK6" s="232"/>
      <c r="AL6" s="402"/>
      <c r="AM6" s="247"/>
      <c r="AN6" s="403" t="s">
        <v>45</v>
      </c>
      <c r="AO6" s="404"/>
      <c r="AP6" s="402"/>
      <c r="AQ6" s="405" t="str">
        <f>IF(Q6="", "", Q6)</f>
        <v/>
      </c>
      <c r="AR6" s="405" t="str">
        <f>IFERROR(VLOOKUP($AQ6,[19]TruckCenterReference!$C$22:$I28,3,FALSE), "")</f>
        <v/>
      </c>
      <c r="AS6" s="406" t="str">
        <f>IF(Q6&lt;&gt;"",IF(AR6&lt;&gt;H6,"Review","ok"), "")</f>
        <v/>
      </c>
      <c r="AT6" s="407"/>
      <c r="AU6" s="408" t="str">
        <f>IFERROR(VLOOKUP($AQ6,[19]TruckCenterReference!$C$22:$I28,4,FALSE), "")</f>
        <v/>
      </c>
      <c r="AV6" s="406" t="str">
        <f>IF(Q6="","", IF($AU6&lt;&gt;$P6, "Fix!", "ok"))</f>
        <v/>
      </c>
      <c r="AX6" s="405" t="str">
        <f>IFERROR(VLOOKUP(M6,SubtypeToTruckType,2,FALSE),"")</f>
        <v/>
      </c>
      <c r="AY6" s="409" t="str">
        <f>IFERROR(VLOOKUP($AQ6,[19]TruckCenterReference!$C$22:$I28,6,FALSE), "")</f>
        <v/>
      </c>
      <c r="AZ6" s="406" t="str">
        <f>IF(Q6&lt;&gt;"",IF(AX6&lt;&gt;AY6,"Fix!","ok"), "")</f>
        <v/>
      </c>
      <c r="BA6" s="407"/>
      <c r="BB6" s="408">
        <f>IFERROR(VLOOKUP($AQ6,[19]TruckCenterReference!$C$22:$I28,7,FALSE), 0)</f>
        <v>0</v>
      </c>
      <c r="BC6" s="410" t="str">
        <f>IF(BB6&lt;&gt;0,BB6-AE6,"")</f>
        <v/>
      </c>
      <c r="BD6" s="406" t="str">
        <f>IF(Q6="","",IF(ABS(BC6)&gt;100,IF(RIGHT(M6,4)="Body","Review","Fix!"),"ok"))</f>
        <v/>
      </c>
    </row>
    <row r="7" spans="1:56" s="391" customFormat="1">
      <c r="D7" s="391" t="s">
        <v>2230</v>
      </c>
      <c r="AT7" s="392"/>
      <c r="AW7" s="392"/>
      <c r="BA7" s="392"/>
    </row>
    <row r="8" spans="1:56" s="393" customFormat="1">
      <c r="C8" s="411"/>
      <c r="D8" s="411"/>
      <c r="E8" s="411"/>
      <c r="F8" s="412" t="s">
        <v>2231</v>
      </c>
      <c r="G8" s="411"/>
      <c r="H8" s="411"/>
      <c r="I8" s="411"/>
      <c r="J8" s="411"/>
      <c r="K8" s="411"/>
      <c r="L8" s="411" t="str">
        <f ca="1">_xll.jFreezePanes(I29,D22)</f>
        <v xml:space="preserve">&gt; jFreezePanes is ready. </v>
      </c>
      <c r="M8" s="411"/>
      <c r="N8" s="411"/>
      <c r="AT8" s="392"/>
      <c r="AW8" s="392"/>
      <c r="BA8" s="392"/>
    </row>
    <row r="9" spans="1:56" s="393" customFormat="1">
      <c r="C9" s="411"/>
      <c r="D9" s="411"/>
      <c r="E9" s="413" t="s">
        <v>2232</v>
      </c>
      <c r="F9" s="411" t="str">
        <f ca="1">_xll.ReportDefaults("Pull","Clear",_xll.PairGroup(_xll.Pair("",H18)))</f>
        <v>OK!: ReportDefaults Formula OK [jAction{}]</v>
      </c>
      <c r="G9" s="411"/>
      <c r="H9" s="411"/>
      <c r="I9" s="411"/>
      <c r="J9" s="411"/>
      <c r="K9" s="413" t="s">
        <v>2233</v>
      </c>
      <c r="L9" s="411" t="str">
        <f ca="1">_xll.ReportDrill(,"CCQueryDrill",_xll.PairGroup(_xll.Pair(K18,"SummaryLevel"),_xll.Pair(H24,"BudYear"),_xll.Pair(H23,"DistrictCell"),_xll.Pair(C30:C83,"PONumber"),_xll.Pair(F20:AO20)),"Drill to CC Query for Change History")</f>
        <v>OK!: ReportDrill 'Drill to CC Query for Change History' Formula OK [jAction{}]</v>
      </c>
      <c r="M9" s="411"/>
      <c r="N9" s="411"/>
      <c r="AT9" s="392"/>
      <c r="AW9" s="392"/>
      <c r="BA9" s="392"/>
    </row>
    <row r="10" spans="1:56" s="393" customFormat="1">
      <c r="C10" s="411"/>
      <c r="D10" s="411"/>
      <c r="E10" s="414" t="s">
        <v>2234</v>
      </c>
      <c r="F10" s="393" t="str">
        <f>_xll.ReportRun([19]AssetTypeList!C7,FALSE,"Pull")</f>
        <v>OK!: ReportRun Formula OK [jAction{}]</v>
      </c>
      <c r="H10" s="411"/>
      <c r="I10" s="411"/>
      <c r="J10" s="411"/>
      <c r="K10" s="413"/>
      <c r="L10" s="411"/>
      <c r="M10" s="411"/>
      <c r="N10" s="411"/>
      <c r="AT10" s="392"/>
      <c r="AW10" s="392"/>
      <c r="BA10" s="392"/>
    </row>
    <row r="11" spans="1:56" s="393" customFormat="1">
      <c r="C11" s="411"/>
      <c r="D11" s="411"/>
      <c r="E11" s="413" t="s">
        <v>2235</v>
      </c>
      <c r="F11" s="411" t="str">
        <f ca="1">_xll.ReportRange("BudgetCapitalDetailPull",30:57,C3:BC3,C6:BC6,_xll.Param(H23,H24,H18,N18,K19))</f>
        <v>OK!: ReportRange Formula OK [jAction{}]</v>
      </c>
      <c r="G11" s="411"/>
      <c r="H11" s="411"/>
      <c r="I11" s="411"/>
      <c r="M11" s="411"/>
      <c r="N11" s="411"/>
      <c r="AG11" s="393" t="s">
        <v>2223</v>
      </c>
      <c r="AH11" s="393" t="s">
        <v>2236</v>
      </c>
      <c r="AT11" s="392"/>
      <c r="AW11" s="392"/>
      <c r="BA11" s="392"/>
    </row>
    <row r="12" spans="1:56" s="393" customFormat="1">
      <c r="C12" s="411"/>
      <c r="D12" s="411"/>
      <c r="E12" s="413" t="s">
        <v>2237</v>
      </c>
      <c r="F12" s="415" t="str">
        <f ca="1">_xll.ReportFixed("BudCap1",AG30:AG57,AG11:AH11,_xll.Param(DetailBudYear, DetailDistrict))</f>
        <v>OK!: ReportFixed Formula OK [jAction{}]</v>
      </c>
      <c r="G12" s="411"/>
      <c r="H12" s="411"/>
      <c r="I12" s="415"/>
      <c r="M12" s="411"/>
      <c r="N12" s="411"/>
      <c r="AT12" s="392"/>
      <c r="AW12" s="392"/>
      <c r="BA12" s="392"/>
    </row>
    <row r="13" spans="1:56" s="393" customFormat="1">
      <c r="C13" s="411"/>
      <c r="D13" s="411"/>
      <c r="E13" s="413"/>
      <c r="F13" s="415" t="str">
        <f>_xll.ReportRun([19]TruckCenterReference!F15,,"Pull")</f>
        <v>OK!: ReportRun Formula OK [jAction{}]</v>
      </c>
      <c r="G13" s="411"/>
      <c r="H13" s="411"/>
      <c r="I13" s="415"/>
      <c r="M13" s="411"/>
      <c r="N13" s="411"/>
      <c r="AT13" s="392"/>
      <c r="AW13" s="392"/>
      <c r="BA13" s="392"/>
    </row>
    <row r="14" spans="1:56" s="393" customFormat="1">
      <c r="C14" s="411"/>
      <c r="D14" s="411"/>
      <c r="E14" s="416"/>
      <c r="F14" s="412" t="s">
        <v>2238</v>
      </c>
      <c r="G14" s="411"/>
      <c r="H14" s="411"/>
      <c r="I14" s="411"/>
      <c r="J14" s="411"/>
      <c r="K14" s="413"/>
      <c r="L14" s="411"/>
      <c r="M14" s="411"/>
      <c r="N14" s="411"/>
      <c r="AT14" s="392"/>
      <c r="AW14" s="392"/>
      <c r="BA14" s="392"/>
    </row>
    <row r="15" spans="1:56" s="393" customFormat="1">
      <c r="C15" s="411"/>
      <c r="D15" s="411"/>
      <c r="E15" s="413" t="s">
        <v>2239</v>
      </c>
      <c r="F15" s="411" t="str">
        <f ca="1">_xll.ReportSave("BudgetCapitalDetailSave",B30:B57,A3:AM3,C4:AO4,_xll.Param(H23,H24,H18,N18))</f>
        <v>OK!: ReportSave Formula OK [jAction{}]</v>
      </c>
      <c r="G15" s="411"/>
      <c r="H15" s="411"/>
      <c r="I15" s="411"/>
      <c r="J15" s="411"/>
      <c r="K15" s="411"/>
      <c r="L15" s="411"/>
      <c r="M15" s="411"/>
      <c r="N15" s="411"/>
      <c r="AT15" s="392"/>
      <c r="AW15" s="392"/>
      <c r="BA15" s="392"/>
    </row>
    <row r="16" spans="1:56" s="393" customFormat="1">
      <c r="AT16" s="392"/>
      <c r="AW16" s="392"/>
      <c r="BA16" s="392"/>
    </row>
    <row r="17" spans="1:56" s="391" customFormat="1">
      <c r="D17" s="391" t="s">
        <v>2240</v>
      </c>
      <c r="M17" s="417"/>
      <c r="AT17" s="392"/>
      <c r="AW17" s="392"/>
      <c r="BA17" s="392"/>
    </row>
    <row r="18" spans="1:56" s="394" customFormat="1">
      <c r="A18" s="418" t="s">
        <v>2241</v>
      </c>
      <c r="B18" s="419" t="b">
        <f>IFERROR(OR(A30:A57),FALSE)</f>
        <v>0</v>
      </c>
      <c r="G18" s="414" t="s">
        <v>2242</v>
      </c>
      <c r="H18" s="420" t="s">
        <v>2348</v>
      </c>
      <c r="J18" s="414" t="s">
        <v>2244</v>
      </c>
      <c r="K18" s="420" t="s">
        <v>2245</v>
      </c>
      <c r="L18" s="420"/>
      <c r="M18" s="414" t="s">
        <v>2246</v>
      </c>
      <c r="N18" s="420">
        <v>2</v>
      </c>
      <c r="AT18" s="392"/>
      <c r="AW18" s="392"/>
      <c r="BA18" s="392"/>
    </row>
    <row r="19" spans="1:56" s="394" customFormat="1">
      <c r="A19" s="418"/>
      <c r="B19" s="419" t="str">
        <f>IF(B18=TRUE,"Save","SkipRePull")</f>
        <v>SkipRePull</v>
      </c>
      <c r="I19" s="411"/>
      <c r="J19" s="413" t="s">
        <v>2247</v>
      </c>
      <c r="K19" s="420" t="s">
        <v>2248</v>
      </c>
      <c r="L19" s="420"/>
      <c r="M19" s="414"/>
      <c r="N19" s="414"/>
      <c r="AT19" s="392"/>
      <c r="AW19" s="392"/>
      <c r="BA19" s="392"/>
    </row>
    <row r="20" spans="1:56" s="393" customFormat="1">
      <c r="F20" s="393" t="s">
        <v>2249</v>
      </c>
      <c r="G20" s="393" t="s">
        <v>2249</v>
      </c>
      <c r="H20" s="393" t="s">
        <v>2249</v>
      </c>
      <c r="I20" s="393" t="s">
        <v>2249</v>
      </c>
      <c r="J20" s="393" t="s">
        <v>2249</v>
      </c>
      <c r="K20" s="414"/>
      <c r="L20" s="393" t="s">
        <v>2249</v>
      </c>
      <c r="M20" s="393" t="s">
        <v>2249</v>
      </c>
      <c r="N20" s="393" t="s">
        <v>2249</v>
      </c>
      <c r="O20" s="393" t="s">
        <v>2249</v>
      </c>
      <c r="P20" s="393" t="s">
        <v>2249</v>
      </c>
      <c r="Q20" s="393" t="s">
        <v>2249</v>
      </c>
      <c r="R20" s="393" t="s">
        <v>2249</v>
      </c>
      <c r="S20" s="393" t="s">
        <v>2249</v>
      </c>
      <c r="T20" s="393" t="s">
        <v>2249</v>
      </c>
      <c r="U20" s="393" t="s">
        <v>2249</v>
      </c>
      <c r="V20" s="393" t="s">
        <v>2249</v>
      </c>
      <c r="W20" s="393" t="s">
        <v>2249</v>
      </c>
      <c r="X20" s="393" t="s">
        <v>2249</v>
      </c>
      <c r="Y20" s="393" t="s">
        <v>2249</v>
      </c>
      <c r="Z20" s="393" t="s">
        <v>2249</v>
      </c>
      <c r="AA20" s="393" t="s">
        <v>2249</v>
      </c>
      <c r="AB20" s="393" t="s">
        <v>2249</v>
      </c>
      <c r="AC20" s="393" t="s">
        <v>2249</v>
      </c>
      <c r="AE20" s="393" t="s">
        <v>2249</v>
      </c>
      <c r="AG20" s="393" t="s">
        <v>2249</v>
      </c>
      <c r="AJ20" s="393" t="s">
        <v>2249</v>
      </c>
      <c r="AK20" s="393" t="s">
        <v>2249</v>
      </c>
      <c r="AM20" s="393" t="s">
        <v>2249</v>
      </c>
      <c r="AO20" s="393" t="s">
        <v>2249</v>
      </c>
      <c r="AT20" s="392"/>
      <c r="AW20" s="392"/>
      <c r="BA20" s="392"/>
    </row>
    <row r="21" spans="1:56" s="391" customFormat="1">
      <c r="D21" s="391" t="s">
        <v>2250</v>
      </c>
      <c r="AT21" s="392"/>
      <c r="AW21" s="392"/>
      <c r="BA21" s="392"/>
    </row>
    <row r="22" spans="1:56">
      <c r="E22" s="266"/>
      <c r="F22" s="266"/>
      <c r="G22" s="266"/>
      <c r="H22" s="266"/>
      <c r="I22" s="266"/>
      <c r="J22" s="266"/>
      <c r="K22" s="266"/>
      <c r="L22" s="266"/>
      <c r="M22" s="266"/>
      <c r="N22" s="242"/>
      <c r="O22" s="242"/>
      <c r="P22" s="242"/>
      <c r="Q22" s="242"/>
      <c r="R22" s="266"/>
      <c r="S22" s="266"/>
      <c r="T22" s="266"/>
      <c r="U22" s="266"/>
      <c r="V22" s="266"/>
      <c r="W22" s="266"/>
      <c r="X22" s="266"/>
      <c r="Y22" s="266"/>
      <c r="Z22" s="266"/>
      <c r="AA22" s="266"/>
      <c r="AB22" s="266"/>
      <c r="AC22" s="266"/>
      <c r="AD22" s="266"/>
      <c r="AE22" s="266"/>
      <c r="AG22" s="242"/>
      <c r="AH22" s="242"/>
      <c r="AI22" s="242"/>
      <c r="AJ22" s="242"/>
      <c r="AK22" s="242"/>
      <c r="AM22" s="242"/>
    </row>
    <row r="23" spans="1:56" ht="15.75">
      <c r="E23" s="421"/>
      <c r="F23" s="422"/>
      <c r="G23" s="423" t="s">
        <v>2251</v>
      </c>
      <c r="H23" s="270" t="s">
        <v>999</v>
      </c>
      <c r="I23" s="271" t="s">
        <v>2252</v>
      </c>
      <c r="K23" s="272"/>
      <c r="M23" s="273"/>
      <c r="N23" s="242"/>
      <c r="O23" s="242"/>
      <c r="P23" s="242"/>
      <c r="Q23" s="242"/>
      <c r="R23" s="266"/>
      <c r="S23" s="266"/>
      <c r="T23" s="266"/>
      <c r="U23" s="266"/>
      <c r="V23" s="266"/>
      <c r="W23" s="266"/>
      <c r="X23" s="266"/>
      <c r="Y23" s="266"/>
      <c r="Z23" s="266"/>
      <c r="AA23" s="266"/>
      <c r="AB23" s="266"/>
      <c r="AC23" s="266"/>
      <c r="AD23" s="266"/>
      <c r="AE23" s="424"/>
      <c r="AG23" s="242"/>
      <c r="AH23" s="242"/>
      <c r="AI23" s="242"/>
      <c r="AJ23" s="242"/>
      <c r="AK23" s="242"/>
      <c r="AM23" s="242"/>
    </row>
    <row r="24" spans="1:56" ht="15.75">
      <c r="E24" s="425"/>
      <c r="F24" s="426"/>
      <c r="G24" s="427" t="s">
        <v>2253</v>
      </c>
      <c r="H24" s="278">
        <v>2021</v>
      </c>
      <c r="I24" s="279"/>
      <c r="J24" s="279"/>
      <c r="K24" s="272"/>
      <c r="L24" s="280"/>
      <c r="M24" s="273"/>
      <c r="N24" s="242"/>
      <c r="R24" s="266"/>
      <c r="S24" s="266"/>
      <c r="T24" s="266"/>
      <c r="U24" s="266"/>
      <c r="V24" s="266"/>
      <c r="W24" s="266"/>
      <c r="X24" s="266"/>
      <c r="Y24" s="266"/>
      <c r="Z24" s="266"/>
      <c r="AA24" s="266"/>
      <c r="AB24" s="266"/>
      <c r="AC24" s="266"/>
      <c r="AD24" s="266"/>
      <c r="AG24" s="242"/>
      <c r="AH24" s="242"/>
      <c r="AI24" s="242"/>
      <c r="AJ24" s="242"/>
      <c r="AK24" s="242"/>
      <c r="AM24" s="242"/>
    </row>
    <row r="25" spans="1:56">
      <c r="E25" s="281"/>
      <c r="F25" s="281"/>
      <c r="G25" s="281"/>
      <c r="H25" s="266"/>
      <c r="I25" s="266"/>
      <c r="J25" s="266"/>
      <c r="K25" s="266"/>
      <c r="L25" s="280" t="s">
        <v>2254</v>
      </c>
      <c r="M25" s="266"/>
      <c r="N25" s="242"/>
      <c r="O25" s="242"/>
      <c r="P25" s="242"/>
      <c r="Q25" s="242"/>
      <c r="R25" s="266"/>
      <c r="S25" s="266"/>
      <c r="T25" s="266"/>
      <c r="U25" s="266"/>
      <c r="V25" s="266"/>
      <c r="W25" s="266"/>
      <c r="X25" s="266"/>
      <c r="Y25" s="266"/>
      <c r="Z25" s="266"/>
      <c r="AA25" s="266"/>
      <c r="AB25" s="266"/>
      <c r="AC25" s="266"/>
      <c r="AD25" s="266"/>
      <c r="AE25" s="266"/>
      <c r="AG25" s="242"/>
      <c r="AH25" s="242"/>
      <c r="AI25" s="242"/>
      <c r="AJ25" s="242"/>
      <c r="AK25" s="242"/>
      <c r="AM25" s="242"/>
      <c r="AQ25" s="428" t="s">
        <v>2255</v>
      </c>
      <c r="AR25" s="428"/>
      <c r="AX25" s="428"/>
    </row>
    <row r="26" spans="1:56" ht="15.75">
      <c r="E26" s="283" t="s">
        <v>2256</v>
      </c>
      <c r="F26" s="284"/>
      <c r="G26" s="284"/>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6"/>
      <c r="AQ26" s="287"/>
      <c r="AR26" s="287"/>
      <c r="AS26" s="287"/>
      <c r="AU26" s="287"/>
      <c r="AV26" s="287"/>
      <c r="AX26" s="287"/>
      <c r="AY26" s="287"/>
      <c r="AZ26" s="287"/>
      <c r="BB26" s="287"/>
      <c r="BC26" s="287"/>
      <c r="BD26" s="287"/>
    </row>
    <row r="27" spans="1:56">
      <c r="E27" s="288"/>
      <c r="F27" s="288"/>
      <c r="G27" s="288"/>
      <c r="H27" s="288"/>
      <c r="I27" s="288"/>
      <c r="J27" s="288"/>
      <c r="K27" s="288"/>
      <c r="L27" s="288"/>
      <c r="M27" s="288"/>
      <c r="N27" s="289"/>
      <c r="O27" s="289"/>
      <c r="P27" s="289"/>
      <c r="Q27" s="289"/>
      <c r="R27" s="290"/>
      <c r="S27" s="291"/>
      <c r="T27" s="291"/>
      <c r="U27" s="291"/>
      <c r="V27" s="291"/>
      <c r="W27" s="291"/>
      <c r="X27" s="291"/>
      <c r="Y27" s="291"/>
      <c r="Z27" s="291"/>
      <c r="AA27" s="291"/>
      <c r="AB27" s="291"/>
      <c r="AC27" s="291"/>
      <c r="AD27" s="291"/>
      <c r="AE27" s="242"/>
      <c r="AF27" s="291" t="s">
        <v>2257</v>
      </c>
      <c r="AG27" s="429"/>
      <c r="AH27" s="429"/>
      <c r="AI27" s="429"/>
      <c r="AJ27" s="429"/>
      <c r="AK27" s="429"/>
      <c r="AQ27" s="293"/>
      <c r="AR27" s="294" t="s">
        <v>2258</v>
      </c>
      <c r="AS27" s="295"/>
      <c r="AU27" s="295" t="s">
        <v>2259</v>
      </c>
      <c r="AV27" s="295"/>
      <c r="AX27" s="295" t="s">
        <v>2260</v>
      </c>
      <c r="AY27" s="295" t="s">
        <v>2260</v>
      </c>
      <c r="AZ27" s="295"/>
      <c r="BB27" s="295" t="s">
        <v>2261</v>
      </c>
      <c r="BC27" s="296"/>
      <c r="BD27" s="295"/>
    </row>
    <row r="28" spans="1:56" ht="27" thickBot="1">
      <c r="E28" s="297" t="s">
        <v>2262</v>
      </c>
      <c r="F28" s="298" t="s">
        <v>2263</v>
      </c>
      <c r="G28" s="298" t="s">
        <v>2264</v>
      </c>
      <c r="H28" s="299" t="s">
        <v>2265</v>
      </c>
      <c r="I28" s="299" t="s">
        <v>2266</v>
      </c>
      <c r="J28" s="299" t="s">
        <v>2267</v>
      </c>
      <c r="K28" s="298"/>
      <c r="L28" s="298" t="s">
        <v>2268</v>
      </c>
      <c r="M28" s="298" t="s">
        <v>2269</v>
      </c>
      <c r="N28" s="298" t="s">
        <v>2207</v>
      </c>
      <c r="O28" s="298" t="s">
        <v>2270</v>
      </c>
      <c r="P28" s="298" t="s">
        <v>2271</v>
      </c>
      <c r="Q28" s="298" t="s">
        <v>2272</v>
      </c>
      <c r="R28" s="300">
        <v>40209</v>
      </c>
      <c r="S28" s="301">
        <v>40237</v>
      </c>
      <c r="T28" s="302">
        <v>40268</v>
      </c>
      <c r="U28" s="300">
        <v>40298</v>
      </c>
      <c r="V28" s="301">
        <v>40329</v>
      </c>
      <c r="W28" s="302">
        <v>40359</v>
      </c>
      <c r="X28" s="300">
        <v>40390</v>
      </c>
      <c r="Y28" s="301">
        <v>40421</v>
      </c>
      <c r="Z28" s="302">
        <v>40451</v>
      </c>
      <c r="AA28" s="300">
        <v>40482</v>
      </c>
      <c r="AB28" s="301">
        <v>40512</v>
      </c>
      <c r="AC28" s="302">
        <v>40543</v>
      </c>
      <c r="AD28" s="289"/>
      <c r="AE28" s="303" t="s">
        <v>42</v>
      </c>
      <c r="AF28" s="430"/>
      <c r="AG28" s="298" t="s">
        <v>384</v>
      </c>
      <c r="AH28" s="298" t="s">
        <v>2273</v>
      </c>
      <c r="AI28" s="298" t="s">
        <v>2274</v>
      </c>
      <c r="AJ28" s="298" t="s">
        <v>2275</v>
      </c>
      <c r="AK28" s="298" t="s">
        <v>1017</v>
      </c>
      <c r="AL28" s="305"/>
      <c r="AM28" s="298" t="s">
        <v>2277</v>
      </c>
      <c r="AN28" s="305"/>
      <c r="AO28" s="298" t="s">
        <v>2278</v>
      </c>
      <c r="AP28" s="305"/>
      <c r="AQ28" s="306" t="s">
        <v>1041</v>
      </c>
      <c r="AR28" s="306" t="s">
        <v>2279</v>
      </c>
      <c r="AS28" s="294" t="s">
        <v>2280</v>
      </c>
      <c r="AU28" s="306" t="s">
        <v>2281</v>
      </c>
      <c r="AV28" s="294" t="s">
        <v>2282</v>
      </c>
      <c r="AX28" s="306" t="s">
        <v>2283</v>
      </c>
      <c r="AY28" s="306" t="s">
        <v>2281</v>
      </c>
      <c r="AZ28" s="294" t="s">
        <v>2280</v>
      </c>
      <c r="BB28" s="306" t="s">
        <v>2281</v>
      </c>
      <c r="BC28" s="306" t="s">
        <v>2284</v>
      </c>
      <c r="BD28" s="294" t="s">
        <v>2282</v>
      </c>
    </row>
    <row r="29" spans="1:56">
      <c r="E29" s="266"/>
      <c r="F29" s="266"/>
      <c r="G29" s="266"/>
      <c r="H29" s="266"/>
      <c r="I29" s="266"/>
      <c r="J29" s="266"/>
      <c r="K29" s="266"/>
      <c r="L29" s="266"/>
      <c r="M29" s="266"/>
      <c r="N29" s="242"/>
      <c r="O29" s="242"/>
      <c r="P29" s="242"/>
      <c r="Q29" s="242"/>
      <c r="R29" s="307"/>
      <c r="S29" s="242"/>
      <c r="T29" s="242"/>
      <c r="U29" s="242"/>
      <c r="V29" s="242"/>
      <c r="W29" s="242"/>
      <c r="X29" s="242"/>
      <c r="Y29" s="242"/>
      <c r="Z29" s="242"/>
      <c r="AA29" s="242"/>
      <c r="AB29" s="242"/>
      <c r="AC29" s="242"/>
      <c r="AD29" s="242"/>
      <c r="AE29" s="308"/>
      <c r="AG29" s="242"/>
      <c r="AH29" s="242"/>
      <c r="AI29" s="242"/>
      <c r="AJ29" s="242"/>
      <c r="AK29" s="242"/>
      <c r="AL29" s="242"/>
      <c r="AM29" s="242"/>
      <c r="AN29" s="242"/>
      <c r="AO29" s="242"/>
      <c r="AP29" s="242"/>
      <c r="AQ29" s="242"/>
      <c r="AR29" s="431"/>
      <c r="AX29" s="431"/>
    </row>
    <row r="30" spans="1:56">
      <c r="A30" s="392" t="b">
        <f t="shared" ref="A30:A56" si="0">IF(AND(C30&lt;&gt;"", B30&lt;&gt;C30),TRUE, FALSE)</f>
        <v>0</v>
      </c>
      <c r="B30" s="392" t="str">
        <f t="shared" ref="B30:B56" si="1">IF(RIGHT("0000"&amp;F30,4)&amp;"-"&amp;G30 &lt;&gt; "0000-", RIGHT("0000"&amp;F30,4)&amp;"-"&amp;G30, "")</f>
        <v/>
      </c>
      <c r="C30" s="396" t="s">
        <v>316</v>
      </c>
      <c r="D30" s="397">
        <v>1</v>
      </c>
      <c r="E30" s="230"/>
      <c r="F30" s="231"/>
      <c r="G30" s="232"/>
      <c r="H30" s="233" t="s">
        <v>316</v>
      </c>
      <c r="I30" s="233" t="s">
        <v>316</v>
      </c>
      <c r="J30" s="233" t="s">
        <v>316</v>
      </c>
      <c r="K30" s="234"/>
      <c r="L30" s="235" t="s">
        <v>316</v>
      </c>
      <c r="M30" s="235" t="s">
        <v>316</v>
      </c>
      <c r="N30" s="236"/>
      <c r="O30" s="237" t="s">
        <v>316</v>
      </c>
      <c r="P30" s="237" t="s">
        <v>316</v>
      </c>
      <c r="Q30" s="238"/>
      <c r="R30" s="398">
        <v>0</v>
      </c>
      <c r="S30" s="399">
        <v>0</v>
      </c>
      <c r="T30" s="399">
        <v>0</v>
      </c>
      <c r="U30" s="399">
        <v>0</v>
      </c>
      <c r="V30" s="399">
        <v>0</v>
      </c>
      <c r="W30" s="399">
        <v>0</v>
      </c>
      <c r="X30" s="399">
        <v>0</v>
      </c>
      <c r="Y30" s="399">
        <v>0</v>
      </c>
      <c r="Z30" s="399">
        <v>0</v>
      </c>
      <c r="AA30" s="399">
        <v>0</v>
      </c>
      <c r="AB30" s="399">
        <v>0</v>
      </c>
      <c r="AC30" s="400">
        <v>0</v>
      </c>
      <c r="AD30" s="242"/>
      <c r="AE30" s="401">
        <f t="shared" ref="AE30:AE56" si="2">SUM(R30:AC30)</f>
        <v>0</v>
      </c>
      <c r="AG30" s="236"/>
      <c r="AH30" s="244"/>
      <c r="AI30" s="245" t="s">
        <v>316</v>
      </c>
      <c r="AJ30" s="236"/>
      <c r="AK30" s="232"/>
      <c r="AL30" s="402"/>
      <c r="AM30" s="247"/>
      <c r="AN30" s="403" t="s">
        <v>45</v>
      </c>
      <c r="AO30" s="404"/>
      <c r="AP30" s="402"/>
      <c r="AQ30" s="405" t="str">
        <f t="shared" ref="AQ30:AQ56" si="3">IF(Q30="", "", Q30)</f>
        <v/>
      </c>
      <c r="AR30" s="405" t="str">
        <f>IFERROR(VLOOKUP($AQ30,[19]TruckCenterReference!$C$22:$I52,3,FALSE), "")</f>
        <v/>
      </c>
      <c r="AS30" s="406" t="str">
        <f t="shared" ref="AS30:AS56" si="4">IF(Q30&lt;&gt;"",IF(AR30&lt;&gt;H30,"Review","ok"), "")</f>
        <v/>
      </c>
      <c r="AT30" s="407"/>
      <c r="AU30" s="408" t="str">
        <f>IFERROR(VLOOKUP($AQ30,[19]TruckCenterReference!$C$22:$I52,4,FALSE), "")</f>
        <v/>
      </c>
      <c r="AV30" s="406" t="str">
        <f t="shared" ref="AV30:AV56" si="5">IF(Q30="","", IF($AU30&lt;&gt;$P30, "Fix!", "ok"))</f>
        <v/>
      </c>
      <c r="AX30" s="405" t="str">
        <f t="shared" ref="AX30:AX56" si="6">IFERROR(VLOOKUP(M30,SubtypeToTruckType,2,FALSE),"")</f>
        <v/>
      </c>
      <c r="AY30" s="409" t="str">
        <f>IFERROR(VLOOKUP($AQ30,[19]TruckCenterReference!$C$22:$I52,6,FALSE), "")</f>
        <v/>
      </c>
      <c r="AZ30" s="406" t="str">
        <f t="shared" ref="AZ30:AZ56" si="7">IF(Q30&lt;&gt;"",IF(AX30&lt;&gt;AY30,"Fix!","ok"), "")</f>
        <v/>
      </c>
      <c r="BA30" s="407"/>
      <c r="BB30" s="408">
        <f>IFERROR(VLOOKUP($AQ30,[19]TruckCenterReference!$C$22:$I52,7,FALSE), 0)</f>
        <v>0</v>
      </c>
      <c r="BC30" s="410" t="str">
        <f t="shared" ref="BC30:BC56" si="8">IF(BB30&lt;&gt;0,BB30-AE30,"")</f>
        <v/>
      </c>
      <c r="BD30" s="406" t="str">
        <f t="shared" ref="BD30:BD56" si="9">IF(Q30="","",IF(ABS(BC30)&gt;100,IF(RIGHT(M30,4)="Body","Review","Fix!"),"ok"))</f>
        <v/>
      </c>
    </row>
    <row r="31" spans="1:56">
      <c r="A31" s="392" t="b">
        <f t="shared" si="0"/>
        <v>0</v>
      </c>
      <c r="B31" s="392" t="str">
        <f t="shared" si="1"/>
        <v/>
      </c>
      <c r="C31" s="396" t="s">
        <v>316</v>
      </c>
      <c r="D31" s="397">
        <v>1</v>
      </c>
      <c r="E31" s="230"/>
      <c r="F31" s="231"/>
      <c r="G31" s="232"/>
      <c r="H31" s="233" t="s">
        <v>316</v>
      </c>
      <c r="I31" s="233" t="s">
        <v>316</v>
      </c>
      <c r="J31" s="233" t="s">
        <v>316</v>
      </c>
      <c r="K31" s="234"/>
      <c r="L31" s="235" t="s">
        <v>316</v>
      </c>
      <c r="M31" s="235" t="s">
        <v>316</v>
      </c>
      <c r="N31" s="236"/>
      <c r="O31" s="237" t="s">
        <v>316</v>
      </c>
      <c r="P31" s="237" t="s">
        <v>316</v>
      </c>
      <c r="Q31" s="238"/>
      <c r="R31" s="398">
        <v>0</v>
      </c>
      <c r="S31" s="399">
        <v>0</v>
      </c>
      <c r="T31" s="399">
        <v>0</v>
      </c>
      <c r="U31" s="399">
        <v>0</v>
      </c>
      <c r="V31" s="399">
        <v>0</v>
      </c>
      <c r="W31" s="399">
        <v>0</v>
      </c>
      <c r="X31" s="399">
        <v>0</v>
      </c>
      <c r="Y31" s="399">
        <v>0</v>
      </c>
      <c r="Z31" s="399">
        <v>0</v>
      </c>
      <c r="AA31" s="399">
        <v>0</v>
      </c>
      <c r="AB31" s="399">
        <v>0</v>
      </c>
      <c r="AC31" s="400">
        <v>0</v>
      </c>
      <c r="AD31" s="242"/>
      <c r="AE31" s="401">
        <f t="shared" si="2"/>
        <v>0</v>
      </c>
      <c r="AG31" s="236"/>
      <c r="AH31" s="244"/>
      <c r="AI31" s="245" t="s">
        <v>316</v>
      </c>
      <c r="AJ31" s="236"/>
      <c r="AK31" s="232"/>
      <c r="AL31" s="402"/>
      <c r="AM31" s="247"/>
      <c r="AN31" s="403" t="s">
        <v>45</v>
      </c>
      <c r="AO31" s="404"/>
      <c r="AP31" s="402"/>
      <c r="AQ31" s="405" t="str">
        <f t="shared" si="3"/>
        <v/>
      </c>
      <c r="AR31" s="405" t="str">
        <f>IFERROR(VLOOKUP($AQ31,[19]TruckCenterReference!$C$22:$I53,3,FALSE), "")</f>
        <v/>
      </c>
      <c r="AS31" s="406" t="str">
        <f t="shared" si="4"/>
        <v/>
      </c>
      <c r="AT31" s="407"/>
      <c r="AU31" s="408" t="str">
        <f>IFERROR(VLOOKUP($AQ31,[19]TruckCenterReference!$C$22:$I53,4,FALSE), "")</f>
        <v/>
      </c>
      <c r="AV31" s="406" t="str">
        <f t="shared" si="5"/>
        <v/>
      </c>
      <c r="AX31" s="405" t="str">
        <f t="shared" si="6"/>
        <v/>
      </c>
      <c r="AY31" s="409" t="str">
        <f>IFERROR(VLOOKUP($AQ31,[19]TruckCenterReference!$C$22:$I53,6,FALSE), "")</f>
        <v/>
      </c>
      <c r="AZ31" s="406" t="str">
        <f t="shared" si="7"/>
        <v/>
      </c>
      <c r="BA31" s="407"/>
      <c r="BB31" s="408">
        <f>IFERROR(VLOOKUP($AQ31,[19]TruckCenterReference!$C$22:$I53,7,FALSE), 0)</f>
        <v>0</v>
      </c>
      <c r="BC31" s="410" t="str">
        <f t="shared" si="8"/>
        <v/>
      </c>
      <c r="BD31" s="406" t="str">
        <f t="shared" si="9"/>
        <v/>
      </c>
    </row>
    <row r="32" spans="1:56">
      <c r="A32" s="392" t="b">
        <f t="shared" si="0"/>
        <v>0</v>
      </c>
      <c r="B32" s="392" t="str">
        <f t="shared" si="1"/>
        <v/>
      </c>
      <c r="C32" s="396" t="s">
        <v>316</v>
      </c>
      <c r="D32" s="397">
        <v>1</v>
      </c>
      <c r="E32" s="230"/>
      <c r="F32" s="231"/>
      <c r="G32" s="232"/>
      <c r="H32" s="233" t="s">
        <v>316</v>
      </c>
      <c r="I32" s="233" t="s">
        <v>316</v>
      </c>
      <c r="J32" s="233" t="s">
        <v>316</v>
      </c>
      <c r="K32" s="234"/>
      <c r="L32" s="235" t="s">
        <v>316</v>
      </c>
      <c r="M32" s="235" t="s">
        <v>316</v>
      </c>
      <c r="N32" s="236"/>
      <c r="O32" s="237" t="s">
        <v>316</v>
      </c>
      <c r="P32" s="237" t="s">
        <v>316</v>
      </c>
      <c r="Q32" s="238"/>
      <c r="R32" s="398">
        <v>0</v>
      </c>
      <c r="S32" s="399">
        <v>0</v>
      </c>
      <c r="T32" s="399">
        <v>0</v>
      </c>
      <c r="U32" s="399">
        <v>0</v>
      </c>
      <c r="V32" s="399">
        <v>0</v>
      </c>
      <c r="W32" s="399">
        <v>0</v>
      </c>
      <c r="X32" s="399">
        <v>0</v>
      </c>
      <c r="Y32" s="399">
        <v>0</v>
      </c>
      <c r="Z32" s="399">
        <v>0</v>
      </c>
      <c r="AA32" s="399">
        <v>0</v>
      </c>
      <c r="AB32" s="399">
        <v>0</v>
      </c>
      <c r="AC32" s="400">
        <v>0</v>
      </c>
      <c r="AD32" s="242"/>
      <c r="AE32" s="401">
        <f t="shared" si="2"/>
        <v>0</v>
      </c>
      <c r="AG32" s="236"/>
      <c r="AH32" s="244"/>
      <c r="AI32" s="245" t="s">
        <v>316</v>
      </c>
      <c r="AJ32" s="236"/>
      <c r="AK32" s="232"/>
      <c r="AL32" s="402"/>
      <c r="AM32" s="247"/>
      <c r="AN32" s="403" t="s">
        <v>45</v>
      </c>
      <c r="AO32" s="404"/>
      <c r="AP32" s="402"/>
      <c r="AQ32" s="405" t="str">
        <f t="shared" si="3"/>
        <v/>
      </c>
      <c r="AR32" s="405" t="str">
        <f>IFERROR(VLOOKUP($AQ32,[19]TruckCenterReference!$C$22:$I54,3,FALSE), "")</f>
        <v/>
      </c>
      <c r="AS32" s="406" t="str">
        <f t="shared" si="4"/>
        <v/>
      </c>
      <c r="AT32" s="407"/>
      <c r="AU32" s="408" t="str">
        <f>IFERROR(VLOOKUP($AQ32,[19]TruckCenterReference!$C$22:$I54,4,FALSE), "")</f>
        <v/>
      </c>
      <c r="AV32" s="406" t="str">
        <f t="shared" si="5"/>
        <v/>
      </c>
      <c r="AX32" s="405" t="str">
        <f t="shared" si="6"/>
        <v/>
      </c>
      <c r="AY32" s="409" t="str">
        <f>IFERROR(VLOOKUP($AQ32,[19]TruckCenterReference!$C$22:$I54,6,FALSE), "")</f>
        <v/>
      </c>
      <c r="AZ32" s="406" t="str">
        <f t="shared" si="7"/>
        <v/>
      </c>
      <c r="BA32" s="407"/>
      <c r="BB32" s="408">
        <f>IFERROR(VLOOKUP($AQ32,[19]TruckCenterReference!$C$22:$I54,7,FALSE), 0)</f>
        <v>0</v>
      </c>
      <c r="BC32" s="410" t="str">
        <f t="shared" si="8"/>
        <v/>
      </c>
      <c r="BD32" s="406" t="str">
        <f t="shared" si="9"/>
        <v/>
      </c>
    </row>
    <row r="33" spans="1:56">
      <c r="A33" s="392" t="b">
        <f t="shared" si="0"/>
        <v>0</v>
      </c>
      <c r="B33" s="392" t="str">
        <f t="shared" si="1"/>
        <v/>
      </c>
      <c r="C33" s="396" t="s">
        <v>316</v>
      </c>
      <c r="D33" s="397">
        <v>1</v>
      </c>
      <c r="E33" s="230"/>
      <c r="F33" s="231"/>
      <c r="G33" s="232"/>
      <c r="H33" s="233" t="s">
        <v>316</v>
      </c>
      <c r="I33" s="233" t="s">
        <v>316</v>
      </c>
      <c r="J33" s="233" t="s">
        <v>316</v>
      </c>
      <c r="K33" s="234"/>
      <c r="L33" s="235" t="s">
        <v>316</v>
      </c>
      <c r="M33" s="235" t="s">
        <v>316</v>
      </c>
      <c r="N33" s="236"/>
      <c r="O33" s="237" t="s">
        <v>316</v>
      </c>
      <c r="P33" s="237" t="s">
        <v>316</v>
      </c>
      <c r="Q33" s="238"/>
      <c r="R33" s="398">
        <v>0</v>
      </c>
      <c r="S33" s="399">
        <v>0</v>
      </c>
      <c r="T33" s="399">
        <v>0</v>
      </c>
      <c r="U33" s="399">
        <v>0</v>
      </c>
      <c r="V33" s="399">
        <v>0</v>
      </c>
      <c r="W33" s="399">
        <v>0</v>
      </c>
      <c r="X33" s="399">
        <v>0</v>
      </c>
      <c r="Y33" s="399">
        <v>0</v>
      </c>
      <c r="Z33" s="399">
        <v>0</v>
      </c>
      <c r="AA33" s="399">
        <v>0</v>
      </c>
      <c r="AB33" s="399">
        <v>0</v>
      </c>
      <c r="AC33" s="400">
        <v>0</v>
      </c>
      <c r="AD33" s="242"/>
      <c r="AE33" s="401">
        <f t="shared" si="2"/>
        <v>0</v>
      </c>
      <c r="AG33" s="236"/>
      <c r="AH33" s="244"/>
      <c r="AI33" s="245" t="s">
        <v>316</v>
      </c>
      <c r="AJ33" s="236"/>
      <c r="AK33" s="232"/>
      <c r="AL33" s="402"/>
      <c r="AM33" s="247"/>
      <c r="AN33" s="403" t="s">
        <v>45</v>
      </c>
      <c r="AO33" s="404"/>
      <c r="AP33" s="402"/>
      <c r="AQ33" s="405" t="str">
        <f t="shared" si="3"/>
        <v/>
      </c>
      <c r="AR33" s="405" t="str">
        <f>IFERROR(VLOOKUP($AQ33,[19]TruckCenterReference!$C$22:$I55,3,FALSE), "")</f>
        <v/>
      </c>
      <c r="AS33" s="406" t="str">
        <f t="shared" si="4"/>
        <v/>
      </c>
      <c r="AT33" s="407"/>
      <c r="AU33" s="408" t="str">
        <f>IFERROR(VLOOKUP($AQ33,[19]TruckCenterReference!$C$22:$I55,4,FALSE), "")</f>
        <v/>
      </c>
      <c r="AV33" s="406" t="str">
        <f t="shared" si="5"/>
        <v/>
      </c>
      <c r="AX33" s="405" t="str">
        <f t="shared" si="6"/>
        <v/>
      </c>
      <c r="AY33" s="409" t="str">
        <f>IFERROR(VLOOKUP($AQ33,[19]TruckCenterReference!$C$22:$I55,6,FALSE), "")</f>
        <v/>
      </c>
      <c r="AZ33" s="406" t="str">
        <f t="shared" si="7"/>
        <v/>
      </c>
      <c r="BA33" s="407"/>
      <c r="BB33" s="408">
        <f>IFERROR(VLOOKUP($AQ33,[19]TruckCenterReference!$C$22:$I55,7,FALSE), 0)</f>
        <v>0</v>
      </c>
      <c r="BC33" s="410" t="str">
        <f t="shared" si="8"/>
        <v/>
      </c>
      <c r="BD33" s="406" t="str">
        <f t="shared" si="9"/>
        <v/>
      </c>
    </row>
    <row r="34" spans="1:56">
      <c r="A34" s="392" t="b">
        <f t="shared" si="0"/>
        <v>0</v>
      </c>
      <c r="B34" s="392" t="str">
        <f t="shared" si="1"/>
        <v/>
      </c>
      <c r="C34" s="396" t="s">
        <v>316</v>
      </c>
      <c r="D34" s="397">
        <v>1</v>
      </c>
      <c r="E34" s="230"/>
      <c r="F34" s="231"/>
      <c r="G34" s="232"/>
      <c r="H34" s="233" t="s">
        <v>316</v>
      </c>
      <c r="I34" s="233" t="s">
        <v>316</v>
      </c>
      <c r="J34" s="233" t="s">
        <v>316</v>
      </c>
      <c r="K34" s="234"/>
      <c r="L34" s="235" t="s">
        <v>316</v>
      </c>
      <c r="M34" s="235" t="s">
        <v>316</v>
      </c>
      <c r="N34" s="236"/>
      <c r="O34" s="237" t="s">
        <v>316</v>
      </c>
      <c r="P34" s="237" t="s">
        <v>316</v>
      </c>
      <c r="Q34" s="238"/>
      <c r="R34" s="398">
        <v>0</v>
      </c>
      <c r="S34" s="399">
        <v>0</v>
      </c>
      <c r="T34" s="399">
        <v>0</v>
      </c>
      <c r="U34" s="399">
        <v>0</v>
      </c>
      <c r="V34" s="399">
        <v>0</v>
      </c>
      <c r="W34" s="399">
        <v>0</v>
      </c>
      <c r="X34" s="399">
        <v>0</v>
      </c>
      <c r="Y34" s="399">
        <v>0</v>
      </c>
      <c r="Z34" s="399">
        <v>0</v>
      </c>
      <c r="AA34" s="399">
        <v>0</v>
      </c>
      <c r="AB34" s="399">
        <v>0</v>
      </c>
      <c r="AC34" s="400">
        <v>0</v>
      </c>
      <c r="AD34" s="242"/>
      <c r="AE34" s="401">
        <f t="shared" si="2"/>
        <v>0</v>
      </c>
      <c r="AG34" s="236"/>
      <c r="AH34" s="244"/>
      <c r="AI34" s="245" t="s">
        <v>316</v>
      </c>
      <c r="AJ34" s="236"/>
      <c r="AK34" s="232"/>
      <c r="AL34" s="402"/>
      <c r="AM34" s="247"/>
      <c r="AN34" s="403" t="s">
        <v>45</v>
      </c>
      <c r="AO34" s="404"/>
      <c r="AP34" s="402"/>
      <c r="AQ34" s="405" t="str">
        <f t="shared" si="3"/>
        <v/>
      </c>
      <c r="AR34" s="405" t="str">
        <f>IFERROR(VLOOKUP($AQ34,[19]TruckCenterReference!$C$22:$I56,3,FALSE), "")</f>
        <v/>
      </c>
      <c r="AS34" s="406" t="str">
        <f t="shared" si="4"/>
        <v/>
      </c>
      <c r="AT34" s="407"/>
      <c r="AU34" s="408" t="str">
        <f>IFERROR(VLOOKUP($AQ34,[19]TruckCenterReference!$C$22:$I56,4,FALSE), "")</f>
        <v/>
      </c>
      <c r="AV34" s="406" t="str">
        <f t="shared" si="5"/>
        <v/>
      </c>
      <c r="AX34" s="405" t="str">
        <f t="shared" si="6"/>
        <v/>
      </c>
      <c r="AY34" s="409" t="str">
        <f>IFERROR(VLOOKUP($AQ34,[19]TruckCenterReference!$C$22:$I56,6,FALSE), "")</f>
        <v/>
      </c>
      <c r="AZ34" s="406" t="str">
        <f t="shared" si="7"/>
        <v/>
      </c>
      <c r="BA34" s="407"/>
      <c r="BB34" s="408">
        <f>IFERROR(VLOOKUP($AQ34,[19]TruckCenterReference!$C$22:$I56,7,FALSE), 0)</f>
        <v>0</v>
      </c>
      <c r="BC34" s="410" t="str">
        <f t="shared" si="8"/>
        <v/>
      </c>
      <c r="BD34" s="406" t="str">
        <f t="shared" si="9"/>
        <v/>
      </c>
    </row>
    <row r="35" spans="1:56">
      <c r="A35" s="392" t="b">
        <f t="shared" si="0"/>
        <v>0</v>
      </c>
      <c r="B35" s="392" t="str">
        <f t="shared" si="1"/>
        <v/>
      </c>
      <c r="C35" s="396" t="s">
        <v>316</v>
      </c>
      <c r="D35" s="397">
        <v>1</v>
      </c>
      <c r="E35" s="230"/>
      <c r="F35" s="231"/>
      <c r="G35" s="232"/>
      <c r="H35" s="233" t="s">
        <v>316</v>
      </c>
      <c r="I35" s="233" t="s">
        <v>316</v>
      </c>
      <c r="J35" s="233" t="s">
        <v>316</v>
      </c>
      <c r="K35" s="234"/>
      <c r="L35" s="235" t="s">
        <v>316</v>
      </c>
      <c r="M35" s="235" t="s">
        <v>316</v>
      </c>
      <c r="N35" s="236"/>
      <c r="O35" s="237" t="s">
        <v>316</v>
      </c>
      <c r="P35" s="237" t="s">
        <v>316</v>
      </c>
      <c r="Q35" s="238"/>
      <c r="R35" s="398">
        <v>0</v>
      </c>
      <c r="S35" s="399">
        <v>0</v>
      </c>
      <c r="T35" s="399">
        <v>0</v>
      </c>
      <c r="U35" s="399">
        <v>0</v>
      </c>
      <c r="V35" s="399">
        <v>0</v>
      </c>
      <c r="W35" s="399">
        <v>0</v>
      </c>
      <c r="X35" s="399">
        <v>0</v>
      </c>
      <c r="Y35" s="399">
        <v>0</v>
      </c>
      <c r="Z35" s="399">
        <v>0</v>
      </c>
      <c r="AA35" s="399">
        <v>0</v>
      </c>
      <c r="AB35" s="399">
        <v>0</v>
      </c>
      <c r="AC35" s="400">
        <v>0</v>
      </c>
      <c r="AD35" s="242"/>
      <c r="AE35" s="401">
        <f t="shared" si="2"/>
        <v>0</v>
      </c>
      <c r="AG35" s="236"/>
      <c r="AH35" s="244"/>
      <c r="AI35" s="245" t="s">
        <v>316</v>
      </c>
      <c r="AJ35" s="236"/>
      <c r="AK35" s="232"/>
      <c r="AL35" s="402"/>
      <c r="AM35" s="247"/>
      <c r="AN35" s="403" t="s">
        <v>45</v>
      </c>
      <c r="AO35" s="404"/>
      <c r="AP35" s="402"/>
      <c r="AQ35" s="405" t="str">
        <f t="shared" si="3"/>
        <v/>
      </c>
      <c r="AR35" s="405" t="str">
        <f>IFERROR(VLOOKUP($AQ35,[19]TruckCenterReference!$C$22:$I57,3,FALSE), "")</f>
        <v/>
      </c>
      <c r="AS35" s="406" t="str">
        <f t="shared" si="4"/>
        <v/>
      </c>
      <c r="AT35" s="407"/>
      <c r="AU35" s="408" t="str">
        <f>IFERROR(VLOOKUP($AQ35,[19]TruckCenterReference!$C$22:$I57,4,FALSE), "")</f>
        <v/>
      </c>
      <c r="AV35" s="406" t="str">
        <f t="shared" si="5"/>
        <v/>
      </c>
      <c r="AX35" s="405" t="str">
        <f t="shared" si="6"/>
        <v/>
      </c>
      <c r="AY35" s="409" t="str">
        <f>IFERROR(VLOOKUP($AQ35,[19]TruckCenterReference!$C$22:$I57,6,FALSE), "")</f>
        <v/>
      </c>
      <c r="AZ35" s="406" t="str">
        <f t="shared" si="7"/>
        <v/>
      </c>
      <c r="BA35" s="407"/>
      <c r="BB35" s="408">
        <f>IFERROR(VLOOKUP($AQ35,[19]TruckCenterReference!$C$22:$I57,7,FALSE), 0)</f>
        <v>0</v>
      </c>
      <c r="BC35" s="410" t="str">
        <f t="shared" si="8"/>
        <v/>
      </c>
      <c r="BD35" s="406" t="str">
        <f t="shared" si="9"/>
        <v/>
      </c>
    </row>
    <row r="36" spans="1:56">
      <c r="A36" s="392" t="b">
        <f t="shared" si="0"/>
        <v>0</v>
      </c>
      <c r="B36" s="392" t="str">
        <f t="shared" si="1"/>
        <v/>
      </c>
      <c r="C36" s="396" t="s">
        <v>316</v>
      </c>
      <c r="D36" s="397">
        <v>1</v>
      </c>
      <c r="E36" s="230"/>
      <c r="F36" s="231"/>
      <c r="G36" s="232"/>
      <c r="H36" s="233" t="s">
        <v>316</v>
      </c>
      <c r="I36" s="233" t="s">
        <v>316</v>
      </c>
      <c r="J36" s="233" t="s">
        <v>316</v>
      </c>
      <c r="K36" s="234"/>
      <c r="L36" s="235" t="s">
        <v>316</v>
      </c>
      <c r="M36" s="235" t="s">
        <v>316</v>
      </c>
      <c r="N36" s="236"/>
      <c r="O36" s="237" t="s">
        <v>316</v>
      </c>
      <c r="P36" s="237" t="s">
        <v>316</v>
      </c>
      <c r="Q36" s="238"/>
      <c r="R36" s="398">
        <v>0</v>
      </c>
      <c r="S36" s="399">
        <v>0</v>
      </c>
      <c r="T36" s="399">
        <v>0</v>
      </c>
      <c r="U36" s="399">
        <v>0</v>
      </c>
      <c r="V36" s="399">
        <v>0</v>
      </c>
      <c r="W36" s="399">
        <v>0</v>
      </c>
      <c r="X36" s="399">
        <v>0</v>
      </c>
      <c r="Y36" s="399">
        <v>0</v>
      </c>
      <c r="Z36" s="399">
        <v>0</v>
      </c>
      <c r="AA36" s="399">
        <v>0</v>
      </c>
      <c r="AB36" s="399">
        <v>0</v>
      </c>
      <c r="AC36" s="400">
        <v>0</v>
      </c>
      <c r="AD36" s="242"/>
      <c r="AE36" s="401">
        <f t="shared" si="2"/>
        <v>0</v>
      </c>
      <c r="AG36" s="236"/>
      <c r="AH36" s="244"/>
      <c r="AI36" s="245" t="s">
        <v>316</v>
      </c>
      <c r="AJ36" s="236"/>
      <c r="AK36" s="232"/>
      <c r="AL36" s="402"/>
      <c r="AM36" s="247"/>
      <c r="AN36" s="403" t="s">
        <v>45</v>
      </c>
      <c r="AO36" s="404"/>
      <c r="AP36" s="402"/>
      <c r="AQ36" s="405" t="str">
        <f t="shared" si="3"/>
        <v/>
      </c>
      <c r="AR36" s="405" t="str">
        <f>IFERROR(VLOOKUP($AQ36,[19]TruckCenterReference!$C$22:$I58,3,FALSE), "")</f>
        <v/>
      </c>
      <c r="AS36" s="406" t="str">
        <f t="shared" si="4"/>
        <v/>
      </c>
      <c r="AT36" s="407"/>
      <c r="AU36" s="408" t="str">
        <f>IFERROR(VLOOKUP($AQ36,[19]TruckCenterReference!$C$22:$I58,4,FALSE), "")</f>
        <v/>
      </c>
      <c r="AV36" s="406" t="str">
        <f t="shared" si="5"/>
        <v/>
      </c>
      <c r="AX36" s="405" t="str">
        <f t="shared" si="6"/>
        <v/>
      </c>
      <c r="AY36" s="409" t="str">
        <f>IFERROR(VLOOKUP($AQ36,[19]TruckCenterReference!$C$22:$I58,6,FALSE), "")</f>
        <v/>
      </c>
      <c r="AZ36" s="406" t="str">
        <f t="shared" si="7"/>
        <v/>
      </c>
      <c r="BA36" s="407"/>
      <c r="BB36" s="408">
        <f>IFERROR(VLOOKUP($AQ36,[19]TruckCenterReference!$C$22:$I58,7,FALSE), 0)</f>
        <v>0</v>
      </c>
      <c r="BC36" s="410" t="str">
        <f t="shared" si="8"/>
        <v/>
      </c>
      <c r="BD36" s="406" t="str">
        <f t="shared" si="9"/>
        <v/>
      </c>
    </row>
    <row r="37" spans="1:56">
      <c r="A37" s="392" t="b">
        <f t="shared" si="0"/>
        <v>0</v>
      </c>
      <c r="B37" s="392" t="str">
        <f t="shared" si="1"/>
        <v/>
      </c>
      <c r="C37" s="396" t="s">
        <v>316</v>
      </c>
      <c r="D37" s="397">
        <v>1</v>
      </c>
      <c r="E37" s="230"/>
      <c r="F37" s="231"/>
      <c r="G37" s="232"/>
      <c r="H37" s="233" t="s">
        <v>316</v>
      </c>
      <c r="I37" s="233" t="s">
        <v>316</v>
      </c>
      <c r="J37" s="233" t="s">
        <v>316</v>
      </c>
      <c r="K37" s="234"/>
      <c r="L37" s="235" t="s">
        <v>316</v>
      </c>
      <c r="M37" s="235" t="s">
        <v>316</v>
      </c>
      <c r="N37" s="236"/>
      <c r="O37" s="237" t="s">
        <v>316</v>
      </c>
      <c r="P37" s="237" t="s">
        <v>316</v>
      </c>
      <c r="Q37" s="238"/>
      <c r="R37" s="398">
        <v>0</v>
      </c>
      <c r="S37" s="399">
        <v>0</v>
      </c>
      <c r="T37" s="399">
        <v>0</v>
      </c>
      <c r="U37" s="399">
        <v>0</v>
      </c>
      <c r="V37" s="399">
        <v>0</v>
      </c>
      <c r="W37" s="399">
        <v>0</v>
      </c>
      <c r="X37" s="399">
        <v>0</v>
      </c>
      <c r="Y37" s="399">
        <v>0</v>
      </c>
      <c r="Z37" s="399">
        <v>0</v>
      </c>
      <c r="AA37" s="399">
        <v>0</v>
      </c>
      <c r="AB37" s="399">
        <v>0</v>
      </c>
      <c r="AC37" s="400">
        <v>0</v>
      </c>
      <c r="AD37" s="242"/>
      <c r="AE37" s="401">
        <f t="shared" si="2"/>
        <v>0</v>
      </c>
      <c r="AG37" s="236"/>
      <c r="AH37" s="244"/>
      <c r="AI37" s="245" t="s">
        <v>316</v>
      </c>
      <c r="AJ37" s="236"/>
      <c r="AK37" s="232"/>
      <c r="AL37" s="402"/>
      <c r="AM37" s="247"/>
      <c r="AN37" s="403" t="s">
        <v>45</v>
      </c>
      <c r="AO37" s="404"/>
      <c r="AP37" s="402"/>
      <c r="AQ37" s="405" t="str">
        <f t="shared" si="3"/>
        <v/>
      </c>
      <c r="AR37" s="405" t="str">
        <f>IFERROR(VLOOKUP($AQ37,[19]TruckCenterReference!$C$22:$I59,3,FALSE), "")</f>
        <v/>
      </c>
      <c r="AS37" s="406" t="str">
        <f t="shared" si="4"/>
        <v/>
      </c>
      <c r="AT37" s="407"/>
      <c r="AU37" s="408" t="str">
        <f>IFERROR(VLOOKUP($AQ37,[19]TruckCenterReference!$C$22:$I59,4,FALSE), "")</f>
        <v/>
      </c>
      <c r="AV37" s="406" t="str">
        <f t="shared" si="5"/>
        <v/>
      </c>
      <c r="AX37" s="405" t="str">
        <f t="shared" si="6"/>
        <v/>
      </c>
      <c r="AY37" s="409" t="str">
        <f>IFERROR(VLOOKUP($AQ37,[19]TruckCenterReference!$C$22:$I59,6,FALSE), "")</f>
        <v/>
      </c>
      <c r="AZ37" s="406" t="str">
        <f t="shared" si="7"/>
        <v/>
      </c>
      <c r="BA37" s="407"/>
      <c r="BB37" s="408">
        <f>IFERROR(VLOOKUP($AQ37,[19]TruckCenterReference!$C$22:$I59,7,FALSE), 0)</f>
        <v>0</v>
      </c>
      <c r="BC37" s="410" t="str">
        <f t="shared" si="8"/>
        <v/>
      </c>
      <c r="BD37" s="406" t="str">
        <f t="shared" si="9"/>
        <v/>
      </c>
    </row>
    <row r="38" spans="1:56">
      <c r="A38" s="392" t="b">
        <f t="shared" si="0"/>
        <v>0</v>
      </c>
      <c r="B38" s="392" t="str">
        <f t="shared" si="1"/>
        <v/>
      </c>
      <c r="C38" s="396" t="s">
        <v>316</v>
      </c>
      <c r="D38" s="397">
        <v>1</v>
      </c>
      <c r="E38" s="230"/>
      <c r="F38" s="231"/>
      <c r="G38" s="232"/>
      <c r="H38" s="233" t="s">
        <v>316</v>
      </c>
      <c r="I38" s="233" t="s">
        <v>316</v>
      </c>
      <c r="J38" s="233" t="s">
        <v>316</v>
      </c>
      <c r="K38" s="234"/>
      <c r="L38" s="235" t="s">
        <v>316</v>
      </c>
      <c r="M38" s="235" t="s">
        <v>316</v>
      </c>
      <c r="N38" s="236"/>
      <c r="O38" s="237" t="s">
        <v>316</v>
      </c>
      <c r="P38" s="237" t="s">
        <v>316</v>
      </c>
      <c r="Q38" s="238"/>
      <c r="R38" s="398">
        <v>0</v>
      </c>
      <c r="S38" s="399">
        <v>0</v>
      </c>
      <c r="T38" s="399">
        <v>0</v>
      </c>
      <c r="U38" s="399">
        <v>0</v>
      </c>
      <c r="V38" s="399">
        <v>0</v>
      </c>
      <c r="W38" s="399">
        <v>0</v>
      </c>
      <c r="X38" s="399">
        <v>0</v>
      </c>
      <c r="Y38" s="399">
        <v>0</v>
      </c>
      <c r="Z38" s="399">
        <v>0</v>
      </c>
      <c r="AA38" s="399">
        <v>0</v>
      </c>
      <c r="AB38" s="399">
        <v>0</v>
      </c>
      <c r="AC38" s="400">
        <v>0</v>
      </c>
      <c r="AD38" s="242"/>
      <c r="AE38" s="401">
        <f t="shared" si="2"/>
        <v>0</v>
      </c>
      <c r="AG38" s="236"/>
      <c r="AH38" s="244"/>
      <c r="AI38" s="245" t="s">
        <v>316</v>
      </c>
      <c r="AJ38" s="236"/>
      <c r="AK38" s="232"/>
      <c r="AL38" s="402"/>
      <c r="AM38" s="247"/>
      <c r="AN38" s="403" t="s">
        <v>45</v>
      </c>
      <c r="AO38" s="404"/>
      <c r="AP38" s="402"/>
      <c r="AQ38" s="405" t="str">
        <f t="shared" si="3"/>
        <v/>
      </c>
      <c r="AR38" s="405" t="str">
        <f>IFERROR(VLOOKUP($AQ38,[19]TruckCenterReference!$C$22:$I60,3,FALSE), "")</f>
        <v/>
      </c>
      <c r="AS38" s="406" t="str">
        <f t="shared" si="4"/>
        <v/>
      </c>
      <c r="AT38" s="407"/>
      <c r="AU38" s="408" t="str">
        <f>IFERROR(VLOOKUP($AQ38,[19]TruckCenterReference!$C$22:$I60,4,FALSE), "")</f>
        <v/>
      </c>
      <c r="AV38" s="406" t="str">
        <f t="shared" si="5"/>
        <v/>
      </c>
      <c r="AX38" s="405" t="str">
        <f t="shared" si="6"/>
        <v/>
      </c>
      <c r="AY38" s="409" t="str">
        <f>IFERROR(VLOOKUP($AQ38,[19]TruckCenterReference!$C$22:$I60,6,FALSE), "")</f>
        <v/>
      </c>
      <c r="AZ38" s="406" t="str">
        <f t="shared" si="7"/>
        <v/>
      </c>
      <c r="BA38" s="407"/>
      <c r="BB38" s="408">
        <f>IFERROR(VLOOKUP($AQ38,[19]TruckCenterReference!$C$22:$I60,7,FALSE), 0)</f>
        <v>0</v>
      </c>
      <c r="BC38" s="410" t="str">
        <f t="shared" si="8"/>
        <v/>
      </c>
      <c r="BD38" s="406" t="str">
        <f t="shared" si="9"/>
        <v/>
      </c>
    </row>
    <row r="39" spans="1:56">
      <c r="A39" s="392" t="b">
        <f t="shared" si="0"/>
        <v>0</v>
      </c>
      <c r="B39" s="392" t="str">
        <f t="shared" si="1"/>
        <v/>
      </c>
      <c r="C39" s="396" t="s">
        <v>316</v>
      </c>
      <c r="D39" s="397">
        <v>1</v>
      </c>
      <c r="E39" s="230"/>
      <c r="F39" s="231"/>
      <c r="G39" s="232"/>
      <c r="H39" s="233" t="s">
        <v>316</v>
      </c>
      <c r="I39" s="233" t="s">
        <v>316</v>
      </c>
      <c r="J39" s="233" t="s">
        <v>316</v>
      </c>
      <c r="K39" s="234"/>
      <c r="L39" s="235" t="s">
        <v>316</v>
      </c>
      <c r="M39" s="235" t="s">
        <v>316</v>
      </c>
      <c r="N39" s="236"/>
      <c r="O39" s="237" t="s">
        <v>316</v>
      </c>
      <c r="P39" s="237" t="s">
        <v>316</v>
      </c>
      <c r="Q39" s="238"/>
      <c r="R39" s="398">
        <v>0</v>
      </c>
      <c r="S39" s="399">
        <v>0</v>
      </c>
      <c r="T39" s="399">
        <v>0</v>
      </c>
      <c r="U39" s="399">
        <v>0</v>
      </c>
      <c r="V39" s="399">
        <v>0</v>
      </c>
      <c r="W39" s="399">
        <v>0</v>
      </c>
      <c r="X39" s="399">
        <v>0</v>
      </c>
      <c r="Y39" s="399">
        <v>0</v>
      </c>
      <c r="Z39" s="399">
        <v>0</v>
      </c>
      <c r="AA39" s="399">
        <v>0</v>
      </c>
      <c r="AB39" s="399">
        <v>0</v>
      </c>
      <c r="AC39" s="400">
        <v>0</v>
      </c>
      <c r="AD39" s="242"/>
      <c r="AE39" s="401">
        <f t="shared" si="2"/>
        <v>0</v>
      </c>
      <c r="AG39" s="236"/>
      <c r="AH39" s="244"/>
      <c r="AI39" s="245" t="s">
        <v>316</v>
      </c>
      <c r="AJ39" s="236"/>
      <c r="AK39" s="232"/>
      <c r="AL39" s="402"/>
      <c r="AM39" s="247"/>
      <c r="AN39" s="403" t="s">
        <v>45</v>
      </c>
      <c r="AO39" s="404"/>
      <c r="AP39" s="402"/>
      <c r="AQ39" s="405" t="str">
        <f t="shared" si="3"/>
        <v/>
      </c>
      <c r="AR39" s="405" t="str">
        <f>IFERROR(VLOOKUP($AQ39,[19]TruckCenterReference!$C$22:$I61,3,FALSE), "")</f>
        <v/>
      </c>
      <c r="AS39" s="406" t="str">
        <f t="shared" si="4"/>
        <v/>
      </c>
      <c r="AT39" s="407"/>
      <c r="AU39" s="408" t="str">
        <f>IFERROR(VLOOKUP($AQ39,[19]TruckCenterReference!$C$22:$I61,4,FALSE), "")</f>
        <v/>
      </c>
      <c r="AV39" s="406" t="str">
        <f t="shared" si="5"/>
        <v/>
      </c>
      <c r="AX39" s="405" t="str">
        <f t="shared" si="6"/>
        <v/>
      </c>
      <c r="AY39" s="409" t="str">
        <f>IFERROR(VLOOKUP($AQ39,[19]TruckCenterReference!$C$22:$I61,6,FALSE), "")</f>
        <v/>
      </c>
      <c r="AZ39" s="406" t="str">
        <f t="shared" si="7"/>
        <v/>
      </c>
      <c r="BA39" s="407"/>
      <c r="BB39" s="408">
        <f>IFERROR(VLOOKUP($AQ39,[19]TruckCenterReference!$C$22:$I61,7,FALSE), 0)</f>
        <v>0</v>
      </c>
      <c r="BC39" s="410" t="str">
        <f t="shared" si="8"/>
        <v/>
      </c>
      <c r="BD39" s="406" t="str">
        <f t="shared" si="9"/>
        <v/>
      </c>
    </row>
    <row r="40" spans="1:56">
      <c r="A40" s="392" t="b">
        <f t="shared" si="0"/>
        <v>0</v>
      </c>
      <c r="B40" s="392" t="str">
        <f t="shared" si="1"/>
        <v/>
      </c>
      <c r="C40" s="396" t="s">
        <v>316</v>
      </c>
      <c r="D40" s="397">
        <v>1</v>
      </c>
      <c r="E40" s="230"/>
      <c r="F40" s="231"/>
      <c r="G40" s="232"/>
      <c r="H40" s="233" t="s">
        <v>316</v>
      </c>
      <c r="I40" s="233" t="s">
        <v>316</v>
      </c>
      <c r="J40" s="233" t="s">
        <v>316</v>
      </c>
      <c r="K40" s="234"/>
      <c r="L40" s="235" t="s">
        <v>316</v>
      </c>
      <c r="M40" s="235" t="s">
        <v>316</v>
      </c>
      <c r="N40" s="236"/>
      <c r="O40" s="237" t="s">
        <v>316</v>
      </c>
      <c r="P40" s="237" t="s">
        <v>316</v>
      </c>
      <c r="Q40" s="238"/>
      <c r="R40" s="398">
        <v>0</v>
      </c>
      <c r="S40" s="399">
        <v>0</v>
      </c>
      <c r="T40" s="399">
        <v>0</v>
      </c>
      <c r="U40" s="399">
        <v>0</v>
      </c>
      <c r="V40" s="399">
        <v>0</v>
      </c>
      <c r="W40" s="399">
        <v>0</v>
      </c>
      <c r="X40" s="399">
        <v>0</v>
      </c>
      <c r="Y40" s="399">
        <v>0</v>
      </c>
      <c r="Z40" s="399">
        <v>0</v>
      </c>
      <c r="AA40" s="399">
        <v>0</v>
      </c>
      <c r="AB40" s="399">
        <v>0</v>
      </c>
      <c r="AC40" s="400">
        <v>0</v>
      </c>
      <c r="AD40" s="242"/>
      <c r="AE40" s="401">
        <f t="shared" si="2"/>
        <v>0</v>
      </c>
      <c r="AG40" s="236"/>
      <c r="AH40" s="244"/>
      <c r="AI40" s="245" t="s">
        <v>316</v>
      </c>
      <c r="AJ40" s="236"/>
      <c r="AK40" s="232"/>
      <c r="AL40" s="402"/>
      <c r="AM40" s="247"/>
      <c r="AN40" s="403" t="s">
        <v>45</v>
      </c>
      <c r="AO40" s="404"/>
      <c r="AP40" s="402"/>
      <c r="AQ40" s="405" t="str">
        <f t="shared" si="3"/>
        <v/>
      </c>
      <c r="AR40" s="405" t="str">
        <f>IFERROR(VLOOKUP($AQ40,[19]TruckCenterReference!$C$22:$I62,3,FALSE), "")</f>
        <v/>
      </c>
      <c r="AS40" s="406" t="str">
        <f t="shared" si="4"/>
        <v/>
      </c>
      <c r="AT40" s="407"/>
      <c r="AU40" s="408" t="str">
        <f>IFERROR(VLOOKUP($AQ40,[19]TruckCenterReference!$C$22:$I62,4,FALSE), "")</f>
        <v/>
      </c>
      <c r="AV40" s="406" t="str">
        <f t="shared" si="5"/>
        <v/>
      </c>
      <c r="AX40" s="405" t="str">
        <f t="shared" si="6"/>
        <v/>
      </c>
      <c r="AY40" s="409" t="str">
        <f>IFERROR(VLOOKUP($AQ40,[19]TruckCenterReference!$C$22:$I62,6,FALSE), "")</f>
        <v/>
      </c>
      <c r="AZ40" s="406" t="str">
        <f t="shared" si="7"/>
        <v/>
      </c>
      <c r="BA40" s="407"/>
      <c r="BB40" s="408">
        <f>IFERROR(VLOOKUP($AQ40,[19]TruckCenterReference!$C$22:$I62,7,FALSE), 0)</f>
        <v>0</v>
      </c>
      <c r="BC40" s="410" t="str">
        <f t="shared" si="8"/>
        <v/>
      </c>
      <c r="BD40" s="406" t="str">
        <f t="shared" si="9"/>
        <v/>
      </c>
    </row>
    <row r="41" spans="1:56">
      <c r="A41" s="392" t="b">
        <f t="shared" si="0"/>
        <v>0</v>
      </c>
      <c r="B41" s="392" t="str">
        <f t="shared" si="1"/>
        <v/>
      </c>
      <c r="C41" s="396" t="s">
        <v>316</v>
      </c>
      <c r="D41" s="397">
        <v>1</v>
      </c>
      <c r="E41" s="230"/>
      <c r="F41" s="231"/>
      <c r="G41" s="232"/>
      <c r="H41" s="233" t="s">
        <v>316</v>
      </c>
      <c r="I41" s="233" t="s">
        <v>316</v>
      </c>
      <c r="J41" s="233" t="s">
        <v>316</v>
      </c>
      <c r="K41" s="234"/>
      <c r="L41" s="235" t="s">
        <v>316</v>
      </c>
      <c r="M41" s="235" t="s">
        <v>316</v>
      </c>
      <c r="N41" s="236"/>
      <c r="O41" s="237" t="s">
        <v>316</v>
      </c>
      <c r="P41" s="237" t="s">
        <v>316</v>
      </c>
      <c r="Q41" s="238"/>
      <c r="R41" s="398">
        <v>0</v>
      </c>
      <c r="S41" s="399">
        <v>0</v>
      </c>
      <c r="T41" s="399">
        <v>0</v>
      </c>
      <c r="U41" s="399">
        <v>0</v>
      </c>
      <c r="V41" s="399">
        <v>0</v>
      </c>
      <c r="W41" s="399">
        <v>0</v>
      </c>
      <c r="X41" s="399">
        <v>0</v>
      </c>
      <c r="Y41" s="399">
        <v>0</v>
      </c>
      <c r="Z41" s="399">
        <v>0</v>
      </c>
      <c r="AA41" s="399">
        <v>0</v>
      </c>
      <c r="AB41" s="399">
        <v>0</v>
      </c>
      <c r="AC41" s="400">
        <v>0</v>
      </c>
      <c r="AD41" s="242"/>
      <c r="AE41" s="401">
        <f t="shared" si="2"/>
        <v>0</v>
      </c>
      <c r="AG41" s="236"/>
      <c r="AH41" s="244"/>
      <c r="AI41" s="245" t="s">
        <v>316</v>
      </c>
      <c r="AJ41" s="236"/>
      <c r="AK41" s="232"/>
      <c r="AL41" s="402"/>
      <c r="AM41" s="247"/>
      <c r="AN41" s="403" t="s">
        <v>45</v>
      </c>
      <c r="AO41" s="404"/>
      <c r="AP41" s="402"/>
      <c r="AQ41" s="405" t="str">
        <f t="shared" si="3"/>
        <v/>
      </c>
      <c r="AR41" s="405" t="str">
        <f>IFERROR(VLOOKUP($AQ41,[19]TruckCenterReference!$C$22:$I63,3,FALSE), "")</f>
        <v/>
      </c>
      <c r="AS41" s="406" t="str">
        <f t="shared" si="4"/>
        <v/>
      </c>
      <c r="AT41" s="407"/>
      <c r="AU41" s="408" t="str">
        <f>IFERROR(VLOOKUP($AQ41,[19]TruckCenterReference!$C$22:$I63,4,FALSE), "")</f>
        <v/>
      </c>
      <c r="AV41" s="406" t="str">
        <f t="shared" si="5"/>
        <v/>
      </c>
      <c r="AX41" s="405" t="str">
        <f t="shared" si="6"/>
        <v/>
      </c>
      <c r="AY41" s="409" t="str">
        <f>IFERROR(VLOOKUP($AQ41,[19]TruckCenterReference!$C$22:$I63,6,FALSE), "")</f>
        <v/>
      </c>
      <c r="AZ41" s="406" t="str">
        <f t="shared" si="7"/>
        <v/>
      </c>
      <c r="BA41" s="407"/>
      <c r="BB41" s="408">
        <f>IFERROR(VLOOKUP($AQ41,[19]TruckCenterReference!$C$22:$I63,7,FALSE), 0)</f>
        <v>0</v>
      </c>
      <c r="BC41" s="410" t="str">
        <f t="shared" si="8"/>
        <v/>
      </c>
      <c r="BD41" s="406" t="str">
        <f t="shared" si="9"/>
        <v/>
      </c>
    </row>
    <row r="42" spans="1:56">
      <c r="A42" s="392" t="b">
        <f t="shared" si="0"/>
        <v>0</v>
      </c>
      <c r="B42" s="392" t="str">
        <f t="shared" si="1"/>
        <v/>
      </c>
      <c r="C42" s="396" t="s">
        <v>316</v>
      </c>
      <c r="D42" s="397">
        <v>1</v>
      </c>
      <c r="E42" s="230"/>
      <c r="F42" s="231"/>
      <c r="G42" s="232"/>
      <c r="H42" s="233" t="s">
        <v>316</v>
      </c>
      <c r="I42" s="233" t="s">
        <v>316</v>
      </c>
      <c r="J42" s="233" t="s">
        <v>316</v>
      </c>
      <c r="K42" s="234"/>
      <c r="L42" s="235" t="s">
        <v>316</v>
      </c>
      <c r="M42" s="235" t="s">
        <v>316</v>
      </c>
      <c r="N42" s="236"/>
      <c r="O42" s="237" t="s">
        <v>316</v>
      </c>
      <c r="P42" s="237" t="s">
        <v>316</v>
      </c>
      <c r="Q42" s="238"/>
      <c r="R42" s="398">
        <v>0</v>
      </c>
      <c r="S42" s="399">
        <v>0</v>
      </c>
      <c r="T42" s="399">
        <v>0</v>
      </c>
      <c r="U42" s="399">
        <v>0</v>
      </c>
      <c r="V42" s="399">
        <v>0</v>
      </c>
      <c r="W42" s="399">
        <v>0</v>
      </c>
      <c r="X42" s="399">
        <v>0</v>
      </c>
      <c r="Y42" s="399">
        <v>0</v>
      </c>
      <c r="Z42" s="399">
        <v>0</v>
      </c>
      <c r="AA42" s="399">
        <v>0</v>
      </c>
      <c r="AB42" s="399">
        <v>0</v>
      </c>
      <c r="AC42" s="400">
        <v>0</v>
      </c>
      <c r="AD42" s="242"/>
      <c r="AE42" s="401">
        <f t="shared" si="2"/>
        <v>0</v>
      </c>
      <c r="AG42" s="236"/>
      <c r="AH42" s="244"/>
      <c r="AI42" s="245" t="s">
        <v>316</v>
      </c>
      <c r="AJ42" s="236"/>
      <c r="AK42" s="232"/>
      <c r="AL42" s="402"/>
      <c r="AM42" s="247"/>
      <c r="AN42" s="403" t="s">
        <v>45</v>
      </c>
      <c r="AO42" s="404"/>
      <c r="AP42" s="402"/>
      <c r="AQ42" s="405" t="str">
        <f t="shared" si="3"/>
        <v/>
      </c>
      <c r="AR42" s="405" t="str">
        <f>IFERROR(VLOOKUP($AQ42,[19]TruckCenterReference!$C$22:$I64,3,FALSE), "")</f>
        <v/>
      </c>
      <c r="AS42" s="406" t="str">
        <f t="shared" si="4"/>
        <v/>
      </c>
      <c r="AT42" s="407"/>
      <c r="AU42" s="408" t="str">
        <f>IFERROR(VLOOKUP($AQ42,[19]TruckCenterReference!$C$22:$I64,4,FALSE), "")</f>
        <v/>
      </c>
      <c r="AV42" s="406" t="str">
        <f t="shared" si="5"/>
        <v/>
      </c>
      <c r="AX42" s="405" t="str">
        <f t="shared" si="6"/>
        <v/>
      </c>
      <c r="AY42" s="409" t="str">
        <f>IFERROR(VLOOKUP($AQ42,[19]TruckCenterReference!$C$22:$I64,6,FALSE), "")</f>
        <v/>
      </c>
      <c r="AZ42" s="406" t="str">
        <f t="shared" si="7"/>
        <v/>
      </c>
      <c r="BA42" s="407"/>
      <c r="BB42" s="408">
        <f>IFERROR(VLOOKUP($AQ42,[19]TruckCenterReference!$C$22:$I64,7,FALSE), 0)</f>
        <v>0</v>
      </c>
      <c r="BC42" s="410" t="str">
        <f t="shared" si="8"/>
        <v/>
      </c>
      <c r="BD42" s="406" t="str">
        <f t="shared" si="9"/>
        <v/>
      </c>
    </row>
    <row r="43" spans="1:56">
      <c r="A43" s="392" t="b">
        <f t="shared" si="0"/>
        <v>0</v>
      </c>
      <c r="B43" s="392" t="str">
        <f t="shared" si="1"/>
        <v/>
      </c>
      <c r="C43" s="396" t="s">
        <v>316</v>
      </c>
      <c r="D43" s="397">
        <v>1</v>
      </c>
      <c r="E43" s="230"/>
      <c r="F43" s="231"/>
      <c r="G43" s="232"/>
      <c r="H43" s="233" t="s">
        <v>316</v>
      </c>
      <c r="I43" s="233" t="s">
        <v>316</v>
      </c>
      <c r="J43" s="233" t="s">
        <v>316</v>
      </c>
      <c r="K43" s="234"/>
      <c r="L43" s="235" t="s">
        <v>316</v>
      </c>
      <c r="M43" s="235" t="s">
        <v>316</v>
      </c>
      <c r="N43" s="236"/>
      <c r="O43" s="237" t="s">
        <v>316</v>
      </c>
      <c r="P43" s="237" t="s">
        <v>316</v>
      </c>
      <c r="Q43" s="238"/>
      <c r="R43" s="398">
        <v>0</v>
      </c>
      <c r="S43" s="399">
        <v>0</v>
      </c>
      <c r="T43" s="399">
        <v>0</v>
      </c>
      <c r="U43" s="399">
        <v>0</v>
      </c>
      <c r="V43" s="399">
        <v>0</v>
      </c>
      <c r="W43" s="399">
        <v>0</v>
      </c>
      <c r="X43" s="399">
        <v>0</v>
      </c>
      <c r="Y43" s="399">
        <v>0</v>
      </c>
      <c r="Z43" s="399">
        <v>0</v>
      </c>
      <c r="AA43" s="399">
        <v>0</v>
      </c>
      <c r="AB43" s="399">
        <v>0</v>
      </c>
      <c r="AC43" s="400">
        <v>0</v>
      </c>
      <c r="AD43" s="242"/>
      <c r="AE43" s="401">
        <f t="shared" si="2"/>
        <v>0</v>
      </c>
      <c r="AG43" s="236"/>
      <c r="AH43" s="244"/>
      <c r="AI43" s="245" t="s">
        <v>316</v>
      </c>
      <c r="AJ43" s="236"/>
      <c r="AK43" s="232"/>
      <c r="AL43" s="402"/>
      <c r="AM43" s="247"/>
      <c r="AN43" s="403" t="s">
        <v>45</v>
      </c>
      <c r="AO43" s="404"/>
      <c r="AP43" s="402"/>
      <c r="AQ43" s="405" t="str">
        <f t="shared" si="3"/>
        <v/>
      </c>
      <c r="AR43" s="405" t="str">
        <f>IFERROR(VLOOKUP($AQ43,[19]TruckCenterReference!$C$22:$I65,3,FALSE), "")</f>
        <v/>
      </c>
      <c r="AS43" s="406" t="str">
        <f t="shared" si="4"/>
        <v/>
      </c>
      <c r="AT43" s="407"/>
      <c r="AU43" s="408" t="str">
        <f>IFERROR(VLOOKUP($AQ43,[19]TruckCenterReference!$C$22:$I65,4,FALSE), "")</f>
        <v/>
      </c>
      <c r="AV43" s="406" t="str">
        <f t="shared" si="5"/>
        <v/>
      </c>
      <c r="AX43" s="405" t="str">
        <f t="shared" si="6"/>
        <v/>
      </c>
      <c r="AY43" s="409" t="str">
        <f>IFERROR(VLOOKUP($AQ43,[19]TruckCenterReference!$C$22:$I65,6,FALSE), "")</f>
        <v/>
      </c>
      <c r="AZ43" s="406" t="str">
        <f t="shared" si="7"/>
        <v/>
      </c>
      <c r="BA43" s="407"/>
      <c r="BB43" s="408">
        <f>IFERROR(VLOOKUP($AQ43,[19]TruckCenterReference!$C$22:$I65,7,FALSE), 0)</f>
        <v>0</v>
      </c>
      <c r="BC43" s="410" t="str">
        <f t="shared" si="8"/>
        <v/>
      </c>
      <c r="BD43" s="406" t="str">
        <f t="shared" si="9"/>
        <v/>
      </c>
    </row>
    <row r="44" spans="1:56">
      <c r="A44" s="392" t="b">
        <f t="shared" si="0"/>
        <v>0</v>
      </c>
      <c r="B44" s="392" t="str">
        <f t="shared" si="1"/>
        <v/>
      </c>
      <c r="C44" s="396" t="s">
        <v>316</v>
      </c>
      <c r="D44" s="397">
        <v>1</v>
      </c>
      <c r="E44" s="230"/>
      <c r="F44" s="231"/>
      <c r="G44" s="232"/>
      <c r="H44" s="233" t="s">
        <v>316</v>
      </c>
      <c r="I44" s="233" t="s">
        <v>316</v>
      </c>
      <c r="J44" s="233" t="s">
        <v>316</v>
      </c>
      <c r="K44" s="234"/>
      <c r="L44" s="235" t="s">
        <v>316</v>
      </c>
      <c r="M44" s="235" t="s">
        <v>316</v>
      </c>
      <c r="N44" s="236"/>
      <c r="O44" s="237" t="s">
        <v>316</v>
      </c>
      <c r="P44" s="237" t="s">
        <v>316</v>
      </c>
      <c r="Q44" s="238"/>
      <c r="R44" s="398">
        <v>0</v>
      </c>
      <c r="S44" s="399">
        <v>0</v>
      </c>
      <c r="T44" s="399">
        <v>0</v>
      </c>
      <c r="U44" s="399">
        <v>0</v>
      </c>
      <c r="V44" s="399">
        <v>0</v>
      </c>
      <c r="W44" s="399">
        <v>0</v>
      </c>
      <c r="X44" s="399">
        <v>0</v>
      </c>
      <c r="Y44" s="399">
        <v>0</v>
      </c>
      <c r="Z44" s="399">
        <v>0</v>
      </c>
      <c r="AA44" s="399">
        <v>0</v>
      </c>
      <c r="AB44" s="399">
        <v>0</v>
      </c>
      <c r="AC44" s="400">
        <v>0</v>
      </c>
      <c r="AD44" s="242"/>
      <c r="AE44" s="401">
        <f t="shared" si="2"/>
        <v>0</v>
      </c>
      <c r="AG44" s="236"/>
      <c r="AH44" s="244"/>
      <c r="AI44" s="245" t="s">
        <v>316</v>
      </c>
      <c r="AJ44" s="236"/>
      <c r="AK44" s="232"/>
      <c r="AL44" s="402"/>
      <c r="AM44" s="247"/>
      <c r="AN44" s="403" t="s">
        <v>45</v>
      </c>
      <c r="AO44" s="404"/>
      <c r="AP44" s="402"/>
      <c r="AQ44" s="405" t="str">
        <f t="shared" si="3"/>
        <v/>
      </c>
      <c r="AR44" s="405" t="str">
        <f>IFERROR(VLOOKUP($AQ44,[19]TruckCenterReference!$C$22:$I66,3,FALSE), "")</f>
        <v/>
      </c>
      <c r="AS44" s="406" t="str">
        <f t="shared" si="4"/>
        <v/>
      </c>
      <c r="AT44" s="407"/>
      <c r="AU44" s="408" t="str">
        <f>IFERROR(VLOOKUP($AQ44,[19]TruckCenterReference!$C$22:$I66,4,FALSE), "")</f>
        <v/>
      </c>
      <c r="AV44" s="406" t="str">
        <f t="shared" si="5"/>
        <v/>
      </c>
      <c r="AX44" s="405" t="str">
        <f t="shared" si="6"/>
        <v/>
      </c>
      <c r="AY44" s="409" t="str">
        <f>IFERROR(VLOOKUP($AQ44,[19]TruckCenterReference!$C$22:$I66,6,FALSE), "")</f>
        <v/>
      </c>
      <c r="AZ44" s="406" t="str">
        <f t="shared" si="7"/>
        <v/>
      </c>
      <c r="BA44" s="407"/>
      <c r="BB44" s="408">
        <f>IFERROR(VLOOKUP($AQ44,[19]TruckCenterReference!$C$22:$I66,7,FALSE), 0)</f>
        <v>0</v>
      </c>
      <c r="BC44" s="410" t="str">
        <f t="shared" si="8"/>
        <v/>
      </c>
      <c r="BD44" s="406" t="str">
        <f t="shared" si="9"/>
        <v/>
      </c>
    </row>
    <row r="45" spans="1:56">
      <c r="A45" s="392" t="b">
        <f t="shared" si="0"/>
        <v>0</v>
      </c>
      <c r="B45" s="392" t="str">
        <f t="shared" si="1"/>
        <v/>
      </c>
      <c r="C45" s="396" t="s">
        <v>316</v>
      </c>
      <c r="D45" s="397">
        <v>1</v>
      </c>
      <c r="E45" s="230"/>
      <c r="F45" s="231"/>
      <c r="G45" s="232"/>
      <c r="H45" s="233" t="s">
        <v>316</v>
      </c>
      <c r="I45" s="233" t="s">
        <v>316</v>
      </c>
      <c r="J45" s="233" t="s">
        <v>316</v>
      </c>
      <c r="K45" s="234"/>
      <c r="L45" s="235" t="s">
        <v>316</v>
      </c>
      <c r="M45" s="235" t="s">
        <v>316</v>
      </c>
      <c r="N45" s="236"/>
      <c r="O45" s="237" t="s">
        <v>316</v>
      </c>
      <c r="P45" s="237" t="s">
        <v>316</v>
      </c>
      <c r="Q45" s="238"/>
      <c r="R45" s="398">
        <v>0</v>
      </c>
      <c r="S45" s="399">
        <v>0</v>
      </c>
      <c r="T45" s="399">
        <v>0</v>
      </c>
      <c r="U45" s="399">
        <v>0</v>
      </c>
      <c r="V45" s="399">
        <v>0</v>
      </c>
      <c r="W45" s="399">
        <v>0</v>
      </c>
      <c r="X45" s="399">
        <v>0</v>
      </c>
      <c r="Y45" s="399">
        <v>0</v>
      </c>
      <c r="Z45" s="399">
        <v>0</v>
      </c>
      <c r="AA45" s="399">
        <v>0</v>
      </c>
      <c r="AB45" s="399">
        <v>0</v>
      </c>
      <c r="AC45" s="400">
        <v>0</v>
      </c>
      <c r="AD45" s="242"/>
      <c r="AE45" s="401">
        <f t="shared" si="2"/>
        <v>0</v>
      </c>
      <c r="AG45" s="236"/>
      <c r="AH45" s="244"/>
      <c r="AI45" s="245" t="s">
        <v>316</v>
      </c>
      <c r="AJ45" s="236"/>
      <c r="AK45" s="232"/>
      <c r="AL45" s="402"/>
      <c r="AM45" s="247"/>
      <c r="AN45" s="403" t="s">
        <v>45</v>
      </c>
      <c r="AO45" s="404"/>
      <c r="AP45" s="402"/>
      <c r="AQ45" s="405" t="str">
        <f t="shared" si="3"/>
        <v/>
      </c>
      <c r="AR45" s="405" t="str">
        <f>IFERROR(VLOOKUP($AQ45,[19]TruckCenterReference!$C$22:$I67,3,FALSE), "")</f>
        <v/>
      </c>
      <c r="AS45" s="406" t="str">
        <f t="shared" si="4"/>
        <v/>
      </c>
      <c r="AT45" s="407"/>
      <c r="AU45" s="408" t="str">
        <f>IFERROR(VLOOKUP($AQ45,[19]TruckCenterReference!$C$22:$I67,4,FALSE), "")</f>
        <v/>
      </c>
      <c r="AV45" s="406" t="str">
        <f t="shared" si="5"/>
        <v/>
      </c>
      <c r="AX45" s="405" t="str">
        <f t="shared" si="6"/>
        <v/>
      </c>
      <c r="AY45" s="409" t="str">
        <f>IFERROR(VLOOKUP($AQ45,[19]TruckCenterReference!$C$22:$I67,6,FALSE), "")</f>
        <v/>
      </c>
      <c r="AZ45" s="406" t="str">
        <f t="shared" si="7"/>
        <v/>
      </c>
      <c r="BA45" s="407"/>
      <c r="BB45" s="408">
        <f>IFERROR(VLOOKUP($AQ45,[19]TruckCenterReference!$C$22:$I67,7,FALSE), 0)</f>
        <v>0</v>
      </c>
      <c r="BC45" s="410" t="str">
        <f t="shared" si="8"/>
        <v/>
      </c>
      <c r="BD45" s="406" t="str">
        <f t="shared" si="9"/>
        <v/>
      </c>
    </row>
    <row r="46" spans="1:56" ht="89.25">
      <c r="A46" s="392" t="b">
        <f t="shared" si="0"/>
        <v>0</v>
      </c>
      <c r="B46" s="392" t="str">
        <f t="shared" si="1"/>
        <v>0001-1</v>
      </c>
      <c r="C46" s="396" t="s">
        <v>2285</v>
      </c>
      <c r="D46" s="397">
        <v>1</v>
      </c>
      <c r="E46" s="230"/>
      <c r="F46" s="231">
        <v>1</v>
      </c>
      <c r="G46" s="232">
        <v>1</v>
      </c>
      <c r="H46" s="233" t="s">
        <v>1071</v>
      </c>
      <c r="I46" s="233" t="s">
        <v>1071</v>
      </c>
      <c r="J46" s="233" t="s">
        <v>1071</v>
      </c>
      <c r="K46" s="234"/>
      <c r="L46" s="235" t="s">
        <v>2288</v>
      </c>
      <c r="M46" s="235" t="s">
        <v>138</v>
      </c>
      <c r="N46" s="236">
        <v>20</v>
      </c>
      <c r="O46" s="237" t="s">
        <v>2296</v>
      </c>
      <c r="P46" s="237" t="s">
        <v>809</v>
      </c>
      <c r="Q46" s="238"/>
      <c r="R46" s="398">
        <v>0</v>
      </c>
      <c r="S46" s="399">
        <v>0</v>
      </c>
      <c r="T46" s="399">
        <v>0</v>
      </c>
      <c r="U46" s="399">
        <v>0</v>
      </c>
      <c r="V46" s="399">
        <v>1813394</v>
      </c>
      <c r="W46" s="399">
        <v>0</v>
      </c>
      <c r="X46" s="399">
        <v>1085801</v>
      </c>
      <c r="Y46" s="399">
        <v>0</v>
      </c>
      <c r="Z46" s="399">
        <v>0</v>
      </c>
      <c r="AA46" s="399">
        <v>0</v>
      </c>
      <c r="AB46" s="399">
        <v>0</v>
      </c>
      <c r="AC46" s="400">
        <v>0</v>
      </c>
      <c r="AD46" s="242"/>
      <c r="AE46" s="401">
        <f t="shared" si="2"/>
        <v>2899195</v>
      </c>
      <c r="AG46" s="236"/>
      <c r="AH46" s="244"/>
      <c r="AI46" s="245" t="s">
        <v>2349</v>
      </c>
      <c r="AJ46" s="236"/>
      <c r="AK46" s="232"/>
      <c r="AL46" s="402"/>
      <c r="AM46" s="247"/>
      <c r="AN46" s="403" t="s">
        <v>45</v>
      </c>
      <c r="AO46" s="404"/>
      <c r="AP46" s="402"/>
      <c r="AQ46" s="405" t="str">
        <f t="shared" si="3"/>
        <v/>
      </c>
      <c r="AR46" s="405" t="str">
        <f>IFERROR(VLOOKUP($AQ46,[19]TruckCenterReference!$C$22:$I68,3,FALSE), "")</f>
        <v/>
      </c>
      <c r="AS46" s="406" t="str">
        <f t="shared" si="4"/>
        <v/>
      </c>
      <c r="AT46" s="407"/>
      <c r="AU46" s="408" t="str">
        <f>IFERROR(VLOOKUP($AQ46,[19]TruckCenterReference!$C$22:$I68,4,FALSE), "")</f>
        <v/>
      </c>
      <c r="AV46" s="406" t="str">
        <f t="shared" si="5"/>
        <v/>
      </c>
      <c r="AX46" s="405" t="str">
        <f t="shared" si="6"/>
        <v/>
      </c>
      <c r="AY46" s="409" t="str">
        <f>IFERROR(VLOOKUP($AQ46,[19]TruckCenterReference!$C$22:$I68,6,FALSE), "")</f>
        <v/>
      </c>
      <c r="AZ46" s="406" t="str">
        <f t="shared" si="7"/>
        <v/>
      </c>
      <c r="BA46" s="407"/>
      <c r="BB46" s="408">
        <f>IFERROR(VLOOKUP($AQ46,[19]TruckCenterReference!$C$22:$I68,7,FALSE), 0)</f>
        <v>0</v>
      </c>
      <c r="BC46" s="410" t="str">
        <f t="shared" si="8"/>
        <v/>
      </c>
      <c r="BD46" s="406" t="str">
        <f t="shared" si="9"/>
        <v/>
      </c>
    </row>
    <row r="47" spans="1:56" ht="38.25">
      <c r="A47" s="392" t="b">
        <f t="shared" si="0"/>
        <v>0</v>
      </c>
      <c r="B47" s="392" t="str">
        <f t="shared" si="1"/>
        <v>0003-1</v>
      </c>
      <c r="C47" s="396" t="s">
        <v>2291</v>
      </c>
      <c r="D47" s="397">
        <v>1</v>
      </c>
      <c r="E47" s="230"/>
      <c r="F47" s="231">
        <v>3</v>
      </c>
      <c r="G47" s="232">
        <v>1</v>
      </c>
      <c r="H47" s="233" t="s">
        <v>2350</v>
      </c>
      <c r="I47" s="233" t="s">
        <v>2350</v>
      </c>
      <c r="J47" s="233" t="s">
        <v>2351</v>
      </c>
      <c r="K47" s="234"/>
      <c r="L47" s="235" t="s">
        <v>2294</v>
      </c>
      <c r="M47" s="235" t="s">
        <v>2295</v>
      </c>
      <c r="N47" s="236">
        <v>10</v>
      </c>
      <c r="O47" s="237" t="s">
        <v>2296</v>
      </c>
      <c r="P47" s="237" t="s">
        <v>809</v>
      </c>
      <c r="Q47" s="238">
        <v>9643</v>
      </c>
      <c r="R47" s="398">
        <v>195830</v>
      </c>
      <c r="S47" s="399">
        <v>0</v>
      </c>
      <c r="T47" s="399">
        <v>0</v>
      </c>
      <c r="U47" s="399">
        <v>0</v>
      </c>
      <c r="V47" s="399">
        <v>0</v>
      </c>
      <c r="W47" s="399">
        <v>0</v>
      </c>
      <c r="X47" s="399">
        <v>0</v>
      </c>
      <c r="Y47" s="399">
        <v>0</v>
      </c>
      <c r="Z47" s="399">
        <v>0</v>
      </c>
      <c r="AA47" s="399">
        <v>0</v>
      </c>
      <c r="AB47" s="399">
        <v>0</v>
      </c>
      <c r="AC47" s="400">
        <v>0</v>
      </c>
      <c r="AD47" s="242"/>
      <c r="AE47" s="401">
        <f t="shared" si="2"/>
        <v>195830</v>
      </c>
      <c r="AG47" s="236">
        <v>61119</v>
      </c>
      <c r="AH47" s="244"/>
      <c r="AI47" s="245" t="s">
        <v>2352</v>
      </c>
      <c r="AJ47" s="236">
        <v>3602</v>
      </c>
      <c r="AK47" s="232">
        <v>2007</v>
      </c>
      <c r="AL47" s="402"/>
      <c r="AM47" s="247"/>
      <c r="AN47" s="403" t="s">
        <v>45</v>
      </c>
      <c r="AO47" s="404"/>
      <c r="AP47" s="402"/>
      <c r="AQ47" s="405">
        <f t="shared" si="3"/>
        <v>9643</v>
      </c>
      <c r="AR47" s="405" t="str">
        <f>IFERROR(VLOOKUP($AQ47,[19]TruckCenterReference!$C$22:$I69,3,FALSE), "")</f>
        <v/>
      </c>
      <c r="AS47" s="406" t="str">
        <f t="shared" si="4"/>
        <v>Review</v>
      </c>
      <c r="AT47" s="407"/>
      <c r="AU47" s="408" t="str">
        <f>IFERROR(VLOOKUP($AQ47,[19]TruckCenterReference!$C$22:$I69,4,FALSE), "")</f>
        <v/>
      </c>
      <c r="AV47" s="406" t="str">
        <f t="shared" si="5"/>
        <v>Fix!</v>
      </c>
      <c r="AX47" s="405" t="str">
        <f t="shared" si="6"/>
        <v>Automated Sideloader</v>
      </c>
      <c r="AY47" s="409" t="str">
        <f>IFERROR(VLOOKUP($AQ47,[19]TruckCenterReference!$C$22:$I69,6,FALSE), "")</f>
        <v/>
      </c>
      <c r="AZ47" s="406" t="str">
        <f t="shared" si="7"/>
        <v>Fix!</v>
      </c>
      <c r="BA47" s="407"/>
      <c r="BB47" s="408">
        <f>IFERROR(VLOOKUP($AQ47,[19]TruckCenterReference!$C$22:$I69,7,FALSE), 0)</f>
        <v>0</v>
      </c>
      <c r="BC47" s="410" t="str">
        <f t="shared" si="8"/>
        <v/>
      </c>
      <c r="BD47" s="406" t="e">
        <f t="shared" si="9"/>
        <v>#VALUE!</v>
      </c>
    </row>
    <row r="48" spans="1:56" ht="76.5">
      <c r="A48" s="392" t="b">
        <f t="shared" si="0"/>
        <v>0</v>
      </c>
      <c r="B48" s="392" t="str">
        <f t="shared" si="1"/>
        <v>0004-1</v>
      </c>
      <c r="C48" s="396" t="s">
        <v>2299</v>
      </c>
      <c r="D48" s="397">
        <v>1</v>
      </c>
      <c r="E48" s="230"/>
      <c r="F48" s="231">
        <v>4</v>
      </c>
      <c r="G48" s="232">
        <v>1</v>
      </c>
      <c r="H48" s="233" t="s">
        <v>2350</v>
      </c>
      <c r="I48" s="233" t="s">
        <v>2350</v>
      </c>
      <c r="J48" s="233" t="s">
        <v>2353</v>
      </c>
      <c r="K48" s="234"/>
      <c r="L48" s="235" t="s">
        <v>2294</v>
      </c>
      <c r="M48" s="235" t="s">
        <v>2295</v>
      </c>
      <c r="N48" s="236">
        <v>10</v>
      </c>
      <c r="O48" s="237" t="s">
        <v>1059</v>
      </c>
      <c r="P48" s="237" t="s">
        <v>809</v>
      </c>
      <c r="Q48" s="238">
        <v>9644</v>
      </c>
      <c r="R48" s="398">
        <v>0</v>
      </c>
      <c r="S48" s="399">
        <v>0</v>
      </c>
      <c r="T48" s="399">
        <v>195830</v>
      </c>
      <c r="U48" s="399">
        <v>0</v>
      </c>
      <c r="V48" s="399">
        <v>0</v>
      </c>
      <c r="W48" s="399">
        <v>0</v>
      </c>
      <c r="X48" s="399">
        <v>0</v>
      </c>
      <c r="Y48" s="399">
        <v>0</v>
      </c>
      <c r="Z48" s="399">
        <v>0</v>
      </c>
      <c r="AA48" s="399">
        <v>0</v>
      </c>
      <c r="AB48" s="399">
        <v>0</v>
      </c>
      <c r="AC48" s="400">
        <v>0</v>
      </c>
      <c r="AD48" s="242"/>
      <c r="AE48" s="401">
        <f t="shared" si="2"/>
        <v>195830</v>
      </c>
      <c r="AG48" s="236"/>
      <c r="AH48" s="244"/>
      <c r="AI48" s="245" t="s">
        <v>2354</v>
      </c>
      <c r="AJ48" s="236"/>
      <c r="AK48" s="232"/>
      <c r="AL48" s="402"/>
      <c r="AM48" s="247"/>
      <c r="AN48" s="403" t="s">
        <v>45</v>
      </c>
      <c r="AO48" s="404"/>
      <c r="AP48" s="402"/>
      <c r="AQ48" s="405">
        <f t="shared" si="3"/>
        <v>9644</v>
      </c>
      <c r="AR48" s="405" t="str">
        <f>IFERROR(VLOOKUP($AQ48,[19]TruckCenterReference!$C$22:$I70,3,FALSE), "")</f>
        <v/>
      </c>
      <c r="AS48" s="406" t="str">
        <f t="shared" si="4"/>
        <v>Review</v>
      </c>
      <c r="AT48" s="407"/>
      <c r="AU48" s="408" t="str">
        <f>IFERROR(VLOOKUP($AQ48,[19]TruckCenterReference!$C$22:$I70,4,FALSE), "")</f>
        <v/>
      </c>
      <c r="AV48" s="406" t="str">
        <f t="shared" si="5"/>
        <v>Fix!</v>
      </c>
      <c r="AX48" s="405" t="str">
        <f t="shared" si="6"/>
        <v>Automated Sideloader</v>
      </c>
      <c r="AY48" s="409" t="str">
        <f>IFERROR(VLOOKUP($AQ48,[19]TruckCenterReference!$C$22:$I70,6,FALSE), "")</f>
        <v/>
      </c>
      <c r="AZ48" s="406" t="str">
        <f t="shared" si="7"/>
        <v>Fix!</v>
      </c>
      <c r="BA48" s="407"/>
      <c r="BB48" s="408">
        <f>IFERROR(VLOOKUP($AQ48,[19]TruckCenterReference!$C$22:$I70,7,FALSE), 0)</f>
        <v>0</v>
      </c>
      <c r="BC48" s="410" t="str">
        <f t="shared" si="8"/>
        <v/>
      </c>
      <c r="BD48" s="406" t="e">
        <f t="shared" si="9"/>
        <v>#VALUE!</v>
      </c>
    </row>
    <row r="49" spans="1:56" ht="51">
      <c r="A49" s="392" t="b">
        <f t="shared" si="0"/>
        <v>0</v>
      </c>
      <c r="B49" s="392" t="str">
        <f t="shared" si="1"/>
        <v>0006-1</v>
      </c>
      <c r="C49" s="396" t="s">
        <v>2305</v>
      </c>
      <c r="D49" s="397">
        <v>1</v>
      </c>
      <c r="E49" s="230"/>
      <c r="F49" s="231">
        <v>6</v>
      </c>
      <c r="G49" s="232">
        <v>1</v>
      </c>
      <c r="H49" s="233" t="s">
        <v>2355</v>
      </c>
      <c r="I49" s="233" t="s">
        <v>2355</v>
      </c>
      <c r="J49" s="233" t="s">
        <v>2356</v>
      </c>
      <c r="K49" s="234"/>
      <c r="L49" s="235" t="s">
        <v>2294</v>
      </c>
      <c r="M49" s="235" t="s">
        <v>2295</v>
      </c>
      <c r="N49" s="236">
        <v>10</v>
      </c>
      <c r="O49" s="237" t="s">
        <v>1059</v>
      </c>
      <c r="P49" s="237" t="s">
        <v>809</v>
      </c>
      <c r="Q49" s="238">
        <v>10070</v>
      </c>
      <c r="R49" s="398">
        <v>0</v>
      </c>
      <c r="S49" s="399">
        <v>0</v>
      </c>
      <c r="T49" s="399">
        <v>0</v>
      </c>
      <c r="U49" s="399">
        <v>0</v>
      </c>
      <c r="V49" s="399">
        <v>0</v>
      </c>
      <c r="W49" s="399">
        <v>0</v>
      </c>
      <c r="X49" s="399">
        <v>0</v>
      </c>
      <c r="Y49" s="399">
        <v>0</v>
      </c>
      <c r="Z49" s="399">
        <v>0</v>
      </c>
      <c r="AA49" s="399">
        <v>372186</v>
      </c>
      <c r="AB49" s="399">
        <v>0</v>
      </c>
      <c r="AC49" s="400">
        <v>0</v>
      </c>
      <c r="AD49" s="242"/>
      <c r="AE49" s="401">
        <f t="shared" si="2"/>
        <v>372186</v>
      </c>
      <c r="AG49" s="236"/>
      <c r="AH49" s="244"/>
      <c r="AI49" s="245" t="s">
        <v>2356</v>
      </c>
      <c r="AJ49" s="236"/>
      <c r="AK49" s="232"/>
      <c r="AL49" s="402"/>
      <c r="AM49" s="247"/>
      <c r="AN49" s="403" t="s">
        <v>45</v>
      </c>
      <c r="AO49" s="404"/>
      <c r="AP49" s="402"/>
      <c r="AQ49" s="405">
        <f t="shared" si="3"/>
        <v>10070</v>
      </c>
      <c r="AR49" s="405" t="str">
        <f>IFERROR(VLOOKUP($AQ49,[19]TruckCenterReference!$C$22:$I71,3,FALSE), "")</f>
        <v/>
      </c>
      <c r="AS49" s="406" t="str">
        <f t="shared" si="4"/>
        <v>Review</v>
      </c>
      <c r="AT49" s="407"/>
      <c r="AU49" s="408" t="str">
        <f>IFERROR(VLOOKUP($AQ49,[19]TruckCenterReference!$C$22:$I71,4,FALSE), "")</f>
        <v/>
      </c>
      <c r="AV49" s="406" t="str">
        <f t="shared" si="5"/>
        <v>Fix!</v>
      </c>
      <c r="AX49" s="405" t="str">
        <f t="shared" si="6"/>
        <v>Automated Sideloader</v>
      </c>
      <c r="AY49" s="409" t="str">
        <f>IFERROR(VLOOKUP($AQ49,[19]TruckCenterReference!$C$22:$I71,6,FALSE), "")</f>
        <v/>
      </c>
      <c r="AZ49" s="406" t="str">
        <f t="shared" si="7"/>
        <v>Fix!</v>
      </c>
      <c r="BA49" s="407"/>
      <c r="BB49" s="408">
        <f>IFERROR(VLOOKUP($AQ49,[19]TruckCenterReference!$C$22:$I71,7,FALSE), 0)</f>
        <v>0</v>
      </c>
      <c r="BC49" s="410" t="str">
        <f t="shared" si="8"/>
        <v/>
      </c>
      <c r="BD49" s="406" t="e">
        <f t="shared" si="9"/>
        <v>#VALUE!</v>
      </c>
    </row>
    <row r="50" spans="1:56" s="435" customFormat="1" ht="63.75">
      <c r="A50" s="435" t="b">
        <f t="shared" si="0"/>
        <v>0</v>
      </c>
      <c r="B50" s="435" t="str">
        <f t="shared" si="1"/>
        <v>0009-1</v>
      </c>
      <c r="C50" s="436" t="s">
        <v>2313</v>
      </c>
      <c r="D50" s="437">
        <v>1</v>
      </c>
      <c r="E50" s="438"/>
      <c r="F50" s="439">
        <v>9</v>
      </c>
      <c r="G50" s="440">
        <v>1</v>
      </c>
      <c r="H50" s="441" t="s">
        <v>2357</v>
      </c>
      <c r="I50" s="441" t="s">
        <v>2357</v>
      </c>
      <c r="J50" s="441" t="s">
        <v>2358</v>
      </c>
      <c r="K50" s="442"/>
      <c r="L50" s="443" t="s">
        <v>2294</v>
      </c>
      <c r="M50" s="443" t="s">
        <v>2311</v>
      </c>
      <c r="N50" s="442">
        <v>10</v>
      </c>
      <c r="O50" s="444" t="s">
        <v>2296</v>
      </c>
      <c r="P50" s="444" t="s">
        <v>809</v>
      </c>
      <c r="Q50" s="440">
        <v>9899</v>
      </c>
      <c r="R50" s="445">
        <v>0</v>
      </c>
      <c r="S50" s="446">
        <v>0</v>
      </c>
      <c r="T50" s="446">
        <v>0</v>
      </c>
      <c r="U50" s="446">
        <v>0</v>
      </c>
      <c r="V50" s="446">
        <v>0</v>
      </c>
      <c r="W50" s="446">
        <v>0</v>
      </c>
      <c r="X50" s="446">
        <v>308100</v>
      </c>
      <c r="Y50" s="446">
        <v>0</v>
      </c>
      <c r="Z50" s="446">
        <v>0</v>
      </c>
      <c r="AA50" s="446">
        <v>0</v>
      </c>
      <c r="AB50" s="446">
        <v>0</v>
      </c>
      <c r="AC50" s="447">
        <v>0</v>
      </c>
      <c r="AD50" s="448"/>
      <c r="AE50" s="449">
        <f t="shared" si="2"/>
        <v>308100</v>
      </c>
      <c r="AG50" s="442">
        <v>114266</v>
      </c>
      <c r="AH50" s="450" t="s">
        <v>1767</v>
      </c>
      <c r="AI50" s="451" t="s">
        <v>2358</v>
      </c>
      <c r="AJ50" s="442">
        <v>1003</v>
      </c>
      <c r="AK50" s="440">
        <v>1996</v>
      </c>
      <c r="AL50" s="452"/>
      <c r="AM50" s="453"/>
      <c r="AN50" s="454" t="s">
        <v>45</v>
      </c>
      <c r="AO50" s="452"/>
      <c r="AP50" s="452"/>
      <c r="AQ50" s="455">
        <f t="shared" si="3"/>
        <v>9899</v>
      </c>
      <c r="AR50" s="455" t="str">
        <f>IFERROR(VLOOKUP($AQ50,[19]TruckCenterReference!$C$22:$I72,3,FALSE), "")</f>
        <v/>
      </c>
      <c r="AS50" s="456" t="str">
        <f t="shared" si="4"/>
        <v>Review</v>
      </c>
      <c r="AT50" s="457"/>
      <c r="AU50" s="458" t="str">
        <f>IFERROR(VLOOKUP($AQ50,[19]TruckCenterReference!$C$22:$I72,4,FALSE), "")</f>
        <v/>
      </c>
      <c r="AV50" s="456" t="str">
        <f t="shared" si="5"/>
        <v>Fix!</v>
      </c>
      <c r="AX50" s="455" t="str">
        <f t="shared" si="6"/>
        <v>Rear Loader</v>
      </c>
      <c r="AY50" s="459" t="str">
        <f>IFERROR(VLOOKUP($AQ50,[19]TruckCenterReference!$C$22:$I72,6,FALSE), "")</f>
        <v/>
      </c>
      <c r="AZ50" s="456" t="str">
        <f t="shared" si="7"/>
        <v>Fix!</v>
      </c>
      <c r="BA50" s="457"/>
      <c r="BB50" s="458">
        <f>IFERROR(VLOOKUP($AQ50,[19]TruckCenterReference!$C$22:$I72,7,FALSE), 0)</f>
        <v>0</v>
      </c>
      <c r="BC50" s="460" t="str">
        <f t="shared" si="8"/>
        <v/>
      </c>
      <c r="BD50" s="456" t="e">
        <f t="shared" si="9"/>
        <v>#VALUE!</v>
      </c>
    </row>
    <row r="51" spans="1:56" s="435" customFormat="1" ht="76.5">
      <c r="A51" s="435" t="b">
        <f t="shared" si="0"/>
        <v>0</v>
      </c>
      <c r="B51" s="435" t="str">
        <f t="shared" si="1"/>
        <v>0010-1</v>
      </c>
      <c r="C51" s="436" t="s">
        <v>2316</v>
      </c>
      <c r="D51" s="437">
        <v>1</v>
      </c>
      <c r="E51" s="438"/>
      <c r="F51" s="439">
        <v>10</v>
      </c>
      <c r="G51" s="440">
        <v>1</v>
      </c>
      <c r="H51" s="441" t="s">
        <v>2359</v>
      </c>
      <c r="I51" s="441" t="s">
        <v>2359</v>
      </c>
      <c r="J51" s="441" t="s">
        <v>2360</v>
      </c>
      <c r="K51" s="442"/>
      <c r="L51" s="443" t="s">
        <v>2294</v>
      </c>
      <c r="M51" s="443" t="s">
        <v>2311</v>
      </c>
      <c r="N51" s="442">
        <v>10</v>
      </c>
      <c r="O51" s="444" t="s">
        <v>2296</v>
      </c>
      <c r="P51" s="444" t="s">
        <v>809</v>
      </c>
      <c r="Q51" s="440">
        <v>10185</v>
      </c>
      <c r="R51" s="445">
        <v>0</v>
      </c>
      <c r="S51" s="446">
        <v>0</v>
      </c>
      <c r="T51" s="446">
        <v>0</v>
      </c>
      <c r="U51" s="446">
        <v>0</v>
      </c>
      <c r="V51" s="446">
        <v>0</v>
      </c>
      <c r="W51" s="446">
        <v>0</v>
      </c>
      <c r="X51" s="446">
        <v>0</v>
      </c>
      <c r="Y51" s="446">
        <v>0</v>
      </c>
      <c r="Z51" s="446">
        <v>320594</v>
      </c>
      <c r="AA51" s="446">
        <v>0</v>
      </c>
      <c r="AB51" s="446">
        <v>0</v>
      </c>
      <c r="AC51" s="447">
        <v>0</v>
      </c>
      <c r="AD51" s="448"/>
      <c r="AE51" s="449">
        <f t="shared" si="2"/>
        <v>320594</v>
      </c>
      <c r="AG51" s="442">
        <v>114278</v>
      </c>
      <c r="AH51" s="450" t="s">
        <v>1756</v>
      </c>
      <c r="AI51" s="451" t="s">
        <v>2361</v>
      </c>
      <c r="AJ51" s="442">
        <v>1029</v>
      </c>
      <c r="AK51" s="440">
        <v>2000</v>
      </c>
      <c r="AL51" s="452"/>
      <c r="AM51" s="453"/>
      <c r="AN51" s="454" t="s">
        <v>45</v>
      </c>
      <c r="AO51" s="452"/>
      <c r="AP51" s="452"/>
      <c r="AQ51" s="455">
        <f t="shared" si="3"/>
        <v>10185</v>
      </c>
      <c r="AR51" s="455" t="str">
        <f>IFERROR(VLOOKUP($AQ51,[19]TruckCenterReference!$C$22:$I73,3,FALSE), "")</f>
        <v/>
      </c>
      <c r="AS51" s="456" t="str">
        <f t="shared" si="4"/>
        <v>Review</v>
      </c>
      <c r="AT51" s="457"/>
      <c r="AU51" s="458" t="str">
        <f>IFERROR(VLOOKUP($AQ51,[19]TruckCenterReference!$C$22:$I73,4,FALSE), "")</f>
        <v/>
      </c>
      <c r="AV51" s="456" t="str">
        <f t="shared" si="5"/>
        <v>Fix!</v>
      </c>
      <c r="AX51" s="455" t="str">
        <f t="shared" si="6"/>
        <v>Rear Loader</v>
      </c>
      <c r="AY51" s="459" t="str">
        <f>IFERROR(VLOOKUP($AQ51,[19]TruckCenterReference!$C$22:$I73,6,FALSE), "")</f>
        <v/>
      </c>
      <c r="AZ51" s="456" t="str">
        <f t="shared" si="7"/>
        <v>Fix!</v>
      </c>
      <c r="BA51" s="457"/>
      <c r="BB51" s="458">
        <f>IFERROR(VLOOKUP($AQ51,[19]TruckCenterReference!$C$22:$I73,7,FALSE), 0)</f>
        <v>0</v>
      </c>
      <c r="BC51" s="460" t="str">
        <f t="shared" si="8"/>
        <v/>
      </c>
      <c r="BD51" s="456" t="e">
        <f t="shared" si="9"/>
        <v>#VALUE!</v>
      </c>
    </row>
    <row r="52" spans="1:56" ht="63.75">
      <c r="A52" s="392" t="b">
        <f t="shared" si="0"/>
        <v>0</v>
      </c>
      <c r="B52" s="392" t="str">
        <f t="shared" si="1"/>
        <v>0011-1</v>
      </c>
      <c r="C52" s="396" t="s">
        <v>2322</v>
      </c>
      <c r="D52" s="397">
        <v>1</v>
      </c>
      <c r="E52" s="230"/>
      <c r="F52" s="231">
        <v>11</v>
      </c>
      <c r="G52" s="232">
        <v>1</v>
      </c>
      <c r="H52" s="233" t="s">
        <v>2362</v>
      </c>
      <c r="I52" s="233" t="s">
        <v>2362</v>
      </c>
      <c r="J52" s="233" t="s">
        <v>2363</v>
      </c>
      <c r="K52" s="234"/>
      <c r="L52" s="235" t="s">
        <v>2319</v>
      </c>
      <c r="M52" s="235" t="s">
        <v>2320</v>
      </c>
      <c r="N52" s="236">
        <v>7</v>
      </c>
      <c r="O52" s="237" t="s">
        <v>2296</v>
      </c>
      <c r="P52" s="237" t="s">
        <v>809</v>
      </c>
      <c r="Q52" s="238"/>
      <c r="R52" s="398">
        <v>0</v>
      </c>
      <c r="S52" s="399">
        <v>190000</v>
      </c>
      <c r="T52" s="399">
        <v>0</v>
      </c>
      <c r="U52" s="399">
        <v>190000</v>
      </c>
      <c r="V52" s="399">
        <v>0</v>
      </c>
      <c r="W52" s="399">
        <v>0</v>
      </c>
      <c r="X52" s="399">
        <v>0</v>
      </c>
      <c r="Y52" s="399">
        <v>0</v>
      </c>
      <c r="Z52" s="399">
        <v>190000</v>
      </c>
      <c r="AA52" s="399">
        <v>0</v>
      </c>
      <c r="AB52" s="399">
        <v>190000</v>
      </c>
      <c r="AC52" s="400">
        <v>0</v>
      </c>
      <c r="AD52" s="242"/>
      <c r="AE52" s="401">
        <f t="shared" si="2"/>
        <v>760000</v>
      </c>
      <c r="AG52" s="236"/>
      <c r="AH52" s="244"/>
      <c r="AI52" s="245" t="s">
        <v>2364</v>
      </c>
      <c r="AJ52" s="236"/>
      <c r="AK52" s="232"/>
      <c r="AL52" s="402"/>
      <c r="AM52" s="247"/>
      <c r="AN52" s="403" t="s">
        <v>45</v>
      </c>
      <c r="AO52" s="404"/>
      <c r="AP52" s="402"/>
      <c r="AQ52" s="405" t="str">
        <f t="shared" si="3"/>
        <v/>
      </c>
      <c r="AR52" s="405" t="str">
        <f>IFERROR(VLOOKUP($AQ52,[19]TruckCenterReference!$C$22:$I74,3,FALSE), "")</f>
        <v/>
      </c>
      <c r="AS52" s="406" t="str">
        <f t="shared" si="4"/>
        <v/>
      </c>
      <c r="AT52" s="407"/>
      <c r="AU52" s="408" t="str">
        <f>IFERROR(VLOOKUP($AQ52,[19]TruckCenterReference!$C$22:$I74,4,FALSE), "")</f>
        <v/>
      </c>
      <c r="AV52" s="406" t="str">
        <f t="shared" si="5"/>
        <v/>
      </c>
      <c r="AX52" s="405" t="str">
        <f t="shared" si="6"/>
        <v/>
      </c>
      <c r="AY52" s="409" t="str">
        <f>IFERROR(VLOOKUP($AQ52,[19]TruckCenterReference!$C$22:$I74,6,FALSE), "")</f>
        <v/>
      </c>
      <c r="AZ52" s="406" t="str">
        <f t="shared" si="7"/>
        <v/>
      </c>
      <c r="BA52" s="407"/>
      <c r="BB52" s="408">
        <f>IFERROR(VLOOKUP($AQ52,[19]TruckCenterReference!$C$22:$I74,7,FALSE), 0)</f>
        <v>0</v>
      </c>
      <c r="BC52" s="410" t="str">
        <f t="shared" si="8"/>
        <v/>
      </c>
      <c r="BD52" s="406" t="str">
        <f t="shared" si="9"/>
        <v/>
      </c>
    </row>
    <row r="53" spans="1:56">
      <c r="A53" s="392" t="b">
        <f t="shared" si="0"/>
        <v>0</v>
      </c>
      <c r="B53" s="392" t="str">
        <f t="shared" si="1"/>
        <v/>
      </c>
      <c r="C53" s="396" t="s">
        <v>316</v>
      </c>
      <c r="D53" s="397">
        <v>1</v>
      </c>
      <c r="E53" s="230"/>
      <c r="F53" s="231"/>
      <c r="G53" s="232"/>
      <c r="H53" s="233" t="s">
        <v>316</v>
      </c>
      <c r="I53" s="233" t="s">
        <v>316</v>
      </c>
      <c r="J53" s="233" t="s">
        <v>316</v>
      </c>
      <c r="K53" s="234"/>
      <c r="L53" s="235" t="s">
        <v>316</v>
      </c>
      <c r="M53" s="235" t="s">
        <v>316</v>
      </c>
      <c r="N53" s="236"/>
      <c r="O53" s="237" t="s">
        <v>316</v>
      </c>
      <c r="P53" s="237" t="s">
        <v>316</v>
      </c>
      <c r="Q53" s="238"/>
      <c r="R53" s="398">
        <v>0</v>
      </c>
      <c r="S53" s="399">
        <v>0</v>
      </c>
      <c r="T53" s="399">
        <v>0</v>
      </c>
      <c r="U53" s="399">
        <v>0</v>
      </c>
      <c r="V53" s="399">
        <v>0</v>
      </c>
      <c r="W53" s="399">
        <v>0</v>
      </c>
      <c r="X53" s="399">
        <v>0</v>
      </c>
      <c r="Y53" s="399">
        <v>0</v>
      </c>
      <c r="Z53" s="399">
        <v>0</v>
      </c>
      <c r="AA53" s="399">
        <v>0</v>
      </c>
      <c r="AB53" s="399">
        <v>0</v>
      </c>
      <c r="AC53" s="400">
        <v>0</v>
      </c>
      <c r="AD53" s="242"/>
      <c r="AE53" s="401">
        <f t="shared" si="2"/>
        <v>0</v>
      </c>
      <c r="AG53" s="236"/>
      <c r="AH53" s="244"/>
      <c r="AI53" s="245" t="s">
        <v>316</v>
      </c>
      <c r="AJ53" s="236"/>
      <c r="AK53" s="232"/>
      <c r="AL53" s="402"/>
      <c r="AM53" s="247"/>
      <c r="AN53" s="403" t="s">
        <v>45</v>
      </c>
      <c r="AO53" s="404"/>
      <c r="AP53" s="402"/>
      <c r="AQ53" s="405" t="str">
        <f t="shared" si="3"/>
        <v/>
      </c>
      <c r="AR53" s="405" t="str">
        <f>IFERROR(VLOOKUP($AQ53,[19]TruckCenterReference!$C$22:$I75,3,FALSE), "")</f>
        <v/>
      </c>
      <c r="AS53" s="406" t="str">
        <f t="shared" si="4"/>
        <v/>
      </c>
      <c r="AT53" s="407"/>
      <c r="AU53" s="408" t="str">
        <f>IFERROR(VLOOKUP($AQ53,[19]TruckCenterReference!$C$22:$I75,4,FALSE), "")</f>
        <v/>
      </c>
      <c r="AV53" s="406" t="str">
        <f t="shared" si="5"/>
        <v/>
      </c>
      <c r="AX53" s="405" t="str">
        <f t="shared" si="6"/>
        <v/>
      </c>
      <c r="AY53" s="409" t="str">
        <f>IFERROR(VLOOKUP($AQ53,[19]TruckCenterReference!$C$22:$I75,6,FALSE), "")</f>
        <v/>
      </c>
      <c r="AZ53" s="406" t="str">
        <f t="shared" si="7"/>
        <v/>
      </c>
      <c r="BA53" s="407"/>
      <c r="BB53" s="408">
        <f>IFERROR(VLOOKUP($AQ53,[19]TruckCenterReference!$C$22:$I75,7,FALSE), 0)</f>
        <v>0</v>
      </c>
      <c r="BC53" s="410" t="str">
        <f t="shared" si="8"/>
        <v/>
      </c>
      <c r="BD53" s="406" t="str">
        <f t="shared" si="9"/>
        <v/>
      </c>
    </row>
    <row r="54" spans="1:56">
      <c r="A54" s="392" t="b">
        <f t="shared" si="0"/>
        <v>0</v>
      </c>
      <c r="B54" s="392" t="str">
        <f t="shared" si="1"/>
        <v/>
      </c>
      <c r="C54" s="396" t="s">
        <v>316</v>
      </c>
      <c r="D54" s="397">
        <v>1</v>
      </c>
      <c r="E54" s="230"/>
      <c r="F54" s="231"/>
      <c r="G54" s="232"/>
      <c r="H54" s="233" t="s">
        <v>316</v>
      </c>
      <c r="I54" s="233" t="s">
        <v>316</v>
      </c>
      <c r="J54" s="233" t="s">
        <v>316</v>
      </c>
      <c r="K54" s="234"/>
      <c r="L54" s="235" t="s">
        <v>316</v>
      </c>
      <c r="M54" s="235" t="s">
        <v>316</v>
      </c>
      <c r="N54" s="236"/>
      <c r="O54" s="237" t="s">
        <v>316</v>
      </c>
      <c r="P54" s="237" t="s">
        <v>316</v>
      </c>
      <c r="Q54" s="238"/>
      <c r="R54" s="398">
        <v>0</v>
      </c>
      <c r="S54" s="399">
        <v>0</v>
      </c>
      <c r="T54" s="399">
        <v>0</v>
      </c>
      <c r="U54" s="399">
        <v>0</v>
      </c>
      <c r="V54" s="399">
        <v>0</v>
      </c>
      <c r="W54" s="399">
        <v>0</v>
      </c>
      <c r="X54" s="399">
        <v>0</v>
      </c>
      <c r="Y54" s="399">
        <v>0</v>
      </c>
      <c r="Z54" s="399">
        <v>0</v>
      </c>
      <c r="AA54" s="399">
        <v>0</v>
      </c>
      <c r="AB54" s="399">
        <v>0</v>
      </c>
      <c r="AC54" s="400">
        <v>0</v>
      </c>
      <c r="AD54" s="242"/>
      <c r="AE54" s="401">
        <f t="shared" si="2"/>
        <v>0</v>
      </c>
      <c r="AG54" s="236"/>
      <c r="AH54" s="244"/>
      <c r="AI54" s="245" t="s">
        <v>316</v>
      </c>
      <c r="AJ54" s="236"/>
      <c r="AK54" s="232"/>
      <c r="AL54" s="402"/>
      <c r="AM54" s="247"/>
      <c r="AN54" s="403" t="s">
        <v>45</v>
      </c>
      <c r="AO54" s="404"/>
      <c r="AP54" s="402"/>
      <c r="AQ54" s="405" t="str">
        <f t="shared" si="3"/>
        <v/>
      </c>
      <c r="AR54" s="405" t="str">
        <f>IFERROR(VLOOKUP($AQ54,[19]TruckCenterReference!$C$22:$I76,3,FALSE), "")</f>
        <v/>
      </c>
      <c r="AS54" s="406" t="str">
        <f t="shared" si="4"/>
        <v/>
      </c>
      <c r="AT54" s="407"/>
      <c r="AU54" s="408" t="str">
        <f>IFERROR(VLOOKUP($AQ54,[19]TruckCenterReference!$C$22:$I76,4,FALSE), "")</f>
        <v/>
      </c>
      <c r="AV54" s="406" t="str">
        <f t="shared" si="5"/>
        <v/>
      </c>
      <c r="AX54" s="405" t="str">
        <f t="shared" si="6"/>
        <v/>
      </c>
      <c r="AY54" s="409" t="str">
        <f>IFERROR(VLOOKUP($AQ54,[19]TruckCenterReference!$C$22:$I76,6,FALSE), "")</f>
        <v/>
      </c>
      <c r="AZ54" s="406" t="str">
        <f t="shared" si="7"/>
        <v/>
      </c>
      <c r="BA54" s="407"/>
      <c r="BB54" s="408">
        <f>IFERROR(VLOOKUP($AQ54,[19]TruckCenterReference!$C$22:$I76,7,FALSE), 0)</f>
        <v>0</v>
      </c>
      <c r="BC54" s="410" t="str">
        <f t="shared" si="8"/>
        <v/>
      </c>
      <c r="BD54" s="406" t="str">
        <f t="shared" si="9"/>
        <v/>
      </c>
    </row>
    <row r="55" spans="1:56">
      <c r="A55" s="392" t="b">
        <f t="shared" si="0"/>
        <v>0</v>
      </c>
      <c r="B55" s="392" t="str">
        <f t="shared" si="1"/>
        <v/>
      </c>
      <c r="C55" s="396" t="s">
        <v>316</v>
      </c>
      <c r="D55" s="397">
        <v>1</v>
      </c>
      <c r="E55" s="230"/>
      <c r="F55" s="231"/>
      <c r="G55" s="232"/>
      <c r="H55" s="233" t="s">
        <v>316</v>
      </c>
      <c r="I55" s="233" t="s">
        <v>316</v>
      </c>
      <c r="J55" s="233" t="s">
        <v>316</v>
      </c>
      <c r="K55" s="234"/>
      <c r="L55" s="235" t="s">
        <v>316</v>
      </c>
      <c r="M55" s="235" t="s">
        <v>316</v>
      </c>
      <c r="N55" s="236"/>
      <c r="O55" s="237" t="s">
        <v>316</v>
      </c>
      <c r="P55" s="237" t="s">
        <v>316</v>
      </c>
      <c r="Q55" s="238"/>
      <c r="R55" s="398">
        <v>0</v>
      </c>
      <c r="S55" s="399">
        <v>0</v>
      </c>
      <c r="T55" s="399">
        <v>0</v>
      </c>
      <c r="U55" s="399">
        <v>0</v>
      </c>
      <c r="V55" s="399">
        <v>0</v>
      </c>
      <c r="W55" s="399">
        <v>0</v>
      </c>
      <c r="X55" s="399">
        <v>0</v>
      </c>
      <c r="Y55" s="399">
        <v>0</v>
      </c>
      <c r="Z55" s="399">
        <v>0</v>
      </c>
      <c r="AA55" s="399">
        <v>0</v>
      </c>
      <c r="AB55" s="399">
        <v>0</v>
      </c>
      <c r="AC55" s="400">
        <v>0</v>
      </c>
      <c r="AD55" s="242"/>
      <c r="AE55" s="401">
        <f t="shared" si="2"/>
        <v>0</v>
      </c>
      <c r="AG55" s="236"/>
      <c r="AH55" s="244"/>
      <c r="AI55" s="245" t="s">
        <v>316</v>
      </c>
      <c r="AJ55" s="236"/>
      <c r="AK55" s="232"/>
      <c r="AL55" s="402"/>
      <c r="AM55" s="247"/>
      <c r="AN55" s="403" t="s">
        <v>45</v>
      </c>
      <c r="AO55" s="404"/>
      <c r="AP55" s="402"/>
      <c r="AQ55" s="405" t="str">
        <f t="shared" si="3"/>
        <v/>
      </c>
      <c r="AR55" s="405" t="str">
        <f>IFERROR(VLOOKUP($AQ55,[19]TruckCenterReference!$C$22:$I77,3,FALSE), "")</f>
        <v/>
      </c>
      <c r="AS55" s="406" t="str">
        <f t="shared" si="4"/>
        <v/>
      </c>
      <c r="AT55" s="407"/>
      <c r="AU55" s="408" t="str">
        <f>IFERROR(VLOOKUP($AQ55,[19]TruckCenterReference!$C$22:$I77,4,FALSE), "")</f>
        <v/>
      </c>
      <c r="AV55" s="406" t="str">
        <f t="shared" si="5"/>
        <v/>
      </c>
      <c r="AX55" s="405" t="str">
        <f t="shared" si="6"/>
        <v/>
      </c>
      <c r="AY55" s="409" t="str">
        <f>IFERROR(VLOOKUP($AQ55,[19]TruckCenterReference!$C$22:$I77,6,FALSE), "")</f>
        <v/>
      </c>
      <c r="AZ55" s="406" t="str">
        <f t="shared" si="7"/>
        <v/>
      </c>
      <c r="BA55" s="407"/>
      <c r="BB55" s="408">
        <f>IFERROR(VLOOKUP($AQ55,[19]TruckCenterReference!$C$22:$I77,7,FALSE), 0)</f>
        <v>0</v>
      </c>
      <c r="BC55" s="410" t="str">
        <f t="shared" si="8"/>
        <v/>
      </c>
      <c r="BD55" s="406" t="str">
        <f t="shared" si="9"/>
        <v/>
      </c>
    </row>
    <row r="56" spans="1:56">
      <c r="A56" s="392" t="b">
        <f t="shared" si="0"/>
        <v>0</v>
      </c>
      <c r="B56" s="392" t="str">
        <f t="shared" si="1"/>
        <v/>
      </c>
      <c r="C56" s="396" t="s">
        <v>316</v>
      </c>
      <c r="D56" s="397">
        <v>1</v>
      </c>
      <c r="E56" s="230"/>
      <c r="F56" s="231"/>
      <c r="G56" s="232"/>
      <c r="H56" s="233" t="s">
        <v>316</v>
      </c>
      <c r="I56" s="233" t="s">
        <v>316</v>
      </c>
      <c r="J56" s="233" t="s">
        <v>316</v>
      </c>
      <c r="K56" s="234"/>
      <c r="L56" s="235" t="s">
        <v>316</v>
      </c>
      <c r="M56" s="235" t="s">
        <v>316</v>
      </c>
      <c r="N56" s="236"/>
      <c r="O56" s="237" t="s">
        <v>316</v>
      </c>
      <c r="P56" s="237" t="s">
        <v>316</v>
      </c>
      <c r="Q56" s="238"/>
      <c r="R56" s="398">
        <v>0</v>
      </c>
      <c r="S56" s="399">
        <v>0</v>
      </c>
      <c r="T56" s="399">
        <v>0</v>
      </c>
      <c r="U56" s="399">
        <v>0</v>
      </c>
      <c r="V56" s="399">
        <v>0</v>
      </c>
      <c r="W56" s="399">
        <v>0</v>
      </c>
      <c r="X56" s="399">
        <v>0</v>
      </c>
      <c r="Y56" s="399">
        <v>0</v>
      </c>
      <c r="Z56" s="399">
        <v>0</v>
      </c>
      <c r="AA56" s="399">
        <v>0</v>
      </c>
      <c r="AB56" s="399">
        <v>0</v>
      </c>
      <c r="AC56" s="400">
        <v>0</v>
      </c>
      <c r="AD56" s="242"/>
      <c r="AE56" s="401">
        <f t="shared" si="2"/>
        <v>0</v>
      </c>
      <c r="AG56" s="236"/>
      <c r="AH56" s="244"/>
      <c r="AI56" s="245" t="s">
        <v>316</v>
      </c>
      <c r="AJ56" s="236"/>
      <c r="AK56" s="232"/>
      <c r="AL56" s="402"/>
      <c r="AM56" s="247"/>
      <c r="AN56" s="403" t="s">
        <v>45</v>
      </c>
      <c r="AO56" s="404"/>
      <c r="AP56" s="402"/>
      <c r="AQ56" s="405" t="str">
        <f t="shared" si="3"/>
        <v/>
      </c>
      <c r="AR56" s="405" t="str">
        <f>IFERROR(VLOOKUP($AQ56,[19]TruckCenterReference!$C$22:$I78,3,FALSE), "")</f>
        <v/>
      </c>
      <c r="AS56" s="406" t="str">
        <f t="shared" si="4"/>
        <v/>
      </c>
      <c r="AT56" s="407"/>
      <c r="AU56" s="408" t="str">
        <f>IFERROR(VLOOKUP($AQ56,[19]TruckCenterReference!$C$22:$I78,4,FALSE), "")</f>
        <v/>
      </c>
      <c r="AV56" s="406" t="str">
        <f t="shared" si="5"/>
        <v/>
      </c>
      <c r="AX56" s="405" t="str">
        <f t="shared" si="6"/>
        <v/>
      </c>
      <c r="AY56" s="409" t="str">
        <f>IFERROR(VLOOKUP($AQ56,[19]TruckCenterReference!$C$22:$I78,6,FALSE), "")</f>
        <v/>
      </c>
      <c r="AZ56" s="406" t="str">
        <f t="shared" si="7"/>
        <v/>
      </c>
      <c r="BA56" s="407"/>
      <c r="BB56" s="408">
        <f>IFERROR(VLOOKUP($AQ56,[19]TruckCenterReference!$C$22:$I78,7,FALSE), 0)</f>
        <v>0</v>
      </c>
      <c r="BC56" s="410" t="str">
        <f t="shared" si="8"/>
        <v/>
      </c>
      <c r="BD56" s="406" t="str">
        <f t="shared" si="9"/>
        <v/>
      </c>
    </row>
    <row r="57" spans="1:56">
      <c r="E57" s="311" t="s">
        <v>2326</v>
      </c>
      <c r="F57" s="312"/>
      <c r="G57" s="313"/>
      <c r="H57" s="266"/>
      <c r="I57" s="266"/>
      <c r="J57" s="266"/>
      <c r="K57" s="266"/>
      <c r="L57" s="266"/>
      <c r="M57" s="266"/>
      <c r="N57" s="242"/>
      <c r="O57" s="242"/>
      <c r="P57" s="242"/>
      <c r="Q57" s="242"/>
      <c r="R57" s="314"/>
      <c r="S57" s="314"/>
      <c r="T57" s="314"/>
      <c r="U57" s="314"/>
      <c r="V57" s="314"/>
      <c r="W57" s="314"/>
      <c r="X57" s="314"/>
      <c r="Y57" s="314"/>
      <c r="Z57" s="314"/>
      <c r="AA57" s="314"/>
      <c r="AB57" s="314"/>
      <c r="AC57" s="314"/>
      <c r="AD57" s="242"/>
      <c r="AE57" s="315"/>
      <c r="AG57" s="242"/>
      <c r="AH57" s="242"/>
      <c r="AI57" s="242"/>
      <c r="AJ57" s="242"/>
      <c r="AK57" s="242"/>
      <c r="AM57" s="242"/>
    </row>
    <row r="58" spans="1:56" ht="15.75" thickBot="1">
      <c r="P58" s="430"/>
      <c r="Q58" s="316" t="s">
        <v>2327</v>
      </c>
      <c r="R58" s="432">
        <f t="shared" ref="R58:AC58" si="10">SUM(R29:R57)</f>
        <v>195830</v>
      </c>
      <c r="S58" s="432">
        <f t="shared" si="10"/>
        <v>190000</v>
      </c>
      <c r="T58" s="432">
        <f t="shared" si="10"/>
        <v>195830</v>
      </c>
      <c r="U58" s="432">
        <f t="shared" si="10"/>
        <v>190000</v>
      </c>
      <c r="V58" s="432">
        <f t="shared" si="10"/>
        <v>1813394</v>
      </c>
      <c r="W58" s="432">
        <f t="shared" si="10"/>
        <v>0</v>
      </c>
      <c r="X58" s="432">
        <f t="shared" si="10"/>
        <v>1393901</v>
      </c>
      <c r="Y58" s="432">
        <f t="shared" si="10"/>
        <v>0</v>
      </c>
      <c r="Z58" s="432">
        <f t="shared" si="10"/>
        <v>510594</v>
      </c>
      <c r="AA58" s="432">
        <f t="shared" si="10"/>
        <v>372186</v>
      </c>
      <c r="AB58" s="432">
        <f t="shared" si="10"/>
        <v>190000</v>
      </c>
      <c r="AC58" s="432">
        <f t="shared" si="10"/>
        <v>0</v>
      </c>
      <c r="AD58" s="308"/>
      <c r="AE58" s="432">
        <f>SUM(AE29:AE57)</f>
        <v>5051735</v>
      </c>
      <c r="AG58" s="242"/>
      <c r="AH58" s="242"/>
      <c r="AI58" s="242"/>
      <c r="AJ58" s="242"/>
      <c r="AK58" s="242"/>
      <c r="AM58" s="242"/>
    </row>
    <row r="59" spans="1:56" ht="15.75" thickTop="1">
      <c r="E59" s="266"/>
      <c r="F59" s="266"/>
      <c r="G59" s="266"/>
      <c r="H59" s="266"/>
      <c r="I59" s="266"/>
      <c r="J59" s="266"/>
      <c r="K59" s="266"/>
      <c r="L59" s="266"/>
      <c r="M59" s="266"/>
      <c r="N59" s="242"/>
      <c r="O59" s="242"/>
      <c r="P59" s="242"/>
      <c r="Q59" s="242"/>
      <c r="R59" s="314"/>
      <c r="S59" s="314"/>
      <c r="T59" s="314"/>
      <c r="U59" s="314"/>
      <c r="V59" s="314"/>
      <c r="W59" s="314"/>
      <c r="X59" s="314"/>
      <c r="Y59" s="314"/>
      <c r="Z59" s="314"/>
      <c r="AA59" s="314"/>
      <c r="AB59" s="314"/>
      <c r="AC59" s="314"/>
      <c r="AD59" s="242"/>
      <c r="AE59" s="318"/>
      <c r="AG59" s="242"/>
      <c r="AH59" s="242"/>
      <c r="AI59" s="242"/>
      <c r="AJ59" s="242"/>
      <c r="AK59" s="242"/>
      <c r="AM59" s="242"/>
    </row>
    <row r="60" spans="1:56">
      <c r="AD60" s="242"/>
    </row>
    <row r="61" spans="1:56">
      <c r="AE61" s="433"/>
    </row>
    <row r="63" spans="1:56">
      <c r="V63" s="434"/>
    </row>
    <row r="64" spans="1:56">
      <c r="V64" s="434"/>
    </row>
    <row r="65" spans="12:22">
      <c r="V65" s="434"/>
    </row>
    <row r="66" spans="12:22">
      <c r="L66" s="434"/>
      <c r="M66" s="434"/>
      <c r="V66" s="434"/>
    </row>
    <row r="68" spans="12:22">
      <c r="V68" s="434"/>
    </row>
    <row r="73" spans="12:22">
      <c r="L73" s="434"/>
      <c r="M73" s="434"/>
    </row>
  </sheetData>
  <conditionalFormatting sqref="AZ6">
    <cfRule type="cellIs" dxfId="19" priority="10" operator="equal">
      <formula>"Fix!"</formula>
    </cfRule>
  </conditionalFormatting>
  <conditionalFormatting sqref="BD6">
    <cfRule type="cellIs" dxfId="18" priority="8" operator="equal">
      <formula>"Review"</formula>
    </cfRule>
    <cfRule type="cellIs" dxfId="17" priority="9" operator="equal">
      <formula>"Fix!"</formula>
    </cfRule>
  </conditionalFormatting>
  <conditionalFormatting sqref="AS6">
    <cfRule type="cellIs" dxfId="16" priority="7" operator="equal">
      <formula>"Review"</formula>
    </cfRule>
  </conditionalFormatting>
  <conditionalFormatting sqref="AZ30:AZ56">
    <cfRule type="cellIs" dxfId="15" priority="5" operator="equal">
      <formula>"Fix!"</formula>
    </cfRule>
  </conditionalFormatting>
  <conditionalFormatting sqref="AV6">
    <cfRule type="cellIs" dxfId="14" priority="6" operator="equal">
      <formula>"Fix!"</formula>
    </cfRule>
  </conditionalFormatting>
  <conditionalFormatting sqref="BD30:BD56">
    <cfRule type="cellIs" dxfId="13" priority="3" operator="equal">
      <formula>"Review"</formula>
    </cfRule>
    <cfRule type="cellIs" dxfId="12" priority="4" operator="equal">
      <formula>"Fix!"</formula>
    </cfRule>
  </conditionalFormatting>
  <conditionalFormatting sqref="AV30:AV56">
    <cfRule type="cellIs" dxfId="11" priority="1" operator="equal">
      <formula>"Fix!"</formula>
    </cfRule>
  </conditionalFormatting>
  <conditionalFormatting sqref="AS30:AS56">
    <cfRule type="cellIs" dxfId="10" priority="2" operator="equal">
      <formula>"Review"</formula>
    </cfRule>
  </conditionalFormatting>
  <dataValidations count="5">
    <dataValidation type="list" allowBlank="1" showInputMessage="1" showErrorMessage="1" sqref="E6 E30:E56">
      <formula1>"Delete!"</formula1>
    </dataValidation>
    <dataValidation type="list" allowBlank="1" showInputMessage="1" showErrorMessage="1" sqref="O6 O30:O56">
      <formula1>"A,R"</formula1>
    </dataValidation>
    <dataValidation type="list" allowBlank="1" showInputMessage="1" showErrorMessage="1" sqref="P6 P30:P56">
      <formula1>"N,U"</formula1>
    </dataValidation>
    <dataValidation type="list" allowBlank="1" showInputMessage="1" showErrorMessage="1" sqref="I15">
      <formula1>H19</formula1>
    </dataValidation>
    <dataValidation type="list" allowBlank="1" showInputMessage="1" showErrorMessage="1" sqref="Q30:Q56">
      <formula1>",,9643,9644,9899,10070,10185"</formula1>
    </dataValidation>
  </dataValidations>
  <pageMargins left="0.25" right="0.25" top="0.75" bottom="0.75" header="0.3" footer="0.3"/>
  <pageSetup scale="32"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INDIRECT(VLOOKUP($L6,'C:\Users\lindsaywa\AppData\Local\Interject\FileCache\[Budget Capital Input v2.20.xlsx]Reference'!#REF!,4,FALSE))</xm:f>
          </x14:formula1>
          <xm:sqref>M6 M30:M56</xm:sqref>
        </x14:dataValidation>
        <x14:dataValidation type="list" allowBlank="1" showInputMessage="1" showErrorMessage="1">
          <x14:formula1>
            <xm:f>INDIRECT(VLOOKUP($L6&amp;":"&amp;$M6,'C:\Users\lindsaywa\AppData\Local\Interject\FileCache\[Budget Capital Input v2.20.xlsx]Reference'!#REF!,4,FALSE))</xm:f>
          </x14:formula1>
          <xm:sqref>N6 N30:N56</xm:sqref>
        </x14:dataValidation>
        <x14:dataValidation type="list" allowBlank="1" showInputMessage="1" showErrorMessage="1">
          <x14:formula1>
            <xm:f>'C:\Users\lindsaywa\AppData\Local\Interject\FileCache\[Budget Capital Input v2.20.xlsx]AssetTypeList'!#REF!</xm:f>
          </x14:formula1>
          <xm:sqref>L6 L30:L56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68"/>
  <sheetViews>
    <sheetView showGridLines="0" view="pageBreakPreview" topLeftCell="D22" zoomScale="60" zoomScaleNormal="80" workbookViewId="0">
      <pane xSplit="5" ySplit="7" topLeftCell="S29" activePane="bottomRight" state="frozen"/>
      <selection activeCell="H24" sqref="H24"/>
      <selection pane="topRight" activeCell="H24" sqref="H24"/>
      <selection pane="bottomLeft" activeCell="H24" sqref="H24"/>
      <selection pane="bottomRight" activeCell="AA34" sqref="AA34"/>
    </sheetView>
  </sheetViews>
  <sheetFormatPr defaultRowHeight="15" outlineLevelCol="1"/>
  <cols>
    <col min="1" max="2" width="9.140625" style="344"/>
    <col min="3" max="3" width="12.140625" style="344" customWidth="1"/>
    <col min="4" max="4" width="1.42578125" style="344" customWidth="1"/>
    <col min="5" max="5" width="10.42578125" style="344" customWidth="1"/>
    <col min="6" max="6" width="6" style="344" customWidth="1"/>
    <col min="7" max="7" width="5.42578125" style="344" customWidth="1"/>
    <col min="8" max="8" width="27.7109375" style="344" customWidth="1"/>
    <col min="9" max="9" width="49.5703125" style="344" customWidth="1" outlineLevel="1"/>
    <col min="10" max="10" width="45.140625" style="344" customWidth="1" outlineLevel="1"/>
    <col min="11" max="11" width="2.85546875" style="344" customWidth="1"/>
    <col min="12" max="12" width="35.28515625" style="344" bestFit="1" customWidth="1"/>
    <col min="13" max="13" width="28.85546875" style="344" bestFit="1" customWidth="1"/>
    <col min="14" max="14" width="5.7109375" style="344" customWidth="1"/>
    <col min="15" max="15" width="5.5703125" style="344" customWidth="1"/>
    <col min="16" max="16" width="5.140625" style="344" customWidth="1"/>
    <col min="17" max="17" width="9.140625" style="344"/>
    <col min="18" max="29" width="10" style="344" customWidth="1" outlineLevel="1"/>
    <col min="30" max="30" width="0.7109375" style="344" customWidth="1" outlineLevel="1"/>
    <col min="31" max="31" width="13.28515625" style="344" customWidth="1"/>
    <col min="32" max="32" width="0.85546875" style="344" customWidth="1"/>
    <col min="33" max="33" width="9.140625" style="344" hidden="1" customWidth="1" outlineLevel="1"/>
    <col min="34" max="34" width="42.140625" style="344" hidden="1" customWidth="1" outlineLevel="1"/>
    <col min="35" max="35" width="46.42578125" style="344" hidden="1" customWidth="1" outlineLevel="1"/>
    <col min="36" max="37" width="9.140625" style="344" hidden="1" customWidth="1" outlineLevel="1"/>
    <col min="38" max="38" width="2.7109375" style="344" customWidth="1" collapsed="1"/>
    <col min="39" max="39" width="26.7109375" style="344" customWidth="1"/>
    <col min="40" max="40" width="1.42578125" style="344" customWidth="1"/>
    <col min="41" max="41" width="58" style="344" customWidth="1"/>
    <col min="42" max="43" width="9.140625" style="344"/>
    <col min="44" max="44" width="49.28515625" style="344" customWidth="1"/>
    <col min="45" max="45" width="6.85546875" style="344" customWidth="1"/>
    <col min="46" max="46" width="1.42578125" style="344" customWidth="1"/>
    <col min="47" max="47" width="13" style="344" bestFit="1" customWidth="1"/>
    <col min="48" max="48" width="7.7109375" style="344" customWidth="1"/>
    <col min="49" max="49" width="1.28515625" style="344" customWidth="1"/>
    <col min="50" max="50" width="20.5703125" style="344" customWidth="1"/>
    <col min="51" max="51" width="19.42578125" style="344" bestFit="1" customWidth="1"/>
    <col min="52" max="52" width="6.85546875" style="344" customWidth="1"/>
    <col min="53" max="53" width="1.42578125" style="344" customWidth="1"/>
    <col min="54" max="54" width="15.42578125" style="344" customWidth="1"/>
    <col min="55" max="55" width="10.5703125" style="344" customWidth="1"/>
    <col min="56" max="16384" width="9.140625" style="344"/>
  </cols>
  <sheetData>
    <row r="1" spans="1:56" s="343" customFormat="1">
      <c r="D1" s="343" t="s">
        <v>2194</v>
      </c>
      <c r="AT1" s="344"/>
      <c r="AW1" s="344"/>
      <c r="BA1" s="344"/>
    </row>
    <row r="2" spans="1:56">
      <c r="C2" s="345"/>
      <c r="D2" s="346"/>
      <c r="E2" s="345"/>
      <c r="F2" s="345"/>
      <c r="G2" s="345"/>
      <c r="H2" s="347"/>
      <c r="I2" s="347"/>
      <c r="J2" s="347"/>
      <c r="L2" s="345"/>
      <c r="M2" s="345"/>
      <c r="N2" s="345"/>
      <c r="O2" s="345"/>
      <c r="P2" s="345"/>
      <c r="Q2" s="345" t="s">
        <v>2195</v>
      </c>
      <c r="R2" s="345"/>
      <c r="S2" s="345"/>
      <c r="T2" s="345"/>
      <c r="U2" s="345"/>
      <c r="V2" s="345"/>
      <c r="W2" s="345"/>
      <c r="X2" s="345"/>
      <c r="Y2" s="345"/>
      <c r="Z2" s="345"/>
      <c r="AA2" s="345"/>
      <c r="AB2" s="345"/>
      <c r="AC2" s="345"/>
      <c r="AG2" s="345"/>
      <c r="AH2" s="345"/>
      <c r="AI2" s="345"/>
      <c r="AJ2" s="345"/>
      <c r="AK2" s="345"/>
      <c r="AM2" s="345"/>
      <c r="AO2" s="345"/>
    </row>
    <row r="3" spans="1:56">
      <c r="A3" s="344" t="s">
        <v>2196</v>
      </c>
      <c r="B3" s="344" t="s">
        <v>2197</v>
      </c>
      <c r="C3" s="345" t="s">
        <v>2198</v>
      </c>
      <c r="D3" s="346"/>
      <c r="E3" s="345" t="s">
        <v>2199</v>
      </c>
      <c r="F3" s="345" t="s">
        <v>2200</v>
      </c>
      <c r="G3" s="345" t="s">
        <v>2201</v>
      </c>
      <c r="H3" s="347" t="s">
        <v>2202</v>
      </c>
      <c r="I3" s="347" t="s">
        <v>2203</v>
      </c>
      <c r="J3" s="347" t="s">
        <v>2204</v>
      </c>
      <c r="L3" s="345" t="s">
        <v>2205</v>
      </c>
      <c r="M3" s="345" t="s">
        <v>2206</v>
      </c>
      <c r="N3" s="345" t="s">
        <v>2207</v>
      </c>
      <c r="O3" s="345" t="s">
        <v>2208</v>
      </c>
      <c r="P3" s="345" t="s">
        <v>2209</v>
      </c>
      <c r="Q3" s="345" t="s">
        <v>2210</v>
      </c>
      <c r="R3" s="345" t="s">
        <v>2211</v>
      </c>
      <c r="S3" s="345" t="s">
        <v>2212</v>
      </c>
      <c r="T3" s="345" t="s">
        <v>2213</v>
      </c>
      <c r="U3" s="345" t="s">
        <v>2214</v>
      </c>
      <c r="V3" s="345" t="s">
        <v>2215</v>
      </c>
      <c r="W3" s="345" t="s">
        <v>2216</v>
      </c>
      <c r="X3" s="345" t="s">
        <v>2217</v>
      </c>
      <c r="Y3" s="345" t="s">
        <v>2218</v>
      </c>
      <c r="Z3" s="345" t="s">
        <v>2219</v>
      </c>
      <c r="AA3" s="345" t="s">
        <v>2220</v>
      </c>
      <c r="AB3" s="345" t="s">
        <v>2221</v>
      </c>
      <c r="AC3" s="345" t="s">
        <v>2222</v>
      </c>
      <c r="AG3" s="345" t="s">
        <v>2223</v>
      </c>
      <c r="AH3" s="345"/>
      <c r="AI3" s="345" t="s">
        <v>2224</v>
      </c>
      <c r="AJ3" s="345" t="s">
        <v>2225</v>
      </c>
      <c r="AK3" s="345" t="s">
        <v>2226</v>
      </c>
      <c r="AM3" s="345" t="s">
        <v>2227</v>
      </c>
      <c r="AO3" s="345"/>
    </row>
    <row r="4" spans="1:56">
      <c r="C4" s="344" t="s">
        <v>2197</v>
      </c>
      <c r="D4" s="346"/>
      <c r="E4" s="345"/>
      <c r="F4" s="345"/>
      <c r="G4" s="345" t="s">
        <v>2201</v>
      </c>
      <c r="H4" s="347"/>
      <c r="I4" s="347"/>
      <c r="J4" s="347"/>
      <c r="L4" s="345"/>
      <c r="M4" s="345"/>
      <c r="N4" s="345"/>
      <c r="O4" s="345"/>
      <c r="P4" s="345"/>
      <c r="Q4" s="345"/>
      <c r="R4" s="345"/>
      <c r="S4" s="345"/>
      <c r="T4" s="345"/>
      <c r="U4" s="345"/>
      <c r="V4" s="345"/>
      <c r="W4" s="345"/>
      <c r="X4" s="345"/>
      <c r="Y4" s="345"/>
      <c r="Z4" s="345"/>
      <c r="AA4" s="345"/>
      <c r="AB4" s="345"/>
      <c r="AC4" s="345"/>
      <c r="AG4" s="345"/>
      <c r="AH4" s="345"/>
      <c r="AI4" s="345"/>
      <c r="AJ4" s="345"/>
      <c r="AK4" s="345"/>
      <c r="AM4" s="345"/>
      <c r="AO4" s="345" t="s">
        <v>2228</v>
      </c>
    </row>
    <row r="5" spans="1:56" s="343" customFormat="1">
      <c r="D5" s="343" t="s">
        <v>2229</v>
      </c>
      <c r="AT5" s="344"/>
      <c r="AW5" s="344"/>
      <c r="BA5" s="344"/>
    </row>
    <row r="6" spans="1:56">
      <c r="A6" s="344" t="b">
        <f>IF(AND(C6&lt;&gt;"", B6&lt;&gt;C6),TRUE, FALSE)</f>
        <v>0</v>
      </c>
      <c r="B6" s="344" t="str">
        <f>IF(RIGHT("0000"&amp;F6,4)&amp;"-"&amp;G6 &lt;&gt; "0000-", RIGHT("0000"&amp;F6,4)&amp;"-"&amp;G6, "")</f>
        <v/>
      </c>
      <c r="C6" s="348"/>
      <c r="D6" s="349">
        <v>1</v>
      </c>
      <c r="E6" s="230"/>
      <c r="F6" s="231"/>
      <c r="G6" s="232"/>
      <c r="H6" s="233"/>
      <c r="I6" s="233"/>
      <c r="J6" s="233"/>
      <c r="K6" s="234"/>
      <c r="L6" s="235"/>
      <c r="M6" s="235"/>
      <c r="N6" s="236"/>
      <c r="O6" s="237"/>
      <c r="P6" s="237"/>
      <c r="Q6" s="238"/>
      <c r="R6" s="350"/>
      <c r="S6" s="351"/>
      <c r="T6" s="351"/>
      <c r="U6" s="351"/>
      <c r="V6" s="351"/>
      <c r="W6" s="351"/>
      <c r="X6" s="351"/>
      <c r="Y6" s="351"/>
      <c r="Z6" s="351"/>
      <c r="AA6" s="351"/>
      <c r="AB6" s="351"/>
      <c r="AC6" s="352"/>
      <c r="AD6" s="242"/>
      <c r="AE6" s="353">
        <f t="shared" ref="AE6" si="0">SUM(R6:AC6)</f>
        <v>0</v>
      </c>
      <c r="AG6" s="236"/>
      <c r="AH6" s="244"/>
      <c r="AI6" s="245"/>
      <c r="AJ6" s="236"/>
      <c r="AK6" s="232"/>
      <c r="AL6" s="354"/>
      <c r="AM6" s="247"/>
      <c r="AN6" s="355" t="s">
        <v>45</v>
      </c>
      <c r="AO6" s="356"/>
      <c r="AP6" s="354"/>
      <c r="AQ6" s="357" t="str">
        <f>IF(Q6="", "", Q6)</f>
        <v/>
      </c>
      <c r="AR6" s="357" t="str">
        <f>IFERROR(VLOOKUP($AQ6,[19]TruckCenterReference!$C$22:$I32,3,FALSE), "")</f>
        <v/>
      </c>
      <c r="AS6" s="358" t="str">
        <f>IF(Q6&lt;&gt;"",IF(AR6&lt;&gt;H6,"Review","ok"), "")</f>
        <v/>
      </c>
      <c r="AT6" s="359"/>
      <c r="AU6" s="360" t="str">
        <f>IFERROR(VLOOKUP($AQ6,[19]TruckCenterReference!$C$22:$I32,4,FALSE), "")</f>
        <v/>
      </c>
      <c r="AV6" s="358" t="str">
        <f>IF(Q6="","", IF($AU6&lt;&gt;$P6, "Fix!", "ok"))</f>
        <v/>
      </c>
      <c r="AX6" s="357" t="str">
        <f>IFERROR(VLOOKUP(M6,SubtypeToTruckType,2,FALSE),"")</f>
        <v/>
      </c>
      <c r="AY6" s="361" t="str">
        <f>IFERROR(VLOOKUP($AQ6,[19]TruckCenterReference!$C$22:$I32,6,FALSE), "")</f>
        <v/>
      </c>
      <c r="AZ6" s="358" t="str">
        <f>IF(Q6&lt;&gt;"",IF(AX6&lt;&gt;AY6,"Fix!","ok"), "")</f>
        <v/>
      </c>
      <c r="BA6" s="359"/>
      <c r="BB6" s="360">
        <f>IFERROR(VLOOKUP($AQ6,[19]TruckCenterReference!$C$22:$I32,7,FALSE), 0)</f>
        <v>0</v>
      </c>
      <c r="BC6" s="362" t="str">
        <f>IF(BB6&lt;&gt;0,BB6-AE6,"")</f>
        <v/>
      </c>
      <c r="BD6" s="358" t="str">
        <f>IF(Q6="","",IF(ABS(BC6)&gt;100,IF(RIGHT(M6,4)="Body","Review","Fix!"),"ok"))</f>
        <v/>
      </c>
    </row>
    <row r="7" spans="1:56" s="343" customFormat="1">
      <c r="D7" s="343" t="s">
        <v>2230</v>
      </c>
      <c r="AT7" s="344"/>
      <c r="AW7" s="344"/>
      <c r="BA7" s="344"/>
    </row>
    <row r="8" spans="1:56" s="345" customFormat="1">
      <c r="C8" s="363"/>
      <c r="D8" s="363"/>
      <c r="E8" s="363"/>
      <c r="F8" s="364" t="s">
        <v>2231</v>
      </c>
      <c r="G8" s="363"/>
      <c r="H8" s="363"/>
      <c r="I8" s="363"/>
      <c r="J8" s="363"/>
      <c r="K8" s="363"/>
      <c r="L8" s="363" t="str">
        <f ca="1">_xll.jFreezePanes(I29,D22)</f>
        <v xml:space="preserve">&gt; jFreezePanes is ready. </v>
      </c>
      <c r="M8" s="363"/>
      <c r="N8" s="363"/>
      <c r="AT8" s="344"/>
      <c r="AW8" s="344"/>
      <c r="BA8" s="344"/>
    </row>
    <row r="9" spans="1:56" s="345" customFormat="1">
      <c r="C9" s="363"/>
      <c r="D9" s="363"/>
      <c r="E9" s="365" t="s">
        <v>2232</v>
      </c>
      <c r="F9" s="363" t="str">
        <f ca="1">_xll.ReportDefaults("Pull","Clear",_xll.PairGroup(_xll.Pair("",H18)))</f>
        <v>OK!: ReportDefaults Formula OK [jAction{}]</v>
      </c>
      <c r="G9" s="363"/>
      <c r="H9" s="363"/>
      <c r="I9" s="363"/>
      <c r="J9" s="363"/>
      <c r="K9" s="365" t="s">
        <v>2233</v>
      </c>
      <c r="L9" s="363" t="str">
        <f ca="1">_xll.ReportDrill(,"CCQueryDrill",_xll.PairGroup(_xll.Pair(K18,"SummaryLevel"),_xll.Pair(H24,"BudYear"),_xll.Pair(H23,"DistrictCell"),_xll.Pair(C30:C78,"PONumber"),_xll.Pair(F20:AO20)),"Drill to CC Query for Change History")</f>
        <v>OK!: ReportDrill 'Drill to CC Query for Change History' Formula OK [jAction{}]</v>
      </c>
      <c r="M9" s="363"/>
      <c r="N9" s="363"/>
      <c r="AT9" s="344"/>
      <c r="AW9" s="344"/>
      <c r="BA9" s="344"/>
    </row>
    <row r="10" spans="1:56" s="345" customFormat="1">
      <c r="C10" s="363"/>
      <c r="D10" s="363"/>
      <c r="E10" s="366" t="s">
        <v>2234</v>
      </c>
      <c r="F10" s="345" t="str">
        <f>_xll.ReportRun([19]AssetTypeList!C7,FALSE,"Pull")</f>
        <v>OK!: ReportRun Formula OK [jAction{}]</v>
      </c>
      <c r="H10" s="363"/>
      <c r="I10" s="363"/>
      <c r="J10" s="363"/>
      <c r="K10" s="365"/>
      <c r="L10" s="363"/>
      <c r="M10" s="363"/>
      <c r="N10" s="363"/>
      <c r="AT10" s="344"/>
      <c r="AW10" s="344"/>
      <c r="BA10" s="344"/>
    </row>
    <row r="11" spans="1:56" s="345" customFormat="1">
      <c r="C11" s="363"/>
      <c r="D11" s="363"/>
      <c r="E11" s="365" t="s">
        <v>2235</v>
      </c>
      <c r="F11" s="363" t="str">
        <f ca="1">_xll.ReportRange("BudgetCapitalDetailPull",30:52,C3:BC3,C6:BC6,_xll.Param(H23,H24,H18,N18,K19))</f>
        <v>OK!: ReportRange Formula OK [jAction{}]</v>
      </c>
      <c r="G11" s="363"/>
      <c r="H11" s="363"/>
      <c r="I11" s="363"/>
      <c r="M11" s="363"/>
      <c r="N11" s="363"/>
      <c r="AG11" s="345" t="s">
        <v>2223</v>
      </c>
      <c r="AH11" s="345" t="s">
        <v>2236</v>
      </c>
      <c r="AT11" s="344"/>
      <c r="AW11" s="344"/>
      <c r="BA11" s="344"/>
    </row>
    <row r="12" spans="1:56" s="345" customFormat="1">
      <c r="C12" s="363"/>
      <c r="D12" s="363"/>
      <c r="E12" s="365" t="s">
        <v>2237</v>
      </c>
      <c r="F12" s="367" t="str">
        <f ca="1">_xll.ReportFixed("BudCap1",AG30:AG52,AG11:AH11,_xll.Param(DetailBudYear, DetailDistrict))</f>
        <v>OK!: ReportFixed Formula OK [jAction{}]</v>
      </c>
      <c r="G12" s="363"/>
      <c r="H12" s="363"/>
      <c r="I12" s="367"/>
      <c r="M12" s="363"/>
      <c r="N12" s="363"/>
      <c r="AT12" s="344"/>
      <c r="AW12" s="344"/>
      <c r="BA12" s="344"/>
    </row>
    <row r="13" spans="1:56" s="345" customFormat="1">
      <c r="C13" s="363"/>
      <c r="D13" s="363"/>
      <c r="E13" s="365"/>
      <c r="F13" s="367" t="str">
        <f>_xll.ReportRun([19]TruckCenterReference!F15,,"Pull")</f>
        <v>OK!: ReportRun Formula OK [jAction{}]</v>
      </c>
      <c r="G13" s="363"/>
      <c r="H13" s="363"/>
      <c r="I13" s="367"/>
      <c r="M13" s="363"/>
      <c r="N13" s="363"/>
      <c r="AT13" s="344"/>
      <c r="AW13" s="344"/>
      <c r="BA13" s="344"/>
    </row>
    <row r="14" spans="1:56" s="345" customFormat="1">
      <c r="C14" s="363"/>
      <c r="D14" s="363"/>
      <c r="E14" s="368"/>
      <c r="F14" s="364" t="s">
        <v>2238</v>
      </c>
      <c r="G14" s="363"/>
      <c r="H14" s="363"/>
      <c r="I14" s="363"/>
      <c r="J14" s="363"/>
      <c r="K14" s="365"/>
      <c r="L14" s="363"/>
      <c r="M14" s="363"/>
      <c r="N14" s="363"/>
      <c r="AT14" s="344"/>
      <c r="AW14" s="344"/>
      <c r="BA14" s="344"/>
    </row>
    <row r="15" spans="1:56" s="345" customFormat="1">
      <c r="C15" s="363"/>
      <c r="D15" s="363"/>
      <c r="E15" s="365" t="s">
        <v>2239</v>
      </c>
      <c r="F15" s="363" t="str">
        <f ca="1">_xll.ReportSave("BudgetCapitalDetailSave",B30:B52,A3:AM3,C4:AO4,_xll.Param(H23,H24,H18,N18))</f>
        <v>OK!: ReportSave Formula OK [jAction{}]</v>
      </c>
      <c r="G15" s="363"/>
      <c r="H15" s="363"/>
      <c r="I15" s="363"/>
      <c r="J15" s="363"/>
      <c r="K15" s="363"/>
      <c r="L15" s="363"/>
      <c r="M15" s="363"/>
      <c r="N15" s="363"/>
      <c r="AT15" s="344"/>
      <c r="AW15" s="344"/>
      <c r="BA15" s="344"/>
    </row>
    <row r="16" spans="1:56" s="345" customFormat="1">
      <c r="AT16" s="344"/>
      <c r="AW16" s="344"/>
      <c r="BA16" s="344"/>
    </row>
    <row r="17" spans="1:56" s="343" customFormat="1">
      <c r="D17" s="343" t="s">
        <v>2240</v>
      </c>
      <c r="M17" s="369"/>
      <c r="AT17" s="344"/>
      <c r="AW17" s="344"/>
      <c r="BA17" s="344"/>
    </row>
    <row r="18" spans="1:56" s="346" customFormat="1">
      <c r="A18" s="370" t="s">
        <v>2241</v>
      </c>
      <c r="B18" s="371" t="b">
        <f>IFERROR(OR(A30:A52),FALSE)</f>
        <v>0</v>
      </c>
      <c r="G18" s="366" t="s">
        <v>2242</v>
      </c>
      <c r="H18" s="372" t="s">
        <v>2331</v>
      </c>
      <c r="J18" s="366" t="s">
        <v>2244</v>
      </c>
      <c r="K18" s="372" t="s">
        <v>2245</v>
      </c>
      <c r="L18" s="372"/>
      <c r="M18" s="366" t="s">
        <v>2246</v>
      </c>
      <c r="N18" s="372">
        <v>2</v>
      </c>
      <c r="AT18" s="344"/>
      <c r="AW18" s="344"/>
      <c r="BA18" s="344"/>
    </row>
    <row r="19" spans="1:56" s="346" customFormat="1">
      <c r="A19" s="370"/>
      <c r="B19" s="371" t="str">
        <f>IF(B18=TRUE,"Save","SkipRePull")</f>
        <v>SkipRePull</v>
      </c>
      <c r="I19" s="363"/>
      <c r="J19" s="365" t="s">
        <v>2247</v>
      </c>
      <c r="K19" s="372" t="s">
        <v>2248</v>
      </c>
      <c r="L19" s="372"/>
      <c r="M19" s="366"/>
      <c r="N19" s="366"/>
      <c r="AT19" s="344"/>
      <c r="AW19" s="344"/>
      <c r="BA19" s="344"/>
    </row>
    <row r="20" spans="1:56" s="345" customFormat="1">
      <c r="F20" s="345" t="s">
        <v>2249</v>
      </c>
      <c r="G20" s="345" t="s">
        <v>2249</v>
      </c>
      <c r="H20" s="345" t="s">
        <v>2249</v>
      </c>
      <c r="I20" s="345" t="s">
        <v>2249</v>
      </c>
      <c r="J20" s="345" t="s">
        <v>2249</v>
      </c>
      <c r="K20" s="366"/>
      <c r="L20" s="345" t="s">
        <v>2249</v>
      </c>
      <c r="M20" s="345" t="s">
        <v>2249</v>
      </c>
      <c r="N20" s="345" t="s">
        <v>2249</v>
      </c>
      <c r="O20" s="345" t="s">
        <v>2249</v>
      </c>
      <c r="P20" s="345" t="s">
        <v>2249</v>
      </c>
      <c r="Q20" s="345" t="s">
        <v>2249</v>
      </c>
      <c r="R20" s="345" t="s">
        <v>2249</v>
      </c>
      <c r="S20" s="345" t="s">
        <v>2249</v>
      </c>
      <c r="T20" s="345" t="s">
        <v>2249</v>
      </c>
      <c r="U20" s="345" t="s">
        <v>2249</v>
      </c>
      <c r="V20" s="345" t="s">
        <v>2249</v>
      </c>
      <c r="W20" s="345" t="s">
        <v>2249</v>
      </c>
      <c r="X20" s="345" t="s">
        <v>2249</v>
      </c>
      <c r="Y20" s="345" t="s">
        <v>2249</v>
      </c>
      <c r="Z20" s="345" t="s">
        <v>2249</v>
      </c>
      <c r="AA20" s="345" t="s">
        <v>2249</v>
      </c>
      <c r="AB20" s="345" t="s">
        <v>2249</v>
      </c>
      <c r="AC20" s="345" t="s">
        <v>2249</v>
      </c>
      <c r="AE20" s="345" t="s">
        <v>2249</v>
      </c>
      <c r="AG20" s="345" t="s">
        <v>2249</v>
      </c>
      <c r="AJ20" s="345" t="s">
        <v>2249</v>
      </c>
      <c r="AK20" s="345" t="s">
        <v>2249</v>
      </c>
      <c r="AM20" s="345" t="s">
        <v>2249</v>
      </c>
      <c r="AO20" s="345" t="s">
        <v>2249</v>
      </c>
      <c r="AT20" s="344"/>
      <c r="AW20" s="344"/>
      <c r="BA20" s="344"/>
    </row>
    <row r="21" spans="1:56" s="343" customFormat="1">
      <c r="D21" s="343" t="s">
        <v>2250</v>
      </c>
      <c r="AT21" s="344"/>
      <c r="AW21" s="344"/>
      <c r="BA21" s="344"/>
    </row>
    <row r="22" spans="1:56">
      <c r="E22" s="266"/>
      <c r="F22" s="266"/>
      <c r="G22" s="266"/>
      <c r="H22" s="266"/>
      <c r="I22" s="266"/>
      <c r="J22" s="266"/>
      <c r="K22" s="266"/>
      <c r="L22" s="266"/>
      <c r="M22" s="266"/>
      <c r="N22" s="242"/>
      <c r="O22" s="242"/>
      <c r="P22" s="242"/>
      <c r="Q22" s="242"/>
      <c r="R22" s="266"/>
      <c r="S22" s="266"/>
      <c r="T22" s="266"/>
      <c r="U22" s="266"/>
      <c r="V22" s="266"/>
      <c r="W22" s="266"/>
      <c r="X22" s="266"/>
      <c r="Y22" s="266"/>
      <c r="Z22" s="266"/>
      <c r="AA22" s="266"/>
      <c r="AB22" s="266"/>
      <c r="AC22" s="266"/>
      <c r="AD22" s="266"/>
      <c r="AE22" s="266"/>
      <c r="AG22" s="242"/>
      <c r="AH22" s="242"/>
      <c r="AI22" s="242"/>
      <c r="AJ22" s="242"/>
      <c r="AK22" s="242"/>
      <c r="AM22" s="242"/>
    </row>
    <row r="23" spans="1:56" ht="15.75">
      <c r="E23" s="373"/>
      <c r="F23" s="374"/>
      <c r="G23" s="375" t="s">
        <v>2251</v>
      </c>
      <c r="H23" s="270" t="s">
        <v>2332</v>
      </c>
      <c r="I23" s="271" t="s">
        <v>2252</v>
      </c>
      <c r="K23" s="272"/>
      <c r="M23" s="273"/>
      <c r="N23" s="242"/>
      <c r="O23" s="242"/>
      <c r="P23" s="242"/>
      <c r="Q23" s="242"/>
      <c r="R23" s="266"/>
      <c r="S23" s="266"/>
      <c r="T23" s="266"/>
      <c r="U23" s="266"/>
      <c r="V23" s="266"/>
      <c r="W23" s="266"/>
      <c r="X23" s="266"/>
      <c r="Y23" s="266"/>
      <c r="Z23" s="266"/>
      <c r="AA23" s="266"/>
      <c r="AB23" s="266"/>
      <c r="AC23" s="266"/>
      <c r="AD23" s="266"/>
      <c r="AE23" s="376"/>
      <c r="AG23" s="242"/>
      <c r="AH23" s="242"/>
      <c r="AI23" s="242"/>
      <c r="AJ23" s="242"/>
      <c r="AK23" s="242"/>
      <c r="AM23" s="242"/>
    </row>
    <row r="24" spans="1:56" ht="15.75">
      <c r="E24" s="377"/>
      <c r="F24" s="378"/>
      <c r="G24" s="379" t="s">
        <v>2253</v>
      </c>
      <c r="H24" s="278">
        <v>2022</v>
      </c>
      <c r="I24" s="279"/>
      <c r="J24" s="279"/>
      <c r="K24" s="272"/>
      <c r="L24" s="280"/>
      <c r="M24" s="273"/>
      <c r="N24" s="242"/>
      <c r="R24" s="266"/>
      <c r="S24" s="266"/>
      <c r="T24" s="266"/>
      <c r="U24" s="266"/>
      <c r="V24" s="266"/>
      <c r="W24" s="266"/>
      <c r="X24" s="266"/>
      <c r="Y24" s="266"/>
      <c r="Z24" s="266"/>
      <c r="AA24" s="266"/>
      <c r="AB24" s="266"/>
      <c r="AC24" s="266"/>
      <c r="AD24" s="266"/>
      <c r="AG24" s="242"/>
      <c r="AH24" s="242"/>
      <c r="AI24" s="242"/>
      <c r="AJ24" s="242"/>
      <c r="AK24" s="242"/>
      <c r="AM24" s="242"/>
    </row>
    <row r="25" spans="1:56">
      <c r="E25" s="281"/>
      <c r="F25" s="281"/>
      <c r="G25" s="281"/>
      <c r="H25" s="266"/>
      <c r="I25" s="266"/>
      <c r="J25" s="266"/>
      <c r="K25" s="266"/>
      <c r="L25" s="280" t="s">
        <v>2254</v>
      </c>
      <c r="M25" s="266"/>
      <c r="N25" s="242"/>
      <c r="O25" s="242"/>
      <c r="P25" s="242"/>
      <c r="Q25" s="242"/>
      <c r="R25" s="266"/>
      <c r="S25" s="266"/>
      <c r="T25" s="266"/>
      <c r="U25" s="266"/>
      <c r="V25" s="266"/>
      <c r="W25" s="266"/>
      <c r="X25" s="266"/>
      <c r="Y25" s="266"/>
      <c r="Z25" s="266"/>
      <c r="AA25" s="266"/>
      <c r="AB25" s="266"/>
      <c r="AC25" s="266"/>
      <c r="AD25" s="266"/>
      <c r="AE25" s="266"/>
      <c r="AG25" s="242"/>
      <c r="AH25" s="242"/>
      <c r="AI25" s="242"/>
      <c r="AJ25" s="242"/>
      <c r="AK25" s="242"/>
      <c r="AM25" s="242"/>
      <c r="AQ25" s="380" t="s">
        <v>2255</v>
      </c>
      <c r="AR25" s="380"/>
      <c r="AX25" s="380"/>
    </row>
    <row r="26" spans="1:56" ht="15.75">
      <c r="E26" s="283" t="s">
        <v>2256</v>
      </c>
      <c r="F26" s="284"/>
      <c r="G26" s="284"/>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6"/>
      <c r="AQ26" s="287"/>
      <c r="AR26" s="287"/>
      <c r="AS26" s="287"/>
      <c r="AU26" s="287"/>
      <c r="AV26" s="287"/>
      <c r="AX26" s="287"/>
      <c r="AY26" s="287"/>
      <c r="AZ26" s="287"/>
      <c r="BB26" s="287"/>
      <c r="BC26" s="287"/>
      <c r="BD26" s="287"/>
    </row>
    <row r="27" spans="1:56">
      <c r="E27" s="288"/>
      <c r="F27" s="288"/>
      <c r="G27" s="288"/>
      <c r="H27" s="288"/>
      <c r="I27" s="288"/>
      <c r="J27" s="288"/>
      <c r="K27" s="288"/>
      <c r="L27" s="288"/>
      <c r="M27" s="288"/>
      <c r="N27" s="289"/>
      <c r="O27" s="289"/>
      <c r="P27" s="289"/>
      <c r="Q27" s="289"/>
      <c r="R27" s="290"/>
      <c r="S27" s="291"/>
      <c r="T27" s="291"/>
      <c r="U27" s="291"/>
      <c r="V27" s="291"/>
      <c r="W27" s="291"/>
      <c r="X27" s="291"/>
      <c r="Y27" s="291"/>
      <c r="Z27" s="291"/>
      <c r="AA27" s="291"/>
      <c r="AB27" s="291"/>
      <c r="AC27" s="291"/>
      <c r="AD27" s="291"/>
      <c r="AE27" s="242"/>
      <c r="AF27" s="291" t="s">
        <v>2257</v>
      </c>
      <c r="AG27" s="381"/>
      <c r="AH27" s="381"/>
      <c r="AI27" s="381"/>
      <c r="AJ27" s="381"/>
      <c r="AK27" s="381"/>
      <c r="AQ27" s="293"/>
      <c r="AR27" s="294" t="s">
        <v>2258</v>
      </c>
      <c r="AS27" s="295"/>
      <c r="AU27" s="295" t="s">
        <v>2259</v>
      </c>
      <c r="AV27" s="295"/>
      <c r="AX27" s="295" t="s">
        <v>2260</v>
      </c>
      <c r="AY27" s="295" t="s">
        <v>2260</v>
      </c>
      <c r="AZ27" s="295"/>
      <c r="BB27" s="295" t="s">
        <v>2261</v>
      </c>
      <c r="BC27" s="296"/>
      <c r="BD27" s="295"/>
    </row>
    <row r="28" spans="1:56" ht="27" thickBot="1">
      <c r="E28" s="297" t="s">
        <v>2262</v>
      </c>
      <c r="F28" s="298" t="s">
        <v>2263</v>
      </c>
      <c r="G28" s="298" t="s">
        <v>2264</v>
      </c>
      <c r="H28" s="299" t="s">
        <v>2265</v>
      </c>
      <c r="I28" s="299" t="s">
        <v>2266</v>
      </c>
      <c r="J28" s="299" t="s">
        <v>2267</v>
      </c>
      <c r="K28" s="298"/>
      <c r="L28" s="298" t="s">
        <v>2268</v>
      </c>
      <c r="M28" s="298" t="s">
        <v>2269</v>
      </c>
      <c r="N28" s="298" t="s">
        <v>2207</v>
      </c>
      <c r="O28" s="298" t="s">
        <v>2270</v>
      </c>
      <c r="P28" s="298" t="s">
        <v>2271</v>
      </c>
      <c r="Q28" s="298" t="s">
        <v>2272</v>
      </c>
      <c r="R28" s="300">
        <v>40209</v>
      </c>
      <c r="S28" s="301">
        <v>40237</v>
      </c>
      <c r="T28" s="302">
        <v>40268</v>
      </c>
      <c r="U28" s="300">
        <v>40298</v>
      </c>
      <c r="V28" s="301">
        <v>40329</v>
      </c>
      <c r="W28" s="302">
        <v>40359</v>
      </c>
      <c r="X28" s="300">
        <v>40390</v>
      </c>
      <c r="Y28" s="301">
        <v>40421</v>
      </c>
      <c r="Z28" s="302">
        <v>40451</v>
      </c>
      <c r="AA28" s="300">
        <v>40482</v>
      </c>
      <c r="AB28" s="301">
        <v>40512</v>
      </c>
      <c r="AC28" s="302">
        <v>40543</v>
      </c>
      <c r="AD28" s="289"/>
      <c r="AE28" s="303" t="s">
        <v>42</v>
      </c>
      <c r="AF28" s="382"/>
      <c r="AG28" s="298" t="s">
        <v>384</v>
      </c>
      <c r="AH28" s="298" t="s">
        <v>2273</v>
      </c>
      <c r="AI28" s="298" t="s">
        <v>2274</v>
      </c>
      <c r="AJ28" s="298" t="s">
        <v>2275</v>
      </c>
      <c r="AK28" s="298" t="s">
        <v>1017</v>
      </c>
      <c r="AL28" s="305"/>
      <c r="AM28" s="298" t="s">
        <v>2277</v>
      </c>
      <c r="AN28" s="305"/>
      <c r="AO28" s="298" t="s">
        <v>2278</v>
      </c>
      <c r="AP28" s="305"/>
      <c r="AQ28" s="306" t="s">
        <v>1041</v>
      </c>
      <c r="AR28" s="306" t="s">
        <v>2279</v>
      </c>
      <c r="AS28" s="294" t="s">
        <v>2280</v>
      </c>
      <c r="AU28" s="306" t="s">
        <v>2281</v>
      </c>
      <c r="AV28" s="294" t="s">
        <v>2282</v>
      </c>
      <c r="AX28" s="306" t="s">
        <v>2283</v>
      </c>
      <c r="AY28" s="306" t="s">
        <v>2281</v>
      </c>
      <c r="AZ28" s="294" t="s">
        <v>2280</v>
      </c>
      <c r="BB28" s="306" t="s">
        <v>2281</v>
      </c>
      <c r="BC28" s="306" t="s">
        <v>2284</v>
      </c>
      <c r="BD28" s="294" t="s">
        <v>2282</v>
      </c>
    </row>
    <row r="29" spans="1:56">
      <c r="E29" s="266"/>
      <c r="F29" s="266"/>
      <c r="G29" s="266"/>
      <c r="H29" s="266"/>
      <c r="I29" s="266"/>
      <c r="J29" s="266"/>
      <c r="K29" s="266"/>
      <c r="L29" s="266"/>
      <c r="M29" s="266"/>
      <c r="N29" s="242"/>
      <c r="O29" s="242"/>
      <c r="P29" s="242"/>
      <c r="Q29" s="242"/>
      <c r="R29" s="307"/>
      <c r="S29" s="242"/>
      <c r="T29" s="242"/>
      <c r="U29" s="242"/>
      <c r="V29" s="242"/>
      <c r="W29" s="242"/>
      <c r="X29" s="242"/>
      <c r="Y29" s="242"/>
      <c r="Z29" s="242"/>
      <c r="AA29" s="242"/>
      <c r="AB29" s="242"/>
      <c r="AC29" s="242"/>
      <c r="AD29" s="242"/>
      <c r="AE29" s="308"/>
      <c r="AG29" s="242"/>
      <c r="AH29" s="242"/>
      <c r="AI29" s="242"/>
      <c r="AJ29" s="242"/>
      <c r="AK29" s="242"/>
      <c r="AL29" s="242"/>
      <c r="AM29" s="242"/>
      <c r="AN29" s="242"/>
      <c r="AO29" s="242"/>
      <c r="AP29" s="242"/>
      <c r="AQ29" s="242"/>
      <c r="AR29" s="383"/>
      <c r="AX29" s="383"/>
    </row>
    <row r="30" spans="1:56" ht="127.5">
      <c r="A30" s="344" t="b">
        <f t="shared" ref="A30:A51" si="1">IF(AND(C30&lt;&gt;"", B30&lt;&gt;C30),TRUE, FALSE)</f>
        <v>0</v>
      </c>
      <c r="B30" s="344" t="str">
        <f t="shared" ref="B30:B51" si="2">IF(RIGHT("0000"&amp;F30,4)&amp;"-"&amp;G30 &lt;&gt; "0000-", RIGHT("0000"&amp;F30,4)&amp;"-"&amp;G30, "")</f>
        <v>0001-1</v>
      </c>
      <c r="C30" s="348" t="s">
        <v>2285</v>
      </c>
      <c r="D30" s="349">
        <v>1</v>
      </c>
      <c r="E30" s="230"/>
      <c r="F30" s="231">
        <v>1</v>
      </c>
      <c r="G30" s="232">
        <v>1</v>
      </c>
      <c r="H30" s="233" t="s">
        <v>2333</v>
      </c>
      <c r="I30" s="233" t="s">
        <v>2333</v>
      </c>
      <c r="J30" s="233" t="s">
        <v>2334</v>
      </c>
      <c r="K30" s="234"/>
      <c r="L30" s="235" t="s">
        <v>2335</v>
      </c>
      <c r="M30" s="235" t="s">
        <v>2336</v>
      </c>
      <c r="N30" s="236">
        <v>12</v>
      </c>
      <c r="O30" s="237" t="s">
        <v>2296</v>
      </c>
      <c r="P30" s="237" t="s">
        <v>809</v>
      </c>
      <c r="Q30" s="238"/>
      <c r="R30" s="350">
        <v>0</v>
      </c>
      <c r="S30" s="351">
        <v>0</v>
      </c>
      <c r="T30" s="351">
        <v>0</v>
      </c>
      <c r="U30" s="351">
        <v>0</v>
      </c>
      <c r="V30" s="351">
        <v>0</v>
      </c>
      <c r="W30" s="351">
        <v>0</v>
      </c>
      <c r="X30" s="351">
        <v>0</v>
      </c>
      <c r="Y30" s="351">
        <v>144431</v>
      </c>
      <c r="Z30" s="351">
        <v>0</v>
      </c>
      <c r="AA30" s="351">
        <v>0</v>
      </c>
      <c r="AB30" s="351">
        <v>0</v>
      </c>
      <c r="AC30" s="352">
        <v>0</v>
      </c>
      <c r="AD30" s="242"/>
      <c r="AE30" s="353">
        <f t="shared" ref="AE30:AE51" si="3">SUM(R30:AC30)</f>
        <v>144431</v>
      </c>
      <c r="AG30" s="236">
        <v>66946</v>
      </c>
      <c r="AH30" s="244" t="s">
        <v>2337</v>
      </c>
      <c r="AI30" s="245" t="s">
        <v>2334</v>
      </c>
      <c r="AJ30" s="236">
        <v>7371</v>
      </c>
      <c r="AK30" s="232">
        <v>2003</v>
      </c>
      <c r="AL30" s="354"/>
      <c r="AM30" s="310" t="str">
        <f>HYPERLINK("\\westfile01\DistShares\Western Region\ControllerDir\KevinJ\South LeMay\Budget History\Budget 2022\Capex\Pac - Shred Budget Quotes\2184 Assets to Replace.xlsx","\\westfile01\DistShares\Western Region\ControllerDir\KevinJ\South LeMay\Budget History\Budget 2022\Capex\Pac - Shred Budget Quotes\2184 Assets to Replace.xlsx")</f>
        <v>\\westfile01\DistShares\Western Region\ControllerDir\KevinJ\South LeMay\Budget History\Budget 2022\Capex\Pac - Shred Budget Quotes\2184 Assets to Replace.xlsx</v>
      </c>
      <c r="AN30" s="355" t="s">
        <v>45</v>
      </c>
      <c r="AO30" s="356"/>
      <c r="AP30" s="354"/>
      <c r="AQ30" s="357" t="str">
        <f t="shared" ref="AQ30:AQ51" si="4">IF(Q30="", "", Q30)</f>
        <v/>
      </c>
      <c r="AR30" s="357" t="str">
        <f>IFERROR(VLOOKUP($AQ30,[19]TruckCenterReference!$C$22:$I56,3,FALSE), "")</f>
        <v/>
      </c>
      <c r="AS30" s="358" t="str">
        <f t="shared" ref="AS30:AS51" si="5">IF(Q30&lt;&gt;"",IF(AR30&lt;&gt;H30,"Review","ok"), "")</f>
        <v/>
      </c>
      <c r="AT30" s="359"/>
      <c r="AU30" s="360" t="str">
        <f>IFERROR(VLOOKUP($AQ30,[19]TruckCenterReference!$C$22:$I56,4,FALSE), "")</f>
        <v/>
      </c>
      <c r="AV30" s="358" t="str">
        <f t="shared" ref="AV30:AV51" si="6">IF(Q30="","", IF($AU30&lt;&gt;$P30, "Fix!", "ok"))</f>
        <v/>
      </c>
      <c r="AX30" s="357" t="str">
        <f t="shared" ref="AX30:AX51" si="7">IFERROR(VLOOKUP(M30,SubtypeToTruckType,2,FALSE),"")</f>
        <v/>
      </c>
      <c r="AY30" s="361" t="str">
        <f>IFERROR(VLOOKUP($AQ30,[19]TruckCenterReference!$C$22:$I56,6,FALSE), "")</f>
        <v/>
      </c>
      <c r="AZ30" s="358" t="str">
        <f t="shared" ref="AZ30:AZ51" si="8">IF(Q30&lt;&gt;"",IF(AX30&lt;&gt;AY30,"Fix!","ok"), "")</f>
        <v/>
      </c>
      <c r="BA30" s="359"/>
      <c r="BB30" s="360">
        <f>IFERROR(VLOOKUP($AQ30,[19]TruckCenterReference!$C$22:$I56,7,FALSE), 0)</f>
        <v>0</v>
      </c>
      <c r="BC30" s="362" t="str">
        <f t="shared" ref="BC30:BC51" si="9">IF(BB30&lt;&gt;0,BB30-AE30,"")</f>
        <v/>
      </c>
      <c r="BD30" s="358" t="str">
        <f t="shared" ref="BD30:BD51" si="10">IF(Q30="","",IF(ABS(BC30)&gt;100,IF(RIGHT(M30,4)="Body","Review","Fix!"),"ok"))</f>
        <v/>
      </c>
    </row>
    <row r="31" spans="1:56" ht="127.5">
      <c r="A31" s="344" t="b">
        <f t="shared" si="1"/>
        <v>0</v>
      </c>
      <c r="B31" s="344" t="str">
        <f t="shared" si="2"/>
        <v>0002-1</v>
      </c>
      <c r="C31" s="348" t="s">
        <v>2338</v>
      </c>
      <c r="D31" s="349">
        <v>1</v>
      </c>
      <c r="E31" s="230"/>
      <c r="F31" s="231">
        <v>2</v>
      </c>
      <c r="G31" s="232">
        <v>1</v>
      </c>
      <c r="H31" s="233" t="s">
        <v>2339</v>
      </c>
      <c r="I31" s="233" t="s">
        <v>2339</v>
      </c>
      <c r="J31" s="233" t="s">
        <v>2340</v>
      </c>
      <c r="K31" s="234"/>
      <c r="L31" s="235" t="s">
        <v>2335</v>
      </c>
      <c r="M31" s="235" t="s">
        <v>2341</v>
      </c>
      <c r="N31" s="236">
        <v>10</v>
      </c>
      <c r="O31" s="237" t="s">
        <v>2296</v>
      </c>
      <c r="P31" s="237" t="s">
        <v>809</v>
      </c>
      <c r="Q31" s="238"/>
      <c r="R31" s="350">
        <v>0</v>
      </c>
      <c r="S31" s="351">
        <v>0</v>
      </c>
      <c r="T31" s="351">
        <v>0</v>
      </c>
      <c r="U31" s="351">
        <v>0</v>
      </c>
      <c r="V31" s="351">
        <v>961800</v>
      </c>
      <c r="W31" s="351">
        <v>0</v>
      </c>
      <c r="X31" s="351">
        <v>0</v>
      </c>
      <c r="Y31" s="351">
        <v>0</v>
      </c>
      <c r="Z31" s="351">
        <v>0</v>
      </c>
      <c r="AA31" s="351">
        <v>0</v>
      </c>
      <c r="AB31" s="351">
        <v>0</v>
      </c>
      <c r="AC31" s="352">
        <v>0</v>
      </c>
      <c r="AD31" s="242"/>
      <c r="AE31" s="353">
        <f t="shared" si="3"/>
        <v>961800</v>
      </c>
      <c r="AG31" s="236">
        <v>98509</v>
      </c>
      <c r="AH31" s="244"/>
      <c r="AI31" s="245" t="s">
        <v>2342</v>
      </c>
      <c r="AJ31" s="236" t="s">
        <v>2343</v>
      </c>
      <c r="AK31" s="232">
        <v>1991</v>
      </c>
      <c r="AL31" s="354"/>
      <c r="AM31" s="310" t="str">
        <f>HYPERLINK("\\westfile01\DistShares\Western Region\ControllerDir\KevinJ\South LeMay\Budget History\Budget 2022\Capex\Pac - Shred Budget Quotes\2184 Assets to Replace.xlsx","\\westfile01\DistShares\Western Region\ControllerDir\KevinJ\South LeMay\Budget History\Budget 2022\Capex\Pac - Shred Budget Quotes\2184 Assets to Replace.xlsx")</f>
        <v>\\westfile01\DistShares\Western Region\ControllerDir\KevinJ\South LeMay\Budget History\Budget 2022\Capex\Pac - Shred Budget Quotes\2184 Assets to Replace.xlsx</v>
      </c>
      <c r="AN31" s="355" t="s">
        <v>45</v>
      </c>
      <c r="AO31" s="356"/>
      <c r="AP31" s="354"/>
      <c r="AQ31" s="357" t="str">
        <f t="shared" si="4"/>
        <v/>
      </c>
      <c r="AR31" s="357" t="str">
        <f>IFERROR(VLOOKUP($AQ31,[19]TruckCenterReference!$C$22:$I57,3,FALSE), "")</f>
        <v/>
      </c>
      <c r="AS31" s="358" t="str">
        <f t="shared" si="5"/>
        <v/>
      </c>
      <c r="AT31" s="359"/>
      <c r="AU31" s="360" t="str">
        <f>IFERROR(VLOOKUP($AQ31,[19]TruckCenterReference!$C$22:$I57,4,FALSE), "")</f>
        <v/>
      </c>
      <c r="AV31" s="358" t="str">
        <f t="shared" si="6"/>
        <v/>
      </c>
      <c r="AX31" s="357" t="str">
        <f t="shared" si="7"/>
        <v/>
      </c>
      <c r="AY31" s="361" t="str">
        <f>IFERROR(VLOOKUP($AQ31,[19]TruckCenterReference!$C$22:$I57,6,FALSE), "")</f>
        <v/>
      </c>
      <c r="AZ31" s="358" t="str">
        <f t="shared" si="8"/>
        <v/>
      </c>
      <c r="BA31" s="359"/>
      <c r="BB31" s="360">
        <f>IFERROR(VLOOKUP($AQ31,[19]TruckCenterReference!$C$22:$I57,7,FALSE), 0)</f>
        <v>0</v>
      </c>
      <c r="BC31" s="362" t="str">
        <f t="shared" si="9"/>
        <v/>
      </c>
      <c r="BD31" s="358" t="str">
        <f t="shared" si="10"/>
        <v/>
      </c>
    </row>
    <row r="32" spans="1:56">
      <c r="A32" s="344" t="b">
        <f t="shared" si="1"/>
        <v>0</v>
      </c>
      <c r="B32" s="344" t="str">
        <f t="shared" si="2"/>
        <v/>
      </c>
      <c r="C32" s="348" t="s">
        <v>316</v>
      </c>
      <c r="D32" s="349">
        <v>1</v>
      </c>
      <c r="E32" s="230"/>
      <c r="F32" s="231"/>
      <c r="G32" s="232"/>
      <c r="H32" s="233" t="s">
        <v>316</v>
      </c>
      <c r="I32" s="233" t="s">
        <v>316</v>
      </c>
      <c r="J32" s="233" t="s">
        <v>316</v>
      </c>
      <c r="K32" s="234"/>
      <c r="L32" s="235" t="s">
        <v>316</v>
      </c>
      <c r="M32" s="235" t="s">
        <v>316</v>
      </c>
      <c r="N32" s="236"/>
      <c r="O32" s="237" t="s">
        <v>316</v>
      </c>
      <c r="P32" s="237" t="s">
        <v>316</v>
      </c>
      <c r="Q32" s="238"/>
      <c r="R32" s="350">
        <v>0</v>
      </c>
      <c r="S32" s="351">
        <v>0</v>
      </c>
      <c r="T32" s="351">
        <v>0</v>
      </c>
      <c r="U32" s="351">
        <v>0</v>
      </c>
      <c r="V32" s="351">
        <v>0</v>
      </c>
      <c r="W32" s="351">
        <v>0</v>
      </c>
      <c r="X32" s="351">
        <v>0</v>
      </c>
      <c r="Y32" s="351">
        <v>0</v>
      </c>
      <c r="Z32" s="351">
        <v>0</v>
      </c>
      <c r="AA32" s="351">
        <v>0</v>
      </c>
      <c r="AB32" s="351">
        <v>0</v>
      </c>
      <c r="AC32" s="352">
        <v>0</v>
      </c>
      <c r="AD32" s="242"/>
      <c r="AE32" s="353">
        <f t="shared" si="3"/>
        <v>0</v>
      </c>
      <c r="AG32" s="236"/>
      <c r="AH32" s="244"/>
      <c r="AI32" s="245" t="s">
        <v>316</v>
      </c>
      <c r="AJ32" s="236"/>
      <c r="AK32" s="232"/>
      <c r="AL32" s="354"/>
      <c r="AM32" s="247"/>
      <c r="AN32" s="355" t="s">
        <v>45</v>
      </c>
      <c r="AO32" s="356"/>
      <c r="AP32" s="354"/>
      <c r="AQ32" s="357" t="str">
        <f t="shared" si="4"/>
        <v/>
      </c>
      <c r="AR32" s="357" t="str">
        <f>IFERROR(VLOOKUP($AQ32,[19]TruckCenterReference!$C$22:$I58,3,FALSE), "")</f>
        <v/>
      </c>
      <c r="AS32" s="358" t="str">
        <f t="shared" si="5"/>
        <v/>
      </c>
      <c r="AT32" s="359"/>
      <c r="AU32" s="360" t="str">
        <f>IFERROR(VLOOKUP($AQ32,[19]TruckCenterReference!$C$22:$I58,4,FALSE), "")</f>
        <v/>
      </c>
      <c r="AV32" s="358" t="str">
        <f t="shared" si="6"/>
        <v/>
      </c>
      <c r="AX32" s="357" t="str">
        <f t="shared" si="7"/>
        <v/>
      </c>
      <c r="AY32" s="361" t="str">
        <f>IFERROR(VLOOKUP($AQ32,[19]TruckCenterReference!$C$22:$I58,6,FALSE), "")</f>
        <v/>
      </c>
      <c r="AZ32" s="358" t="str">
        <f t="shared" si="8"/>
        <v/>
      </c>
      <c r="BA32" s="359"/>
      <c r="BB32" s="360">
        <f>IFERROR(VLOOKUP($AQ32,[19]TruckCenterReference!$C$22:$I58,7,FALSE), 0)</f>
        <v>0</v>
      </c>
      <c r="BC32" s="362" t="str">
        <f t="shared" si="9"/>
        <v/>
      </c>
      <c r="BD32" s="358" t="str">
        <f t="shared" si="10"/>
        <v/>
      </c>
    </row>
    <row r="33" spans="1:56">
      <c r="A33" s="344" t="b">
        <f t="shared" si="1"/>
        <v>0</v>
      </c>
      <c r="B33" s="344" t="str">
        <f t="shared" si="2"/>
        <v/>
      </c>
      <c r="C33" s="348" t="s">
        <v>316</v>
      </c>
      <c r="D33" s="349">
        <v>1</v>
      </c>
      <c r="E33" s="230"/>
      <c r="F33" s="231"/>
      <c r="G33" s="232"/>
      <c r="H33" s="233" t="s">
        <v>316</v>
      </c>
      <c r="I33" s="233" t="s">
        <v>316</v>
      </c>
      <c r="J33" s="233" t="s">
        <v>316</v>
      </c>
      <c r="K33" s="234"/>
      <c r="L33" s="235" t="s">
        <v>316</v>
      </c>
      <c r="M33" s="235" t="s">
        <v>316</v>
      </c>
      <c r="N33" s="236"/>
      <c r="O33" s="237" t="s">
        <v>316</v>
      </c>
      <c r="P33" s="237" t="s">
        <v>316</v>
      </c>
      <c r="Q33" s="238"/>
      <c r="R33" s="350">
        <v>0</v>
      </c>
      <c r="S33" s="351">
        <v>0</v>
      </c>
      <c r="T33" s="351">
        <v>0</v>
      </c>
      <c r="U33" s="351">
        <v>0</v>
      </c>
      <c r="V33" s="351">
        <v>0</v>
      </c>
      <c r="W33" s="351">
        <v>0</v>
      </c>
      <c r="X33" s="351">
        <v>0</v>
      </c>
      <c r="Y33" s="351">
        <v>0</v>
      </c>
      <c r="Z33" s="351">
        <v>0</v>
      </c>
      <c r="AA33" s="351">
        <v>0</v>
      </c>
      <c r="AB33" s="351">
        <v>0</v>
      </c>
      <c r="AC33" s="352">
        <v>0</v>
      </c>
      <c r="AD33" s="242"/>
      <c r="AE33" s="353">
        <f t="shared" si="3"/>
        <v>0</v>
      </c>
      <c r="AG33" s="236"/>
      <c r="AH33" s="244"/>
      <c r="AI33" s="245" t="s">
        <v>316</v>
      </c>
      <c r="AJ33" s="236"/>
      <c r="AK33" s="232"/>
      <c r="AL33" s="354"/>
      <c r="AM33" s="247"/>
      <c r="AN33" s="355" t="s">
        <v>45</v>
      </c>
      <c r="AO33" s="356"/>
      <c r="AP33" s="354"/>
      <c r="AQ33" s="357" t="str">
        <f t="shared" si="4"/>
        <v/>
      </c>
      <c r="AR33" s="357" t="str">
        <f>IFERROR(VLOOKUP($AQ33,[19]TruckCenterReference!$C$22:$I59,3,FALSE), "")</f>
        <v/>
      </c>
      <c r="AS33" s="358" t="str">
        <f t="shared" si="5"/>
        <v/>
      </c>
      <c r="AT33" s="359"/>
      <c r="AU33" s="360" t="str">
        <f>IFERROR(VLOOKUP($AQ33,[19]TruckCenterReference!$C$22:$I59,4,FALSE), "")</f>
        <v/>
      </c>
      <c r="AV33" s="358" t="str">
        <f t="shared" si="6"/>
        <v/>
      </c>
      <c r="AX33" s="357" t="str">
        <f t="shared" si="7"/>
        <v/>
      </c>
      <c r="AY33" s="361" t="str">
        <f>IFERROR(VLOOKUP($AQ33,[19]TruckCenterReference!$C$22:$I59,6,FALSE), "")</f>
        <v/>
      </c>
      <c r="AZ33" s="358" t="str">
        <f t="shared" si="8"/>
        <v/>
      </c>
      <c r="BA33" s="359"/>
      <c r="BB33" s="360">
        <f>IFERROR(VLOOKUP($AQ33,[19]TruckCenterReference!$C$22:$I59,7,FALSE), 0)</f>
        <v>0</v>
      </c>
      <c r="BC33" s="362" t="str">
        <f t="shared" si="9"/>
        <v/>
      </c>
      <c r="BD33" s="358" t="str">
        <f t="shared" si="10"/>
        <v/>
      </c>
    </row>
    <row r="34" spans="1:56">
      <c r="A34" s="344" t="b">
        <f t="shared" si="1"/>
        <v>0</v>
      </c>
      <c r="B34" s="344" t="str">
        <f t="shared" si="2"/>
        <v/>
      </c>
      <c r="C34" s="348" t="s">
        <v>316</v>
      </c>
      <c r="D34" s="349">
        <v>1</v>
      </c>
      <c r="E34" s="230"/>
      <c r="F34" s="231"/>
      <c r="G34" s="232"/>
      <c r="H34" s="233" t="s">
        <v>316</v>
      </c>
      <c r="I34" s="233" t="s">
        <v>316</v>
      </c>
      <c r="J34" s="233" t="s">
        <v>316</v>
      </c>
      <c r="K34" s="234"/>
      <c r="L34" s="235" t="s">
        <v>316</v>
      </c>
      <c r="M34" s="235" t="s">
        <v>316</v>
      </c>
      <c r="N34" s="236"/>
      <c r="O34" s="237" t="s">
        <v>316</v>
      </c>
      <c r="P34" s="237" t="s">
        <v>316</v>
      </c>
      <c r="Q34" s="238"/>
      <c r="R34" s="350">
        <v>0</v>
      </c>
      <c r="S34" s="351">
        <v>0</v>
      </c>
      <c r="T34" s="351">
        <v>0</v>
      </c>
      <c r="U34" s="351">
        <v>0</v>
      </c>
      <c r="V34" s="351">
        <v>0</v>
      </c>
      <c r="W34" s="351">
        <v>0</v>
      </c>
      <c r="X34" s="351">
        <v>0</v>
      </c>
      <c r="Y34" s="351">
        <v>0</v>
      </c>
      <c r="Z34" s="351">
        <v>0</v>
      </c>
      <c r="AA34" s="351">
        <v>0</v>
      </c>
      <c r="AB34" s="351">
        <v>0</v>
      </c>
      <c r="AC34" s="352">
        <v>0</v>
      </c>
      <c r="AD34" s="242"/>
      <c r="AE34" s="353">
        <f t="shared" si="3"/>
        <v>0</v>
      </c>
      <c r="AG34" s="236"/>
      <c r="AH34" s="244"/>
      <c r="AI34" s="245" t="s">
        <v>316</v>
      </c>
      <c r="AJ34" s="236"/>
      <c r="AK34" s="232"/>
      <c r="AL34" s="354"/>
      <c r="AM34" s="247"/>
      <c r="AN34" s="355" t="s">
        <v>45</v>
      </c>
      <c r="AO34" s="356"/>
      <c r="AP34" s="354"/>
      <c r="AQ34" s="357" t="str">
        <f t="shared" si="4"/>
        <v/>
      </c>
      <c r="AR34" s="357" t="str">
        <f>IFERROR(VLOOKUP($AQ34,[19]TruckCenterReference!$C$22:$I60,3,FALSE), "")</f>
        <v/>
      </c>
      <c r="AS34" s="358" t="str">
        <f t="shared" si="5"/>
        <v/>
      </c>
      <c r="AT34" s="359"/>
      <c r="AU34" s="360" t="str">
        <f>IFERROR(VLOOKUP($AQ34,[19]TruckCenterReference!$C$22:$I60,4,FALSE), "")</f>
        <v/>
      </c>
      <c r="AV34" s="358" t="str">
        <f t="shared" si="6"/>
        <v/>
      </c>
      <c r="AX34" s="357" t="str">
        <f t="shared" si="7"/>
        <v/>
      </c>
      <c r="AY34" s="361" t="str">
        <f>IFERROR(VLOOKUP($AQ34,[19]TruckCenterReference!$C$22:$I60,6,FALSE), "")</f>
        <v/>
      </c>
      <c r="AZ34" s="358" t="str">
        <f t="shared" si="8"/>
        <v/>
      </c>
      <c r="BA34" s="359"/>
      <c r="BB34" s="360">
        <f>IFERROR(VLOOKUP($AQ34,[19]TruckCenterReference!$C$22:$I60,7,FALSE), 0)</f>
        <v>0</v>
      </c>
      <c r="BC34" s="362" t="str">
        <f t="shared" si="9"/>
        <v/>
      </c>
      <c r="BD34" s="358" t="str">
        <f t="shared" si="10"/>
        <v/>
      </c>
    </row>
    <row r="35" spans="1:56">
      <c r="A35" s="344" t="b">
        <f t="shared" si="1"/>
        <v>0</v>
      </c>
      <c r="B35" s="344" t="str">
        <f t="shared" si="2"/>
        <v/>
      </c>
      <c r="C35" s="348" t="s">
        <v>316</v>
      </c>
      <c r="D35" s="349">
        <v>1</v>
      </c>
      <c r="E35" s="230"/>
      <c r="F35" s="231"/>
      <c r="G35" s="232"/>
      <c r="H35" s="233" t="s">
        <v>316</v>
      </c>
      <c r="I35" s="233" t="s">
        <v>316</v>
      </c>
      <c r="J35" s="233" t="s">
        <v>316</v>
      </c>
      <c r="K35" s="234"/>
      <c r="L35" s="235" t="s">
        <v>316</v>
      </c>
      <c r="M35" s="235" t="s">
        <v>316</v>
      </c>
      <c r="N35" s="236"/>
      <c r="O35" s="237" t="s">
        <v>316</v>
      </c>
      <c r="P35" s="237" t="s">
        <v>316</v>
      </c>
      <c r="Q35" s="238"/>
      <c r="R35" s="350">
        <v>0</v>
      </c>
      <c r="S35" s="351">
        <v>0</v>
      </c>
      <c r="T35" s="351">
        <v>0</v>
      </c>
      <c r="U35" s="351">
        <v>0</v>
      </c>
      <c r="V35" s="351">
        <v>0</v>
      </c>
      <c r="W35" s="351">
        <v>0</v>
      </c>
      <c r="X35" s="351">
        <v>0</v>
      </c>
      <c r="Y35" s="351">
        <v>0</v>
      </c>
      <c r="Z35" s="351">
        <v>0</v>
      </c>
      <c r="AA35" s="351">
        <v>0</v>
      </c>
      <c r="AB35" s="351">
        <v>0</v>
      </c>
      <c r="AC35" s="352">
        <v>0</v>
      </c>
      <c r="AD35" s="242"/>
      <c r="AE35" s="353">
        <f t="shared" si="3"/>
        <v>0</v>
      </c>
      <c r="AG35" s="236"/>
      <c r="AH35" s="244"/>
      <c r="AI35" s="245" t="s">
        <v>316</v>
      </c>
      <c r="AJ35" s="236"/>
      <c r="AK35" s="232"/>
      <c r="AL35" s="354"/>
      <c r="AM35" s="247"/>
      <c r="AN35" s="355" t="s">
        <v>45</v>
      </c>
      <c r="AO35" s="356"/>
      <c r="AP35" s="354"/>
      <c r="AQ35" s="357" t="str">
        <f t="shared" si="4"/>
        <v/>
      </c>
      <c r="AR35" s="357" t="str">
        <f>IFERROR(VLOOKUP($AQ35,[19]TruckCenterReference!$C$22:$I61,3,FALSE), "")</f>
        <v/>
      </c>
      <c r="AS35" s="358" t="str">
        <f t="shared" si="5"/>
        <v/>
      </c>
      <c r="AT35" s="359"/>
      <c r="AU35" s="360" t="str">
        <f>IFERROR(VLOOKUP($AQ35,[19]TruckCenterReference!$C$22:$I61,4,FALSE), "")</f>
        <v/>
      </c>
      <c r="AV35" s="358" t="str">
        <f t="shared" si="6"/>
        <v/>
      </c>
      <c r="AX35" s="357" t="str">
        <f t="shared" si="7"/>
        <v/>
      </c>
      <c r="AY35" s="361" t="str">
        <f>IFERROR(VLOOKUP($AQ35,[19]TruckCenterReference!$C$22:$I61,6,FALSE), "")</f>
        <v/>
      </c>
      <c r="AZ35" s="358" t="str">
        <f t="shared" si="8"/>
        <v/>
      </c>
      <c r="BA35" s="359"/>
      <c r="BB35" s="360">
        <f>IFERROR(VLOOKUP($AQ35,[19]TruckCenterReference!$C$22:$I61,7,FALSE), 0)</f>
        <v>0</v>
      </c>
      <c r="BC35" s="362" t="str">
        <f t="shared" si="9"/>
        <v/>
      </c>
      <c r="BD35" s="358" t="str">
        <f t="shared" si="10"/>
        <v/>
      </c>
    </row>
    <row r="36" spans="1:56">
      <c r="A36" s="344" t="b">
        <f t="shared" si="1"/>
        <v>0</v>
      </c>
      <c r="B36" s="344" t="str">
        <f t="shared" si="2"/>
        <v/>
      </c>
      <c r="C36" s="348" t="s">
        <v>316</v>
      </c>
      <c r="D36" s="349">
        <v>1</v>
      </c>
      <c r="E36" s="230"/>
      <c r="F36" s="231"/>
      <c r="G36" s="232"/>
      <c r="H36" s="233" t="s">
        <v>316</v>
      </c>
      <c r="I36" s="233" t="s">
        <v>316</v>
      </c>
      <c r="J36" s="233" t="s">
        <v>316</v>
      </c>
      <c r="K36" s="234"/>
      <c r="L36" s="235" t="s">
        <v>316</v>
      </c>
      <c r="M36" s="235" t="s">
        <v>316</v>
      </c>
      <c r="N36" s="236"/>
      <c r="O36" s="237" t="s">
        <v>316</v>
      </c>
      <c r="P36" s="237" t="s">
        <v>316</v>
      </c>
      <c r="Q36" s="238"/>
      <c r="R36" s="350">
        <v>0</v>
      </c>
      <c r="S36" s="351">
        <v>0</v>
      </c>
      <c r="T36" s="351">
        <v>0</v>
      </c>
      <c r="U36" s="351">
        <v>0</v>
      </c>
      <c r="V36" s="351">
        <v>0</v>
      </c>
      <c r="W36" s="351">
        <v>0</v>
      </c>
      <c r="X36" s="351">
        <v>0</v>
      </c>
      <c r="Y36" s="351">
        <v>0</v>
      </c>
      <c r="Z36" s="351">
        <v>0</v>
      </c>
      <c r="AA36" s="351">
        <v>0</v>
      </c>
      <c r="AB36" s="351">
        <v>0</v>
      </c>
      <c r="AC36" s="352">
        <v>0</v>
      </c>
      <c r="AD36" s="242"/>
      <c r="AE36" s="353">
        <f t="shared" si="3"/>
        <v>0</v>
      </c>
      <c r="AG36" s="236"/>
      <c r="AH36" s="244"/>
      <c r="AI36" s="245" t="s">
        <v>316</v>
      </c>
      <c r="AJ36" s="236"/>
      <c r="AK36" s="232"/>
      <c r="AL36" s="354"/>
      <c r="AM36" s="247"/>
      <c r="AN36" s="355" t="s">
        <v>45</v>
      </c>
      <c r="AO36" s="356"/>
      <c r="AP36" s="354"/>
      <c r="AQ36" s="357" t="str">
        <f t="shared" si="4"/>
        <v/>
      </c>
      <c r="AR36" s="357" t="str">
        <f>IFERROR(VLOOKUP($AQ36,[19]TruckCenterReference!$C$22:$I62,3,FALSE), "")</f>
        <v/>
      </c>
      <c r="AS36" s="358" t="str">
        <f t="shared" si="5"/>
        <v/>
      </c>
      <c r="AT36" s="359"/>
      <c r="AU36" s="360" t="str">
        <f>IFERROR(VLOOKUP($AQ36,[19]TruckCenterReference!$C$22:$I62,4,FALSE), "")</f>
        <v/>
      </c>
      <c r="AV36" s="358" t="str">
        <f t="shared" si="6"/>
        <v/>
      </c>
      <c r="AX36" s="357" t="str">
        <f t="shared" si="7"/>
        <v/>
      </c>
      <c r="AY36" s="361" t="str">
        <f>IFERROR(VLOOKUP($AQ36,[19]TruckCenterReference!$C$22:$I62,6,FALSE), "")</f>
        <v/>
      </c>
      <c r="AZ36" s="358" t="str">
        <f t="shared" si="8"/>
        <v/>
      </c>
      <c r="BA36" s="359"/>
      <c r="BB36" s="360">
        <f>IFERROR(VLOOKUP($AQ36,[19]TruckCenterReference!$C$22:$I62,7,FALSE), 0)</f>
        <v>0</v>
      </c>
      <c r="BC36" s="362" t="str">
        <f t="shared" si="9"/>
        <v/>
      </c>
      <c r="BD36" s="358" t="str">
        <f t="shared" si="10"/>
        <v/>
      </c>
    </row>
    <row r="37" spans="1:56">
      <c r="A37" s="344" t="b">
        <f t="shared" si="1"/>
        <v>0</v>
      </c>
      <c r="B37" s="344" t="str">
        <f t="shared" si="2"/>
        <v/>
      </c>
      <c r="C37" s="348" t="s">
        <v>316</v>
      </c>
      <c r="D37" s="349">
        <v>1</v>
      </c>
      <c r="E37" s="230"/>
      <c r="F37" s="231"/>
      <c r="G37" s="232"/>
      <c r="H37" s="233" t="s">
        <v>316</v>
      </c>
      <c r="I37" s="233" t="s">
        <v>316</v>
      </c>
      <c r="J37" s="233" t="s">
        <v>316</v>
      </c>
      <c r="K37" s="234"/>
      <c r="L37" s="235" t="s">
        <v>316</v>
      </c>
      <c r="M37" s="235" t="s">
        <v>316</v>
      </c>
      <c r="N37" s="236"/>
      <c r="O37" s="237" t="s">
        <v>316</v>
      </c>
      <c r="P37" s="237" t="s">
        <v>316</v>
      </c>
      <c r="Q37" s="238"/>
      <c r="R37" s="350">
        <v>0</v>
      </c>
      <c r="S37" s="351">
        <v>0</v>
      </c>
      <c r="T37" s="351">
        <v>0</v>
      </c>
      <c r="U37" s="351">
        <v>0</v>
      </c>
      <c r="V37" s="351">
        <v>0</v>
      </c>
      <c r="W37" s="351">
        <v>0</v>
      </c>
      <c r="X37" s="351">
        <v>0</v>
      </c>
      <c r="Y37" s="351">
        <v>0</v>
      </c>
      <c r="Z37" s="351">
        <v>0</v>
      </c>
      <c r="AA37" s="351">
        <v>0</v>
      </c>
      <c r="AB37" s="351">
        <v>0</v>
      </c>
      <c r="AC37" s="352">
        <v>0</v>
      </c>
      <c r="AD37" s="242"/>
      <c r="AE37" s="353">
        <f t="shared" si="3"/>
        <v>0</v>
      </c>
      <c r="AG37" s="236"/>
      <c r="AH37" s="244"/>
      <c r="AI37" s="245" t="s">
        <v>316</v>
      </c>
      <c r="AJ37" s="236"/>
      <c r="AK37" s="232"/>
      <c r="AL37" s="354"/>
      <c r="AM37" s="247"/>
      <c r="AN37" s="355" t="s">
        <v>45</v>
      </c>
      <c r="AO37" s="356"/>
      <c r="AP37" s="354"/>
      <c r="AQ37" s="357" t="str">
        <f t="shared" si="4"/>
        <v/>
      </c>
      <c r="AR37" s="357" t="str">
        <f>IFERROR(VLOOKUP($AQ37,[19]TruckCenterReference!$C$22:$I63,3,FALSE), "")</f>
        <v/>
      </c>
      <c r="AS37" s="358" t="str">
        <f t="shared" si="5"/>
        <v/>
      </c>
      <c r="AT37" s="359"/>
      <c r="AU37" s="360" t="str">
        <f>IFERROR(VLOOKUP($AQ37,[19]TruckCenterReference!$C$22:$I63,4,FALSE), "")</f>
        <v/>
      </c>
      <c r="AV37" s="358" t="str">
        <f t="shared" si="6"/>
        <v/>
      </c>
      <c r="AX37" s="357" t="str">
        <f t="shared" si="7"/>
        <v/>
      </c>
      <c r="AY37" s="361" t="str">
        <f>IFERROR(VLOOKUP($AQ37,[19]TruckCenterReference!$C$22:$I63,6,FALSE), "")</f>
        <v/>
      </c>
      <c r="AZ37" s="358" t="str">
        <f t="shared" si="8"/>
        <v/>
      </c>
      <c r="BA37" s="359"/>
      <c r="BB37" s="360">
        <f>IFERROR(VLOOKUP($AQ37,[19]TruckCenterReference!$C$22:$I63,7,FALSE), 0)</f>
        <v>0</v>
      </c>
      <c r="BC37" s="362" t="str">
        <f t="shared" si="9"/>
        <v/>
      </c>
      <c r="BD37" s="358" t="str">
        <f t="shared" si="10"/>
        <v/>
      </c>
    </row>
    <row r="38" spans="1:56">
      <c r="A38" s="344" t="b">
        <f t="shared" si="1"/>
        <v>0</v>
      </c>
      <c r="B38" s="344" t="str">
        <f t="shared" si="2"/>
        <v/>
      </c>
      <c r="C38" s="348" t="s">
        <v>316</v>
      </c>
      <c r="D38" s="349">
        <v>1</v>
      </c>
      <c r="E38" s="230"/>
      <c r="F38" s="231"/>
      <c r="G38" s="232"/>
      <c r="H38" s="233" t="s">
        <v>316</v>
      </c>
      <c r="I38" s="233" t="s">
        <v>316</v>
      </c>
      <c r="J38" s="233" t="s">
        <v>316</v>
      </c>
      <c r="K38" s="234"/>
      <c r="L38" s="235" t="s">
        <v>316</v>
      </c>
      <c r="M38" s="235" t="s">
        <v>316</v>
      </c>
      <c r="N38" s="236"/>
      <c r="O38" s="237" t="s">
        <v>316</v>
      </c>
      <c r="P38" s="237" t="s">
        <v>316</v>
      </c>
      <c r="Q38" s="238"/>
      <c r="R38" s="350">
        <v>0</v>
      </c>
      <c r="S38" s="351">
        <v>0</v>
      </c>
      <c r="T38" s="351">
        <v>0</v>
      </c>
      <c r="U38" s="351">
        <v>0</v>
      </c>
      <c r="V38" s="351">
        <v>0</v>
      </c>
      <c r="W38" s="351">
        <v>0</v>
      </c>
      <c r="X38" s="351">
        <v>0</v>
      </c>
      <c r="Y38" s="351">
        <v>0</v>
      </c>
      <c r="Z38" s="351">
        <v>0</v>
      </c>
      <c r="AA38" s="351">
        <v>0</v>
      </c>
      <c r="AB38" s="351">
        <v>0</v>
      </c>
      <c r="AC38" s="352">
        <v>0</v>
      </c>
      <c r="AD38" s="242"/>
      <c r="AE38" s="353">
        <f t="shared" si="3"/>
        <v>0</v>
      </c>
      <c r="AG38" s="236"/>
      <c r="AH38" s="244"/>
      <c r="AI38" s="245" t="s">
        <v>316</v>
      </c>
      <c r="AJ38" s="236"/>
      <c r="AK38" s="232"/>
      <c r="AL38" s="354"/>
      <c r="AM38" s="247"/>
      <c r="AN38" s="355" t="s">
        <v>45</v>
      </c>
      <c r="AO38" s="356"/>
      <c r="AP38" s="354"/>
      <c r="AQ38" s="357" t="str">
        <f t="shared" si="4"/>
        <v/>
      </c>
      <c r="AR38" s="357" t="str">
        <f>IFERROR(VLOOKUP($AQ38,[19]TruckCenterReference!$C$22:$I64,3,FALSE), "")</f>
        <v/>
      </c>
      <c r="AS38" s="358" t="str">
        <f t="shared" si="5"/>
        <v/>
      </c>
      <c r="AT38" s="359"/>
      <c r="AU38" s="360" t="str">
        <f>IFERROR(VLOOKUP($AQ38,[19]TruckCenterReference!$C$22:$I64,4,FALSE), "")</f>
        <v/>
      </c>
      <c r="AV38" s="358" t="str">
        <f t="shared" si="6"/>
        <v/>
      </c>
      <c r="AX38" s="357" t="str">
        <f t="shared" si="7"/>
        <v/>
      </c>
      <c r="AY38" s="361" t="str">
        <f>IFERROR(VLOOKUP($AQ38,[19]TruckCenterReference!$C$22:$I64,6,FALSE), "")</f>
        <v/>
      </c>
      <c r="AZ38" s="358" t="str">
        <f t="shared" si="8"/>
        <v/>
      </c>
      <c r="BA38" s="359"/>
      <c r="BB38" s="360">
        <f>IFERROR(VLOOKUP($AQ38,[19]TruckCenterReference!$C$22:$I64,7,FALSE), 0)</f>
        <v>0</v>
      </c>
      <c r="BC38" s="362" t="str">
        <f t="shared" si="9"/>
        <v/>
      </c>
      <c r="BD38" s="358" t="str">
        <f t="shared" si="10"/>
        <v/>
      </c>
    </row>
    <row r="39" spans="1:56">
      <c r="A39" s="344" t="b">
        <f t="shared" si="1"/>
        <v>0</v>
      </c>
      <c r="B39" s="344" t="str">
        <f t="shared" si="2"/>
        <v/>
      </c>
      <c r="C39" s="348" t="s">
        <v>316</v>
      </c>
      <c r="D39" s="349">
        <v>1</v>
      </c>
      <c r="E39" s="230"/>
      <c r="F39" s="231"/>
      <c r="G39" s="232"/>
      <c r="H39" s="233" t="s">
        <v>316</v>
      </c>
      <c r="I39" s="233" t="s">
        <v>316</v>
      </c>
      <c r="J39" s="233" t="s">
        <v>316</v>
      </c>
      <c r="K39" s="234"/>
      <c r="L39" s="235" t="s">
        <v>316</v>
      </c>
      <c r="M39" s="235" t="s">
        <v>316</v>
      </c>
      <c r="N39" s="236"/>
      <c r="O39" s="237" t="s">
        <v>316</v>
      </c>
      <c r="P39" s="237" t="s">
        <v>316</v>
      </c>
      <c r="Q39" s="238"/>
      <c r="R39" s="350">
        <v>0</v>
      </c>
      <c r="S39" s="351">
        <v>0</v>
      </c>
      <c r="T39" s="351">
        <v>0</v>
      </c>
      <c r="U39" s="351">
        <v>0</v>
      </c>
      <c r="V39" s="351">
        <v>0</v>
      </c>
      <c r="W39" s="351">
        <v>0</v>
      </c>
      <c r="X39" s="351">
        <v>0</v>
      </c>
      <c r="Y39" s="351">
        <v>0</v>
      </c>
      <c r="Z39" s="351">
        <v>0</v>
      </c>
      <c r="AA39" s="351">
        <v>0</v>
      </c>
      <c r="AB39" s="351">
        <v>0</v>
      </c>
      <c r="AC39" s="352">
        <v>0</v>
      </c>
      <c r="AD39" s="242"/>
      <c r="AE39" s="353">
        <f t="shared" si="3"/>
        <v>0</v>
      </c>
      <c r="AG39" s="236"/>
      <c r="AH39" s="244"/>
      <c r="AI39" s="245" t="s">
        <v>316</v>
      </c>
      <c r="AJ39" s="236"/>
      <c r="AK39" s="232"/>
      <c r="AL39" s="354"/>
      <c r="AM39" s="247"/>
      <c r="AN39" s="355" t="s">
        <v>45</v>
      </c>
      <c r="AO39" s="356"/>
      <c r="AP39" s="354"/>
      <c r="AQ39" s="357" t="str">
        <f t="shared" si="4"/>
        <v/>
      </c>
      <c r="AR39" s="357" t="str">
        <f>IFERROR(VLOOKUP($AQ39,[19]TruckCenterReference!$C$22:$I65,3,FALSE), "")</f>
        <v/>
      </c>
      <c r="AS39" s="358" t="str">
        <f t="shared" si="5"/>
        <v/>
      </c>
      <c r="AT39" s="359"/>
      <c r="AU39" s="360" t="str">
        <f>IFERROR(VLOOKUP($AQ39,[19]TruckCenterReference!$C$22:$I65,4,FALSE), "")</f>
        <v/>
      </c>
      <c r="AV39" s="358" t="str">
        <f t="shared" si="6"/>
        <v/>
      </c>
      <c r="AX39" s="357" t="str">
        <f t="shared" si="7"/>
        <v/>
      </c>
      <c r="AY39" s="361" t="str">
        <f>IFERROR(VLOOKUP($AQ39,[19]TruckCenterReference!$C$22:$I65,6,FALSE), "")</f>
        <v/>
      </c>
      <c r="AZ39" s="358" t="str">
        <f t="shared" si="8"/>
        <v/>
      </c>
      <c r="BA39" s="359"/>
      <c r="BB39" s="360">
        <f>IFERROR(VLOOKUP($AQ39,[19]TruckCenterReference!$C$22:$I65,7,FALSE), 0)</f>
        <v>0</v>
      </c>
      <c r="BC39" s="362" t="str">
        <f t="shared" si="9"/>
        <v/>
      </c>
      <c r="BD39" s="358" t="str">
        <f t="shared" si="10"/>
        <v/>
      </c>
    </row>
    <row r="40" spans="1:56">
      <c r="A40" s="344" t="b">
        <f t="shared" si="1"/>
        <v>0</v>
      </c>
      <c r="B40" s="344" t="str">
        <f t="shared" si="2"/>
        <v/>
      </c>
      <c r="C40" s="348" t="s">
        <v>316</v>
      </c>
      <c r="D40" s="349">
        <v>1</v>
      </c>
      <c r="E40" s="230"/>
      <c r="F40" s="231"/>
      <c r="G40" s="232"/>
      <c r="H40" s="233" t="s">
        <v>316</v>
      </c>
      <c r="I40" s="233" t="s">
        <v>316</v>
      </c>
      <c r="J40" s="233" t="s">
        <v>316</v>
      </c>
      <c r="K40" s="234"/>
      <c r="L40" s="235" t="s">
        <v>316</v>
      </c>
      <c r="M40" s="235" t="s">
        <v>316</v>
      </c>
      <c r="N40" s="236"/>
      <c r="O40" s="237" t="s">
        <v>316</v>
      </c>
      <c r="P40" s="237" t="s">
        <v>316</v>
      </c>
      <c r="Q40" s="238"/>
      <c r="R40" s="350">
        <v>0</v>
      </c>
      <c r="S40" s="351">
        <v>0</v>
      </c>
      <c r="T40" s="351">
        <v>0</v>
      </c>
      <c r="U40" s="351">
        <v>0</v>
      </c>
      <c r="V40" s="351">
        <v>0</v>
      </c>
      <c r="W40" s="351">
        <v>0</v>
      </c>
      <c r="X40" s="351">
        <v>0</v>
      </c>
      <c r="Y40" s="351">
        <v>0</v>
      </c>
      <c r="Z40" s="351">
        <v>0</v>
      </c>
      <c r="AA40" s="351">
        <v>0</v>
      </c>
      <c r="AB40" s="351">
        <v>0</v>
      </c>
      <c r="AC40" s="352">
        <v>0</v>
      </c>
      <c r="AD40" s="242"/>
      <c r="AE40" s="353">
        <f t="shared" si="3"/>
        <v>0</v>
      </c>
      <c r="AG40" s="236"/>
      <c r="AH40" s="244"/>
      <c r="AI40" s="245" t="s">
        <v>316</v>
      </c>
      <c r="AJ40" s="236"/>
      <c r="AK40" s="232"/>
      <c r="AL40" s="354"/>
      <c r="AM40" s="247"/>
      <c r="AN40" s="355" t="s">
        <v>45</v>
      </c>
      <c r="AO40" s="356"/>
      <c r="AP40" s="354"/>
      <c r="AQ40" s="357" t="str">
        <f t="shared" si="4"/>
        <v/>
      </c>
      <c r="AR40" s="357" t="str">
        <f>IFERROR(VLOOKUP($AQ40,[19]TruckCenterReference!$C$22:$I66,3,FALSE), "")</f>
        <v/>
      </c>
      <c r="AS40" s="358" t="str">
        <f t="shared" si="5"/>
        <v/>
      </c>
      <c r="AT40" s="359"/>
      <c r="AU40" s="360" t="str">
        <f>IFERROR(VLOOKUP($AQ40,[19]TruckCenterReference!$C$22:$I66,4,FALSE), "")</f>
        <v/>
      </c>
      <c r="AV40" s="358" t="str">
        <f t="shared" si="6"/>
        <v/>
      </c>
      <c r="AX40" s="357" t="str">
        <f t="shared" si="7"/>
        <v/>
      </c>
      <c r="AY40" s="361" t="str">
        <f>IFERROR(VLOOKUP($AQ40,[19]TruckCenterReference!$C$22:$I66,6,FALSE), "")</f>
        <v/>
      </c>
      <c r="AZ40" s="358" t="str">
        <f t="shared" si="8"/>
        <v/>
      </c>
      <c r="BA40" s="359"/>
      <c r="BB40" s="360">
        <f>IFERROR(VLOOKUP($AQ40,[19]TruckCenterReference!$C$22:$I66,7,FALSE), 0)</f>
        <v>0</v>
      </c>
      <c r="BC40" s="362" t="str">
        <f t="shared" si="9"/>
        <v/>
      </c>
      <c r="BD40" s="358" t="str">
        <f t="shared" si="10"/>
        <v/>
      </c>
    </row>
    <row r="41" spans="1:56">
      <c r="A41" s="344" t="b">
        <f t="shared" si="1"/>
        <v>0</v>
      </c>
      <c r="B41" s="344" t="str">
        <f t="shared" si="2"/>
        <v/>
      </c>
      <c r="C41" s="348" t="s">
        <v>316</v>
      </c>
      <c r="D41" s="349">
        <v>1</v>
      </c>
      <c r="E41" s="230"/>
      <c r="F41" s="231"/>
      <c r="G41" s="232"/>
      <c r="H41" s="233" t="s">
        <v>316</v>
      </c>
      <c r="I41" s="233" t="s">
        <v>316</v>
      </c>
      <c r="J41" s="233" t="s">
        <v>316</v>
      </c>
      <c r="K41" s="234"/>
      <c r="L41" s="235" t="s">
        <v>316</v>
      </c>
      <c r="M41" s="235" t="s">
        <v>316</v>
      </c>
      <c r="N41" s="236"/>
      <c r="O41" s="237" t="s">
        <v>316</v>
      </c>
      <c r="P41" s="237" t="s">
        <v>316</v>
      </c>
      <c r="Q41" s="238"/>
      <c r="R41" s="350">
        <v>0</v>
      </c>
      <c r="S41" s="351">
        <v>0</v>
      </c>
      <c r="T41" s="351">
        <v>0</v>
      </c>
      <c r="U41" s="351">
        <v>0</v>
      </c>
      <c r="V41" s="351">
        <v>0</v>
      </c>
      <c r="W41" s="351">
        <v>0</v>
      </c>
      <c r="X41" s="351">
        <v>0</v>
      </c>
      <c r="Y41" s="351">
        <v>0</v>
      </c>
      <c r="Z41" s="351">
        <v>0</v>
      </c>
      <c r="AA41" s="351">
        <v>0</v>
      </c>
      <c r="AB41" s="351">
        <v>0</v>
      </c>
      <c r="AC41" s="352">
        <v>0</v>
      </c>
      <c r="AD41" s="242"/>
      <c r="AE41" s="353">
        <f t="shared" si="3"/>
        <v>0</v>
      </c>
      <c r="AG41" s="236"/>
      <c r="AH41" s="244"/>
      <c r="AI41" s="245" t="s">
        <v>316</v>
      </c>
      <c r="AJ41" s="236"/>
      <c r="AK41" s="232"/>
      <c r="AL41" s="354"/>
      <c r="AM41" s="247"/>
      <c r="AN41" s="355" t="s">
        <v>45</v>
      </c>
      <c r="AO41" s="356"/>
      <c r="AP41" s="354"/>
      <c r="AQ41" s="357" t="str">
        <f t="shared" si="4"/>
        <v/>
      </c>
      <c r="AR41" s="357" t="str">
        <f>IFERROR(VLOOKUP($AQ41,[19]TruckCenterReference!$C$22:$I67,3,FALSE), "")</f>
        <v/>
      </c>
      <c r="AS41" s="358" t="str">
        <f t="shared" si="5"/>
        <v/>
      </c>
      <c r="AT41" s="359"/>
      <c r="AU41" s="360" t="str">
        <f>IFERROR(VLOOKUP($AQ41,[19]TruckCenterReference!$C$22:$I67,4,FALSE), "")</f>
        <v/>
      </c>
      <c r="AV41" s="358" t="str">
        <f t="shared" si="6"/>
        <v/>
      </c>
      <c r="AX41" s="357" t="str">
        <f t="shared" si="7"/>
        <v/>
      </c>
      <c r="AY41" s="361" t="str">
        <f>IFERROR(VLOOKUP($AQ41,[19]TruckCenterReference!$C$22:$I67,6,FALSE), "")</f>
        <v/>
      </c>
      <c r="AZ41" s="358" t="str">
        <f t="shared" si="8"/>
        <v/>
      </c>
      <c r="BA41" s="359"/>
      <c r="BB41" s="360">
        <f>IFERROR(VLOOKUP($AQ41,[19]TruckCenterReference!$C$22:$I67,7,FALSE), 0)</f>
        <v>0</v>
      </c>
      <c r="BC41" s="362" t="str">
        <f t="shared" si="9"/>
        <v/>
      </c>
      <c r="BD41" s="358" t="str">
        <f t="shared" si="10"/>
        <v/>
      </c>
    </row>
    <row r="42" spans="1:56">
      <c r="A42" s="344" t="b">
        <f t="shared" si="1"/>
        <v>0</v>
      </c>
      <c r="B42" s="344" t="str">
        <f t="shared" si="2"/>
        <v/>
      </c>
      <c r="C42" s="348" t="s">
        <v>316</v>
      </c>
      <c r="D42" s="349">
        <v>1</v>
      </c>
      <c r="E42" s="230"/>
      <c r="F42" s="231"/>
      <c r="G42" s="232"/>
      <c r="H42" s="233" t="s">
        <v>316</v>
      </c>
      <c r="I42" s="233" t="s">
        <v>316</v>
      </c>
      <c r="J42" s="233" t="s">
        <v>316</v>
      </c>
      <c r="K42" s="234"/>
      <c r="L42" s="235" t="s">
        <v>316</v>
      </c>
      <c r="M42" s="235" t="s">
        <v>316</v>
      </c>
      <c r="N42" s="236"/>
      <c r="O42" s="237" t="s">
        <v>316</v>
      </c>
      <c r="P42" s="237" t="s">
        <v>316</v>
      </c>
      <c r="Q42" s="238"/>
      <c r="R42" s="350">
        <v>0</v>
      </c>
      <c r="S42" s="351">
        <v>0</v>
      </c>
      <c r="T42" s="351">
        <v>0</v>
      </c>
      <c r="U42" s="351">
        <v>0</v>
      </c>
      <c r="V42" s="351">
        <v>0</v>
      </c>
      <c r="W42" s="351">
        <v>0</v>
      </c>
      <c r="X42" s="351">
        <v>0</v>
      </c>
      <c r="Y42" s="351">
        <v>0</v>
      </c>
      <c r="Z42" s="351">
        <v>0</v>
      </c>
      <c r="AA42" s="351">
        <v>0</v>
      </c>
      <c r="AB42" s="351">
        <v>0</v>
      </c>
      <c r="AC42" s="352">
        <v>0</v>
      </c>
      <c r="AD42" s="242"/>
      <c r="AE42" s="353">
        <f t="shared" si="3"/>
        <v>0</v>
      </c>
      <c r="AG42" s="236"/>
      <c r="AH42" s="244"/>
      <c r="AI42" s="245" t="s">
        <v>316</v>
      </c>
      <c r="AJ42" s="236"/>
      <c r="AK42" s="232"/>
      <c r="AL42" s="354"/>
      <c r="AM42" s="247"/>
      <c r="AN42" s="355" t="s">
        <v>45</v>
      </c>
      <c r="AO42" s="356"/>
      <c r="AP42" s="354"/>
      <c r="AQ42" s="357" t="str">
        <f t="shared" si="4"/>
        <v/>
      </c>
      <c r="AR42" s="357" t="str">
        <f>IFERROR(VLOOKUP($AQ42,[19]TruckCenterReference!$C$22:$I68,3,FALSE), "")</f>
        <v/>
      </c>
      <c r="AS42" s="358" t="str">
        <f t="shared" si="5"/>
        <v/>
      </c>
      <c r="AT42" s="359"/>
      <c r="AU42" s="360" t="str">
        <f>IFERROR(VLOOKUP($AQ42,[19]TruckCenterReference!$C$22:$I68,4,FALSE), "")</f>
        <v/>
      </c>
      <c r="AV42" s="358" t="str">
        <f t="shared" si="6"/>
        <v/>
      </c>
      <c r="AX42" s="357" t="str">
        <f t="shared" si="7"/>
        <v/>
      </c>
      <c r="AY42" s="361" t="str">
        <f>IFERROR(VLOOKUP($AQ42,[19]TruckCenterReference!$C$22:$I68,6,FALSE), "")</f>
        <v/>
      </c>
      <c r="AZ42" s="358" t="str">
        <f t="shared" si="8"/>
        <v/>
      </c>
      <c r="BA42" s="359"/>
      <c r="BB42" s="360">
        <f>IFERROR(VLOOKUP($AQ42,[19]TruckCenterReference!$C$22:$I68,7,FALSE), 0)</f>
        <v>0</v>
      </c>
      <c r="BC42" s="362" t="str">
        <f t="shared" si="9"/>
        <v/>
      </c>
      <c r="BD42" s="358" t="str">
        <f t="shared" si="10"/>
        <v/>
      </c>
    </row>
    <row r="43" spans="1:56">
      <c r="A43" s="344" t="b">
        <f t="shared" si="1"/>
        <v>0</v>
      </c>
      <c r="B43" s="344" t="str">
        <f t="shared" si="2"/>
        <v/>
      </c>
      <c r="C43" s="348" t="s">
        <v>316</v>
      </c>
      <c r="D43" s="349">
        <v>1</v>
      </c>
      <c r="E43" s="230"/>
      <c r="F43" s="231"/>
      <c r="G43" s="232"/>
      <c r="H43" s="233" t="s">
        <v>316</v>
      </c>
      <c r="I43" s="233" t="s">
        <v>316</v>
      </c>
      <c r="J43" s="233" t="s">
        <v>316</v>
      </c>
      <c r="K43" s="234"/>
      <c r="L43" s="235" t="s">
        <v>316</v>
      </c>
      <c r="M43" s="235" t="s">
        <v>316</v>
      </c>
      <c r="N43" s="236"/>
      <c r="O43" s="237" t="s">
        <v>316</v>
      </c>
      <c r="P43" s="237" t="s">
        <v>316</v>
      </c>
      <c r="Q43" s="238"/>
      <c r="R43" s="350">
        <v>0</v>
      </c>
      <c r="S43" s="351">
        <v>0</v>
      </c>
      <c r="T43" s="351">
        <v>0</v>
      </c>
      <c r="U43" s="351">
        <v>0</v>
      </c>
      <c r="V43" s="351">
        <v>0</v>
      </c>
      <c r="W43" s="351">
        <v>0</v>
      </c>
      <c r="X43" s="351">
        <v>0</v>
      </c>
      <c r="Y43" s="351">
        <v>0</v>
      </c>
      <c r="Z43" s="351">
        <v>0</v>
      </c>
      <c r="AA43" s="351">
        <v>0</v>
      </c>
      <c r="AB43" s="351">
        <v>0</v>
      </c>
      <c r="AC43" s="352">
        <v>0</v>
      </c>
      <c r="AD43" s="242"/>
      <c r="AE43" s="353">
        <f t="shared" si="3"/>
        <v>0</v>
      </c>
      <c r="AG43" s="236"/>
      <c r="AH43" s="244"/>
      <c r="AI43" s="245" t="s">
        <v>316</v>
      </c>
      <c r="AJ43" s="236"/>
      <c r="AK43" s="232"/>
      <c r="AL43" s="354"/>
      <c r="AM43" s="247"/>
      <c r="AN43" s="355" t="s">
        <v>45</v>
      </c>
      <c r="AO43" s="356"/>
      <c r="AP43" s="354"/>
      <c r="AQ43" s="357" t="str">
        <f t="shared" si="4"/>
        <v/>
      </c>
      <c r="AR43" s="357" t="str">
        <f>IFERROR(VLOOKUP($AQ43,[19]TruckCenterReference!$C$22:$I69,3,FALSE), "")</f>
        <v/>
      </c>
      <c r="AS43" s="358" t="str">
        <f t="shared" si="5"/>
        <v/>
      </c>
      <c r="AT43" s="359"/>
      <c r="AU43" s="360" t="str">
        <f>IFERROR(VLOOKUP($AQ43,[19]TruckCenterReference!$C$22:$I69,4,FALSE), "")</f>
        <v/>
      </c>
      <c r="AV43" s="358" t="str">
        <f t="shared" si="6"/>
        <v/>
      </c>
      <c r="AX43" s="357" t="str">
        <f t="shared" si="7"/>
        <v/>
      </c>
      <c r="AY43" s="361" t="str">
        <f>IFERROR(VLOOKUP($AQ43,[19]TruckCenterReference!$C$22:$I69,6,FALSE), "")</f>
        <v/>
      </c>
      <c r="AZ43" s="358" t="str">
        <f t="shared" si="8"/>
        <v/>
      </c>
      <c r="BA43" s="359"/>
      <c r="BB43" s="360">
        <f>IFERROR(VLOOKUP($AQ43,[19]TruckCenterReference!$C$22:$I69,7,FALSE), 0)</f>
        <v>0</v>
      </c>
      <c r="BC43" s="362" t="str">
        <f t="shared" si="9"/>
        <v/>
      </c>
      <c r="BD43" s="358" t="str">
        <f t="shared" si="10"/>
        <v/>
      </c>
    </row>
    <row r="44" spans="1:56">
      <c r="A44" s="344" t="b">
        <f t="shared" si="1"/>
        <v>0</v>
      </c>
      <c r="B44" s="344" t="str">
        <f t="shared" si="2"/>
        <v/>
      </c>
      <c r="C44" s="348" t="s">
        <v>316</v>
      </c>
      <c r="D44" s="349">
        <v>1</v>
      </c>
      <c r="E44" s="230"/>
      <c r="F44" s="231"/>
      <c r="G44" s="232"/>
      <c r="H44" s="233" t="s">
        <v>316</v>
      </c>
      <c r="I44" s="233" t="s">
        <v>316</v>
      </c>
      <c r="J44" s="233" t="s">
        <v>316</v>
      </c>
      <c r="K44" s="234"/>
      <c r="L44" s="235" t="s">
        <v>316</v>
      </c>
      <c r="M44" s="235" t="s">
        <v>316</v>
      </c>
      <c r="N44" s="236"/>
      <c r="O44" s="237" t="s">
        <v>316</v>
      </c>
      <c r="P44" s="237" t="s">
        <v>316</v>
      </c>
      <c r="Q44" s="238"/>
      <c r="R44" s="350">
        <v>0</v>
      </c>
      <c r="S44" s="351">
        <v>0</v>
      </c>
      <c r="T44" s="351">
        <v>0</v>
      </c>
      <c r="U44" s="351">
        <v>0</v>
      </c>
      <c r="V44" s="351">
        <v>0</v>
      </c>
      <c r="W44" s="351">
        <v>0</v>
      </c>
      <c r="X44" s="351">
        <v>0</v>
      </c>
      <c r="Y44" s="351">
        <v>0</v>
      </c>
      <c r="Z44" s="351">
        <v>0</v>
      </c>
      <c r="AA44" s="351">
        <v>0</v>
      </c>
      <c r="AB44" s="351">
        <v>0</v>
      </c>
      <c r="AC44" s="352">
        <v>0</v>
      </c>
      <c r="AD44" s="242"/>
      <c r="AE44" s="353">
        <f t="shared" si="3"/>
        <v>0</v>
      </c>
      <c r="AG44" s="236"/>
      <c r="AH44" s="244"/>
      <c r="AI44" s="245" t="s">
        <v>316</v>
      </c>
      <c r="AJ44" s="236"/>
      <c r="AK44" s="232"/>
      <c r="AL44" s="354"/>
      <c r="AM44" s="247"/>
      <c r="AN44" s="355" t="s">
        <v>45</v>
      </c>
      <c r="AO44" s="356"/>
      <c r="AP44" s="354"/>
      <c r="AQ44" s="357" t="str">
        <f t="shared" si="4"/>
        <v/>
      </c>
      <c r="AR44" s="357" t="str">
        <f>IFERROR(VLOOKUP($AQ44,[19]TruckCenterReference!$C$22:$I70,3,FALSE), "")</f>
        <v/>
      </c>
      <c r="AS44" s="358" t="str">
        <f t="shared" si="5"/>
        <v/>
      </c>
      <c r="AT44" s="359"/>
      <c r="AU44" s="360" t="str">
        <f>IFERROR(VLOOKUP($AQ44,[19]TruckCenterReference!$C$22:$I70,4,FALSE), "")</f>
        <v/>
      </c>
      <c r="AV44" s="358" t="str">
        <f t="shared" si="6"/>
        <v/>
      </c>
      <c r="AX44" s="357" t="str">
        <f t="shared" si="7"/>
        <v/>
      </c>
      <c r="AY44" s="361" t="str">
        <f>IFERROR(VLOOKUP($AQ44,[19]TruckCenterReference!$C$22:$I70,6,FALSE), "")</f>
        <v/>
      </c>
      <c r="AZ44" s="358" t="str">
        <f t="shared" si="8"/>
        <v/>
      </c>
      <c r="BA44" s="359"/>
      <c r="BB44" s="360">
        <f>IFERROR(VLOOKUP($AQ44,[19]TruckCenterReference!$C$22:$I70,7,FALSE), 0)</f>
        <v>0</v>
      </c>
      <c r="BC44" s="362" t="str">
        <f t="shared" si="9"/>
        <v/>
      </c>
      <c r="BD44" s="358" t="str">
        <f t="shared" si="10"/>
        <v/>
      </c>
    </row>
    <row r="45" spans="1:56">
      <c r="A45" s="344" t="b">
        <f t="shared" si="1"/>
        <v>0</v>
      </c>
      <c r="B45" s="344" t="str">
        <f t="shared" si="2"/>
        <v/>
      </c>
      <c r="C45" s="348" t="s">
        <v>316</v>
      </c>
      <c r="D45" s="349">
        <v>1</v>
      </c>
      <c r="E45" s="230"/>
      <c r="F45" s="231"/>
      <c r="G45" s="232"/>
      <c r="H45" s="233" t="s">
        <v>316</v>
      </c>
      <c r="I45" s="233" t="s">
        <v>316</v>
      </c>
      <c r="J45" s="233" t="s">
        <v>316</v>
      </c>
      <c r="K45" s="234"/>
      <c r="L45" s="235" t="s">
        <v>316</v>
      </c>
      <c r="M45" s="235" t="s">
        <v>316</v>
      </c>
      <c r="N45" s="236"/>
      <c r="O45" s="237" t="s">
        <v>316</v>
      </c>
      <c r="P45" s="237" t="s">
        <v>316</v>
      </c>
      <c r="Q45" s="238"/>
      <c r="R45" s="350">
        <v>0</v>
      </c>
      <c r="S45" s="351">
        <v>0</v>
      </c>
      <c r="T45" s="351">
        <v>0</v>
      </c>
      <c r="U45" s="351">
        <v>0</v>
      </c>
      <c r="V45" s="351">
        <v>0</v>
      </c>
      <c r="W45" s="351">
        <v>0</v>
      </c>
      <c r="X45" s="351">
        <v>0</v>
      </c>
      <c r="Y45" s="351">
        <v>0</v>
      </c>
      <c r="Z45" s="351">
        <v>0</v>
      </c>
      <c r="AA45" s="351">
        <v>0</v>
      </c>
      <c r="AB45" s="351">
        <v>0</v>
      </c>
      <c r="AC45" s="352">
        <v>0</v>
      </c>
      <c r="AD45" s="242"/>
      <c r="AE45" s="353">
        <f t="shared" si="3"/>
        <v>0</v>
      </c>
      <c r="AG45" s="236"/>
      <c r="AH45" s="244"/>
      <c r="AI45" s="245" t="s">
        <v>316</v>
      </c>
      <c r="AJ45" s="236"/>
      <c r="AK45" s="232"/>
      <c r="AL45" s="354"/>
      <c r="AM45" s="247"/>
      <c r="AN45" s="355" t="s">
        <v>45</v>
      </c>
      <c r="AO45" s="356"/>
      <c r="AP45" s="354"/>
      <c r="AQ45" s="357" t="str">
        <f t="shared" si="4"/>
        <v/>
      </c>
      <c r="AR45" s="357" t="str">
        <f>IFERROR(VLOOKUP($AQ45,[19]TruckCenterReference!$C$22:$I71,3,FALSE), "")</f>
        <v/>
      </c>
      <c r="AS45" s="358" t="str">
        <f t="shared" si="5"/>
        <v/>
      </c>
      <c r="AT45" s="359"/>
      <c r="AU45" s="360" t="str">
        <f>IFERROR(VLOOKUP($AQ45,[19]TruckCenterReference!$C$22:$I71,4,FALSE), "")</f>
        <v/>
      </c>
      <c r="AV45" s="358" t="str">
        <f t="shared" si="6"/>
        <v/>
      </c>
      <c r="AX45" s="357" t="str">
        <f t="shared" si="7"/>
        <v/>
      </c>
      <c r="AY45" s="361" t="str">
        <f>IFERROR(VLOOKUP($AQ45,[19]TruckCenterReference!$C$22:$I71,6,FALSE), "")</f>
        <v/>
      </c>
      <c r="AZ45" s="358" t="str">
        <f t="shared" si="8"/>
        <v/>
      </c>
      <c r="BA45" s="359"/>
      <c r="BB45" s="360">
        <f>IFERROR(VLOOKUP($AQ45,[19]TruckCenterReference!$C$22:$I71,7,FALSE), 0)</f>
        <v>0</v>
      </c>
      <c r="BC45" s="362" t="str">
        <f t="shared" si="9"/>
        <v/>
      </c>
      <c r="BD45" s="358" t="str">
        <f t="shared" si="10"/>
        <v/>
      </c>
    </row>
    <row r="46" spans="1:56">
      <c r="A46" s="344" t="b">
        <f t="shared" si="1"/>
        <v>0</v>
      </c>
      <c r="B46" s="344" t="str">
        <f t="shared" si="2"/>
        <v/>
      </c>
      <c r="C46" s="348" t="s">
        <v>316</v>
      </c>
      <c r="D46" s="349">
        <v>1</v>
      </c>
      <c r="E46" s="230"/>
      <c r="F46" s="231"/>
      <c r="G46" s="232"/>
      <c r="H46" s="233" t="s">
        <v>316</v>
      </c>
      <c r="I46" s="233" t="s">
        <v>316</v>
      </c>
      <c r="J46" s="233" t="s">
        <v>316</v>
      </c>
      <c r="K46" s="234"/>
      <c r="L46" s="235" t="s">
        <v>316</v>
      </c>
      <c r="M46" s="235" t="s">
        <v>316</v>
      </c>
      <c r="N46" s="236"/>
      <c r="O46" s="237" t="s">
        <v>316</v>
      </c>
      <c r="P46" s="237" t="s">
        <v>316</v>
      </c>
      <c r="Q46" s="238"/>
      <c r="R46" s="350">
        <v>0</v>
      </c>
      <c r="S46" s="351">
        <v>0</v>
      </c>
      <c r="T46" s="351">
        <v>0</v>
      </c>
      <c r="U46" s="351">
        <v>0</v>
      </c>
      <c r="V46" s="351">
        <v>0</v>
      </c>
      <c r="W46" s="351">
        <v>0</v>
      </c>
      <c r="X46" s="351">
        <v>0</v>
      </c>
      <c r="Y46" s="351">
        <v>0</v>
      </c>
      <c r="Z46" s="351">
        <v>0</v>
      </c>
      <c r="AA46" s="351">
        <v>0</v>
      </c>
      <c r="AB46" s="351">
        <v>0</v>
      </c>
      <c r="AC46" s="352">
        <v>0</v>
      </c>
      <c r="AD46" s="242"/>
      <c r="AE46" s="353">
        <f t="shared" si="3"/>
        <v>0</v>
      </c>
      <c r="AG46" s="236"/>
      <c r="AH46" s="244"/>
      <c r="AI46" s="245" t="s">
        <v>316</v>
      </c>
      <c r="AJ46" s="236"/>
      <c r="AK46" s="232"/>
      <c r="AL46" s="354"/>
      <c r="AM46" s="247"/>
      <c r="AN46" s="355" t="s">
        <v>45</v>
      </c>
      <c r="AO46" s="356"/>
      <c r="AP46" s="354"/>
      <c r="AQ46" s="357" t="str">
        <f t="shared" si="4"/>
        <v/>
      </c>
      <c r="AR46" s="357" t="str">
        <f>IFERROR(VLOOKUP($AQ46,[19]TruckCenterReference!$C$22:$I72,3,FALSE), "")</f>
        <v/>
      </c>
      <c r="AS46" s="358" t="str">
        <f t="shared" si="5"/>
        <v/>
      </c>
      <c r="AT46" s="359"/>
      <c r="AU46" s="360" t="str">
        <f>IFERROR(VLOOKUP($AQ46,[19]TruckCenterReference!$C$22:$I72,4,FALSE), "")</f>
        <v/>
      </c>
      <c r="AV46" s="358" t="str">
        <f t="shared" si="6"/>
        <v/>
      </c>
      <c r="AX46" s="357" t="str">
        <f t="shared" si="7"/>
        <v/>
      </c>
      <c r="AY46" s="361" t="str">
        <f>IFERROR(VLOOKUP($AQ46,[19]TruckCenterReference!$C$22:$I72,6,FALSE), "")</f>
        <v/>
      </c>
      <c r="AZ46" s="358" t="str">
        <f t="shared" si="8"/>
        <v/>
      </c>
      <c r="BA46" s="359"/>
      <c r="BB46" s="360">
        <f>IFERROR(VLOOKUP($AQ46,[19]TruckCenterReference!$C$22:$I72,7,FALSE), 0)</f>
        <v>0</v>
      </c>
      <c r="BC46" s="362" t="str">
        <f t="shared" si="9"/>
        <v/>
      </c>
      <c r="BD46" s="358" t="str">
        <f t="shared" si="10"/>
        <v/>
      </c>
    </row>
    <row r="47" spans="1:56">
      <c r="A47" s="344" t="b">
        <f t="shared" si="1"/>
        <v>0</v>
      </c>
      <c r="B47" s="344" t="str">
        <f t="shared" si="2"/>
        <v/>
      </c>
      <c r="C47" s="348" t="s">
        <v>316</v>
      </c>
      <c r="D47" s="349">
        <v>1</v>
      </c>
      <c r="E47" s="230"/>
      <c r="F47" s="231"/>
      <c r="G47" s="232"/>
      <c r="H47" s="233" t="s">
        <v>316</v>
      </c>
      <c r="I47" s="233" t="s">
        <v>316</v>
      </c>
      <c r="J47" s="233" t="s">
        <v>316</v>
      </c>
      <c r="K47" s="234"/>
      <c r="L47" s="235" t="s">
        <v>316</v>
      </c>
      <c r="M47" s="235" t="s">
        <v>316</v>
      </c>
      <c r="N47" s="236"/>
      <c r="O47" s="237" t="s">
        <v>316</v>
      </c>
      <c r="P47" s="237" t="s">
        <v>316</v>
      </c>
      <c r="Q47" s="238"/>
      <c r="R47" s="350">
        <v>0</v>
      </c>
      <c r="S47" s="351">
        <v>0</v>
      </c>
      <c r="T47" s="351">
        <v>0</v>
      </c>
      <c r="U47" s="351">
        <v>0</v>
      </c>
      <c r="V47" s="351">
        <v>0</v>
      </c>
      <c r="W47" s="351">
        <v>0</v>
      </c>
      <c r="X47" s="351">
        <v>0</v>
      </c>
      <c r="Y47" s="351">
        <v>0</v>
      </c>
      <c r="Z47" s="351">
        <v>0</v>
      </c>
      <c r="AA47" s="351">
        <v>0</v>
      </c>
      <c r="AB47" s="351">
        <v>0</v>
      </c>
      <c r="AC47" s="352">
        <v>0</v>
      </c>
      <c r="AD47" s="242"/>
      <c r="AE47" s="353">
        <f t="shared" si="3"/>
        <v>0</v>
      </c>
      <c r="AG47" s="236"/>
      <c r="AH47" s="244"/>
      <c r="AI47" s="245" t="s">
        <v>316</v>
      </c>
      <c r="AJ47" s="236"/>
      <c r="AK47" s="232"/>
      <c r="AL47" s="354"/>
      <c r="AM47" s="247"/>
      <c r="AN47" s="355" t="s">
        <v>45</v>
      </c>
      <c r="AO47" s="356"/>
      <c r="AP47" s="354"/>
      <c r="AQ47" s="357" t="str">
        <f t="shared" si="4"/>
        <v/>
      </c>
      <c r="AR47" s="357" t="str">
        <f>IFERROR(VLOOKUP($AQ47,[19]TruckCenterReference!$C$22:$I73,3,FALSE), "")</f>
        <v/>
      </c>
      <c r="AS47" s="358" t="str">
        <f t="shared" si="5"/>
        <v/>
      </c>
      <c r="AT47" s="359"/>
      <c r="AU47" s="360" t="str">
        <f>IFERROR(VLOOKUP($AQ47,[19]TruckCenterReference!$C$22:$I73,4,FALSE), "")</f>
        <v/>
      </c>
      <c r="AV47" s="358" t="str">
        <f t="shared" si="6"/>
        <v/>
      </c>
      <c r="AX47" s="357" t="str">
        <f t="shared" si="7"/>
        <v/>
      </c>
      <c r="AY47" s="361" t="str">
        <f>IFERROR(VLOOKUP($AQ47,[19]TruckCenterReference!$C$22:$I73,6,FALSE), "")</f>
        <v/>
      </c>
      <c r="AZ47" s="358" t="str">
        <f t="shared" si="8"/>
        <v/>
      </c>
      <c r="BA47" s="359"/>
      <c r="BB47" s="360">
        <f>IFERROR(VLOOKUP($AQ47,[19]TruckCenterReference!$C$22:$I73,7,FALSE), 0)</f>
        <v>0</v>
      </c>
      <c r="BC47" s="362" t="str">
        <f t="shared" si="9"/>
        <v/>
      </c>
      <c r="BD47" s="358" t="str">
        <f t="shared" si="10"/>
        <v/>
      </c>
    </row>
    <row r="48" spans="1:56">
      <c r="A48" s="344" t="b">
        <f t="shared" si="1"/>
        <v>0</v>
      </c>
      <c r="B48" s="344" t="str">
        <f t="shared" si="2"/>
        <v/>
      </c>
      <c r="C48" s="348" t="s">
        <v>316</v>
      </c>
      <c r="D48" s="349">
        <v>1</v>
      </c>
      <c r="E48" s="230"/>
      <c r="F48" s="231"/>
      <c r="G48" s="232"/>
      <c r="H48" s="233" t="s">
        <v>316</v>
      </c>
      <c r="I48" s="233" t="s">
        <v>316</v>
      </c>
      <c r="J48" s="233" t="s">
        <v>316</v>
      </c>
      <c r="K48" s="234"/>
      <c r="L48" s="235" t="s">
        <v>316</v>
      </c>
      <c r="M48" s="235" t="s">
        <v>316</v>
      </c>
      <c r="N48" s="236"/>
      <c r="O48" s="237" t="s">
        <v>316</v>
      </c>
      <c r="P48" s="237" t="s">
        <v>316</v>
      </c>
      <c r="Q48" s="238"/>
      <c r="R48" s="350">
        <v>0</v>
      </c>
      <c r="S48" s="351">
        <v>0</v>
      </c>
      <c r="T48" s="351">
        <v>0</v>
      </c>
      <c r="U48" s="351">
        <v>0</v>
      </c>
      <c r="V48" s="351">
        <v>0</v>
      </c>
      <c r="W48" s="351">
        <v>0</v>
      </c>
      <c r="X48" s="351">
        <v>0</v>
      </c>
      <c r="Y48" s="351">
        <v>0</v>
      </c>
      <c r="Z48" s="351">
        <v>0</v>
      </c>
      <c r="AA48" s="351">
        <v>0</v>
      </c>
      <c r="AB48" s="351">
        <v>0</v>
      </c>
      <c r="AC48" s="352">
        <v>0</v>
      </c>
      <c r="AD48" s="242"/>
      <c r="AE48" s="353">
        <f t="shared" si="3"/>
        <v>0</v>
      </c>
      <c r="AG48" s="236"/>
      <c r="AH48" s="244"/>
      <c r="AI48" s="245" t="s">
        <v>316</v>
      </c>
      <c r="AJ48" s="236"/>
      <c r="AK48" s="232"/>
      <c r="AL48" s="354"/>
      <c r="AM48" s="247"/>
      <c r="AN48" s="355" t="s">
        <v>45</v>
      </c>
      <c r="AO48" s="356"/>
      <c r="AP48" s="354"/>
      <c r="AQ48" s="357" t="str">
        <f t="shared" si="4"/>
        <v/>
      </c>
      <c r="AR48" s="357" t="str">
        <f>IFERROR(VLOOKUP($AQ48,[19]TruckCenterReference!$C$22:$I74,3,FALSE), "")</f>
        <v/>
      </c>
      <c r="AS48" s="358" t="str">
        <f t="shared" si="5"/>
        <v/>
      </c>
      <c r="AT48" s="359"/>
      <c r="AU48" s="360" t="str">
        <f>IFERROR(VLOOKUP($AQ48,[19]TruckCenterReference!$C$22:$I74,4,FALSE), "")</f>
        <v/>
      </c>
      <c r="AV48" s="358" t="str">
        <f t="shared" si="6"/>
        <v/>
      </c>
      <c r="AX48" s="357" t="str">
        <f t="shared" si="7"/>
        <v/>
      </c>
      <c r="AY48" s="361" t="str">
        <f>IFERROR(VLOOKUP($AQ48,[19]TruckCenterReference!$C$22:$I74,6,FALSE), "")</f>
        <v/>
      </c>
      <c r="AZ48" s="358" t="str">
        <f t="shared" si="8"/>
        <v/>
      </c>
      <c r="BA48" s="359"/>
      <c r="BB48" s="360">
        <f>IFERROR(VLOOKUP($AQ48,[19]TruckCenterReference!$C$22:$I74,7,FALSE), 0)</f>
        <v>0</v>
      </c>
      <c r="BC48" s="362" t="str">
        <f t="shared" si="9"/>
        <v/>
      </c>
      <c r="BD48" s="358" t="str">
        <f t="shared" si="10"/>
        <v/>
      </c>
    </row>
    <row r="49" spans="1:56">
      <c r="A49" s="344" t="b">
        <f t="shared" si="1"/>
        <v>0</v>
      </c>
      <c r="B49" s="344" t="str">
        <f t="shared" si="2"/>
        <v/>
      </c>
      <c r="C49" s="348" t="s">
        <v>316</v>
      </c>
      <c r="D49" s="349">
        <v>1</v>
      </c>
      <c r="E49" s="230"/>
      <c r="F49" s="231"/>
      <c r="G49" s="232"/>
      <c r="H49" s="233" t="s">
        <v>316</v>
      </c>
      <c r="I49" s="233" t="s">
        <v>316</v>
      </c>
      <c r="J49" s="233" t="s">
        <v>316</v>
      </c>
      <c r="K49" s="234"/>
      <c r="L49" s="235" t="s">
        <v>316</v>
      </c>
      <c r="M49" s="235" t="s">
        <v>316</v>
      </c>
      <c r="N49" s="236"/>
      <c r="O49" s="237" t="s">
        <v>316</v>
      </c>
      <c r="P49" s="237" t="s">
        <v>316</v>
      </c>
      <c r="Q49" s="238"/>
      <c r="R49" s="350">
        <v>0</v>
      </c>
      <c r="S49" s="351">
        <v>0</v>
      </c>
      <c r="T49" s="351">
        <v>0</v>
      </c>
      <c r="U49" s="351">
        <v>0</v>
      </c>
      <c r="V49" s="351">
        <v>0</v>
      </c>
      <c r="W49" s="351">
        <v>0</v>
      </c>
      <c r="X49" s="351">
        <v>0</v>
      </c>
      <c r="Y49" s="351">
        <v>0</v>
      </c>
      <c r="Z49" s="351">
        <v>0</v>
      </c>
      <c r="AA49" s="351">
        <v>0</v>
      </c>
      <c r="AB49" s="351">
        <v>0</v>
      </c>
      <c r="AC49" s="352">
        <v>0</v>
      </c>
      <c r="AD49" s="242"/>
      <c r="AE49" s="353">
        <f t="shared" si="3"/>
        <v>0</v>
      </c>
      <c r="AG49" s="236"/>
      <c r="AH49" s="244"/>
      <c r="AI49" s="245" t="s">
        <v>316</v>
      </c>
      <c r="AJ49" s="236"/>
      <c r="AK49" s="232"/>
      <c r="AL49" s="354"/>
      <c r="AM49" s="247"/>
      <c r="AN49" s="355" t="s">
        <v>45</v>
      </c>
      <c r="AO49" s="356"/>
      <c r="AP49" s="354"/>
      <c r="AQ49" s="357" t="str">
        <f t="shared" si="4"/>
        <v/>
      </c>
      <c r="AR49" s="357" t="str">
        <f>IFERROR(VLOOKUP($AQ49,[19]TruckCenterReference!$C$22:$I75,3,FALSE), "")</f>
        <v/>
      </c>
      <c r="AS49" s="358" t="str">
        <f t="shared" si="5"/>
        <v/>
      </c>
      <c r="AT49" s="359"/>
      <c r="AU49" s="360" t="str">
        <f>IFERROR(VLOOKUP($AQ49,[19]TruckCenterReference!$C$22:$I75,4,FALSE), "")</f>
        <v/>
      </c>
      <c r="AV49" s="358" t="str">
        <f t="shared" si="6"/>
        <v/>
      </c>
      <c r="AX49" s="357" t="str">
        <f t="shared" si="7"/>
        <v/>
      </c>
      <c r="AY49" s="361" t="str">
        <f>IFERROR(VLOOKUP($AQ49,[19]TruckCenterReference!$C$22:$I75,6,FALSE), "")</f>
        <v/>
      </c>
      <c r="AZ49" s="358" t="str">
        <f t="shared" si="8"/>
        <v/>
      </c>
      <c r="BA49" s="359"/>
      <c r="BB49" s="360">
        <f>IFERROR(VLOOKUP($AQ49,[19]TruckCenterReference!$C$22:$I75,7,FALSE), 0)</f>
        <v>0</v>
      </c>
      <c r="BC49" s="362" t="str">
        <f t="shared" si="9"/>
        <v/>
      </c>
      <c r="BD49" s="358" t="str">
        <f t="shared" si="10"/>
        <v/>
      </c>
    </row>
    <row r="50" spans="1:56">
      <c r="A50" s="344" t="b">
        <f t="shared" si="1"/>
        <v>0</v>
      </c>
      <c r="B50" s="344" t="str">
        <f t="shared" si="2"/>
        <v/>
      </c>
      <c r="C50" s="348" t="s">
        <v>316</v>
      </c>
      <c r="D50" s="349">
        <v>1</v>
      </c>
      <c r="E50" s="230"/>
      <c r="F50" s="231"/>
      <c r="G50" s="232"/>
      <c r="H50" s="233" t="s">
        <v>316</v>
      </c>
      <c r="I50" s="233" t="s">
        <v>316</v>
      </c>
      <c r="J50" s="233" t="s">
        <v>316</v>
      </c>
      <c r="K50" s="234"/>
      <c r="L50" s="235" t="s">
        <v>316</v>
      </c>
      <c r="M50" s="235" t="s">
        <v>316</v>
      </c>
      <c r="N50" s="236"/>
      <c r="O50" s="237" t="s">
        <v>316</v>
      </c>
      <c r="P50" s="237" t="s">
        <v>316</v>
      </c>
      <c r="Q50" s="238"/>
      <c r="R50" s="350">
        <v>0</v>
      </c>
      <c r="S50" s="351">
        <v>0</v>
      </c>
      <c r="T50" s="351">
        <v>0</v>
      </c>
      <c r="U50" s="351">
        <v>0</v>
      </c>
      <c r="V50" s="351">
        <v>0</v>
      </c>
      <c r="W50" s="351">
        <v>0</v>
      </c>
      <c r="X50" s="351">
        <v>0</v>
      </c>
      <c r="Y50" s="351">
        <v>0</v>
      </c>
      <c r="Z50" s="351">
        <v>0</v>
      </c>
      <c r="AA50" s="351">
        <v>0</v>
      </c>
      <c r="AB50" s="351">
        <v>0</v>
      </c>
      <c r="AC50" s="352">
        <v>0</v>
      </c>
      <c r="AD50" s="242"/>
      <c r="AE50" s="353">
        <f t="shared" si="3"/>
        <v>0</v>
      </c>
      <c r="AG50" s="236"/>
      <c r="AH50" s="244"/>
      <c r="AI50" s="245" t="s">
        <v>316</v>
      </c>
      <c r="AJ50" s="236"/>
      <c r="AK50" s="232"/>
      <c r="AL50" s="354"/>
      <c r="AM50" s="247"/>
      <c r="AN50" s="355" t="s">
        <v>45</v>
      </c>
      <c r="AO50" s="356"/>
      <c r="AP50" s="354"/>
      <c r="AQ50" s="357" t="str">
        <f t="shared" si="4"/>
        <v/>
      </c>
      <c r="AR50" s="357" t="str">
        <f>IFERROR(VLOOKUP($AQ50,[19]TruckCenterReference!$C$22:$I76,3,FALSE), "")</f>
        <v/>
      </c>
      <c r="AS50" s="358" t="str">
        <f t="shared" si="5"/>
        <v/>
      </c>
      <c r="AT50" s="359"/>
      <c r="AU50" s="360" t="str">
        <f>IFERROR(VLOOKUP($AQ50,[19]TruckCenterReference!$C$22:$I76,4,FALSE), "")</f>
        <v/>
      </c>
      <c r="AV50" s="358" t="str">
        <f t="shared" si="6"/>
        <v/>
      </c>
      <c r="AX50" s="357" t="str">
        <f t="shared" si="7"/>
        <v/>
      </c>
      <c r="AY50" s="361" t="str">
        <f>IFERROR(VLOOKUP($AQ50,[19]TruckCenterReference!$C$22:$I76,6,FALSE), "")</f>
        <v/>
      </c>
      <c r="AZ50" s="358" t="str">
        <f t="shared" si="8"/>
        <v/>
      </c>
      <c r="BA50" s="359"/>
      <c r="BB50" s="360">
        <f>IFERROR(VLOOKUP($AQ50,[19]TruckCenterReference!$C$22:$I76,7,FALSE), 0)</f>
        <v>0</v>
      </c>
      <c r="BC50" s="362" t="str">
        <f t="shared" si="9"/>
        <v/>
      </c>
      <c r="BD50" s="358" t="str">
        <f t="shared" si="10"/>
        <v/>
      </c>
    </row>
    <row r="51" spans="1:56">
      <c r="A51" s="344" t="b">
        <f t="shared" si="1"/>
        <v>0</v>
      </c>
      <c r="B51" s="344" t="str">
        <f t="shared" si="2"/>
        <v/>
      </c>
      <c r="C51" s="348" t="s">
        <v>316</v>
      </c>
      <c r="D51" s="349">
        <v>1</v>
      </c>
      <c r="E51" s="230"/>
      <c r="F51" s="231"/>
      <c r="G51" s="232"/>
      <c r="H51" s="233" t="s">
        <v>316</v>
      </c>
      <c r="I51" s="233" t="s">
        <v>316</v>
      </c>
      <c r="J51" s="233" t="s">
        <v>316</v>
      </c>
      <c r="K51" s="234"/>
      <c r="L51" s="235" t="s">
        <v>316</v>
      </c>
      <c r="M51" s="235" t="s">
        <v>316</v>
      </c>
      <c r="N51" s="236"/>
      <c r="O51" s="237" t="s">
        <v>316</v>
      </c>
      <c r="P51" s="237" t="s">
        <v>316</v>
      </c>
      <c r="Q51" s="238"/>
      <c r="R51" s="350">
        <v>0</v>
      </c>
      <c r="S51" s="351">
        <v>0</v>
      </c>
      <c r="T51" s="351">
        <v>0</v>
      </c>
      <c r="U51" s="351">
        <v>0</v>
      </c>
      <c r="V51" s="351">
        <v>0</v>
      </c>
      <c r="W51" s="351">
        <v>0</v>
      </c>
      <c r="X51" s="351">
        <v>0</v>
      </c>
      <c r="Y51" s="351">
        <v>0</v>
      </c>
      <c r="Z51" s="351">
        <v>0</v>
      </c>
      <c r="AA51" s="351">
        <v>0</v>
      </c>
      <c r="AB51" s="351">
        <v>0</v>
      </c>
      <c r="AC51" s="352">
        <v>0</v>
      </c>
      <c r="AD51" s="242"/>
      <c r="AE51" s="353">
        <f t="shared" si="3"/>
        <v>0</v>
      </c>
      <c r="AG51" s="236"/>
      <c r="AH51" s="244"/>
      <c r="AI51" s="245" t="s">
        <v>316</v>
      </c>
      <c r="AJ51" s="236"/>
      <c r="AK51" s="232"/>
      <c r="AL51" s="354"/>
      <c r="AM51" s="247"/>
      <c r="AN51" s="355" t="s">
        <v>45</v>
      </c>
      <c r="AO51" s="356"/>
      <c r="AP51" s="354"/>
      <c r="AQ51" s="357" t="str">
        <f t="shared" si="4"/>
        <v/>
      </c>
      <c r="AR51" s="357" t="str">
        <f>IFERROR(VLOOKUP($AQ51,[19]TruckCenterReference!$C$22:$I77,3,FALSE), "")</f>
        <v/>
      </c>
      <c r="AS51" s="358" t="str">
        <f t="shared" si="5"/>
        <v/>
      </c>
      <c r="AT51" s="359"/>
      <c r="AU51" s="360" t="str">
        <f>IFERROR(VLOOKUP($AQ51,[19]TruckCenterReference!$C$22:$I77,4,FALSE), "")</f>
        <v/>
      </c>
      <c r="AV51" s="358" t="str">
        <f t="shared" si="6"/>
        <v/>
      </c>
      <c r="AX51" s="357" t="str">
        <f t="shared" si="7"/>
        <v/>
      </c>
      <c r="AY51" s="361" t="str">
        <f>IFERROR(VLOOKUP($AQ51,[19]TruckCenterReference!$C$22:$I77,6,FALSE), "")</f>
        <v/>
      </c>
      <c r="AZ51" s="358" t="str">
        <f t="shared" si="8"/>
        <v/>
      </c>
      <c r="BA51" s="359"/>
      <c r="BB51" s="360">
        <f>IFERROR(VLOOKUP($AQ51,[19]TruckCenterReference!$C$22:$I77,7,FALSE), 0)</f>
        <v>0</v>
      </c>
      <c r="BC51" s="362" t="str">
        <f t="shared" si="9"/>
        <v/>
      </c>
      <c r="BD51" s="358" t="str">
        <f t="shared" si="10"/>
        <v/>
      </c>
    </row>
    <row r="52" spans="1:56">
      <c r="E52" s="311" t="s">
        <v>2326</v>
      </c>
      <c r="F52" s="312"/>
      <c r="G52" s="313"/>
      <c r="H52" s="266"/>
      <c r="I52" s="266"/>
      <c r="J52" s="266"/>
      <c r="K52" s="266"/>
      <c r="L52" s="266"/>
      <c r="M52" s="266"/>
      <c r="N52" s="242"/>
      <c r="O52" s="242"/>
      <c r="P52" s="242"/>
      <c r="Q52" s="242"/>
      <c r="R52" s="314"/>
      <c r="S52" s="314"/>
      <c r="T52" s="314"/>
      <c r="U52" s="314"/>
      <c r="V52" s="314"/>
      <c r="W52" s="314"/>
      <c r="X52" s="314"/>
      <c r="Y52" s="314"/>
      <c r="Z52" s="314"/>
      <c r="AA52" s="314"/>
      <c r="AB52" s="314"/>
      <c r="AC52" s="314"/>
      <c r="AD52" s="242"/>
      <c r="AE52" s="315"/>
      <c r="AG52" s="242"/>
      <c r="AH52" s="242"/>
      <c r="AI52" s="242"/>
      <c r="AJ52" s="242"/>
      <c r="AK52" s="242"/>
      <c r="AM52" s="242"/>
    </row>
    <row r="53" spans="1:56" ht="15.75" thickBot="1">
      <c r="P53" s="382"/>
      <c r="Q53" s="316" t="s">
        <v>2327</v>
      </c>
      <c r="R53" s="384">
        <f t="shared" ref="R53:AC53" si="11">SUM(R29:R52)</f>
        <v>0</v>
      </c>
      <c r="S53" s="384">
        <f t="shared" si="11"/>
        <v>0</v>
      </c>
      <c r="T53" s="384">
        <f t="shared" si="11"/>
        <v>0</v>
      </c>
      <c r="U53" s="384">
        <f t="shared" si="11"/>
        <v>0</v>
      </c>
      <c r="V53" s="384">
        <f t="shared" si="11"/>
        <v>961800</v>
      </c>
      <c r="W53" s="384">
        <f t="shared" si="11"/>
        <v>0</v>
      </c>
      <c r="X53" s="384">
        <f t="shared" si="11"/>
        <v>0</v>
      </c>
      <c r="Y53" s="384">
        <f t="shared" si="11"/>
        <v>144431</v>
      </c>
      <c r="Z53" s="384">
        <f t="shared" si="11"/>
        <v>0</v>
      </c>
      <c r="AA53" s="384">
        <f t="shared" si="11"/>
        <v>0</v>
      </c>
      <c r="AB53" s="384">
        <f t="shared" si="11"/>
        <v>0</v>
      </c>
      <c r="AC53" s="384">
        <f t="shared" si="11"/>
        <v>0</v>
      </c>
      <c r="AD53" s="308"/>
      <c r="AE53" s="384">
        <f>SUM(AE29:AE52)</f>
        <v>1106231</v>
      </c>
      <c r="AG53" s="242"/>
      <c r="AH53" s="242"/>
      <c r="AI53" s="242"/>
      <c r="AJ53" s="242"/>
      <c r="AK53" s="242"/>
      <c r="AM53" s="242"/>
    </row>
    <row r="54" spans="1:56" ht="15.75" thickTop="1">
      <c r="E54" s="266"/>
      <c r="F54" s="266"/>
      <c r="G54" s="266"/>
      <c r="H54" s="266"/>
      <c r="I54" s="266"/>
      <c r="J54" s="266"/>
      <c r="K54" s="266"/>
      <c r="L54" s="266"/>
      <c r="M54" s="266"/>
      <c r="N54" s="242"/>
      <c r="O54" s="242"/>
      <c r="P54" s="242"/>
      <c r="Q54" s="242"/>
      <c r="R54" s="314"/>
      <c r="S54" s="314"/>
      <c r="T54" s="314"/>
      <c r="U54" s="314"/>
      <c r="V54" s="314"/>
      <c r="W54" s="314"/>
      <c r="X54" s="314"/>
      <c r="Y54" s="314"/>
      <c r="Z54" s="314"/>
      <c r="AA54" s="314"/>
      <c r="AB54" s="314"/>
      <c r="AC54" s="314"/>
      <c r="AD54" s="242"/>
      <c r="AE54" s="318"/>
      <c r="AG54" s="242"/>
      <c r="AH54" s="242"/>
      <c r="AI54" s="242"/>
      <c r="AJ54" s="242"/>
      <c r="AK54" s="242"/>
      <c r="AM54" s="242"/>
    </row>
    <row r="55" spans="1:56">
      <c r="AD55" s="242"/>
    </row>
    <row r="56" spans="1:56">
      <c r="AE56" s="385"/>
    </row>
    <row r="58" spans="1:56">
      <c r="V58" s="386"/>
    </row>
    <row r="59" spans="1:56">
      <c r="V59" s="386"/>
    </row>
    <row r="60" spans="1:56">
      <c r="V60" s="386"/>
    </row>
    <row r="61" spans="1:56">
      <c r="L61" s="386"/>
      <c r="M61" s="386"/>
      <c r="V61" s="386"/>
    </row>
    <row r="63" spans="1:56">
      <c r="V63" s="386"/>
    </row>
    <row r="68" spans="12:13">
      <c r="L68" s="386"/>
      <c r="M68" s="386"/>
    </row>
  </sheetData>
  <conditionalFormatting sqref="AZ6">
    <cfRule type="cellIs" dxfId="9" priority="10" operator="equal">
      <formula>"Fix!"</formula>
    </cfRule>
  </conditionalFormatting>
  <conditionalFormatting sqref="BD6">
    <cfRule type="cellIs" dxfId="8" priority="8" operator="equal">
      <formula>"Review"</formula>
    </cfRule>
    <cfRule type="cellIs" dxfId="7" priority="9" operator="equal">
      <formula>"Fix!"</formula>
    </cfRule>
  </conditionalFormatting>
  <conditionalFormatting sqref="AS6">
    <cfRule type="cellIs" dxfId="6" priority="7" operator="equal">
      <formula>"Review"</formula>
    </cfRule>
  </conditionalFormatting>
  <conditionalFormatting sqref="AZ30:AZ51">
    <cfRule type="cellIs" dxfId="5" priority="5" operator="equal">
      <formula>"Fix!"</formula>
    </cfRule>
  </conditionalFormatting>
  <conditionalFormatting sqref="AV6">
    <cfRule type="cellIs" dxfId="4" priority="6" operator="equal">
      <formula>"Fix!"</formula>
    </cfRule>
  </conditionalFormatting>
  <conditionalFormatting sqref="BD30:BD51">
    <cfRule type="cellIs" dxfId="3" priority="3" operator="equal">
      <formula>"Review"</formula>
    </cfRule>
    <cfRule type="cellIs" dxfId="2" priority="4" operator="equal">
      <formula>"Fix!"</formula>
    </cfRule>
  </conditionalFormatting>
  <conditionalFormatting sqref="AV30:AV51">
    <cfRule type="cellIs" dxfId="1" priority="1" operator="equal">
      <formula>"Fix!"</formula>
    </cfRule>
  </conditionalFormatting>
  <conditionalFormatting sqref="AS30:AS51">
    <cfRule type="cellIs" dxfId="0" priority="2" operator="equal">
      <formula>"Review"</formula>
    </cfRule>
  </conditionalFormatting>
  <dataValidations count="5">
    <dataValidation type="list" allowBlank="1" showInputMessage="1" showErrorMessage="1" sqref="I15">
      <formula1>H19</formula1>
    </dataValidation>
    <dataValidation type="list" allowBlank="1" showInputMessage="1" showErrorMessage="1" sqref="P6 P30:P51">
      <formula1>"N,U"</formula1>
    </dataValidation>
    <dataValidation type="list" allowBlank="1" showInputMessage="1" showErrorMessage="1" sqref="O6 O30:O51">
      <formula1>"A,R"</formula1>
    </dataValidation>
    <dataValidation type="list" allowBlank="1" showInputMessage="1" showErrorMessage="1" sqref="E6 E30:E51">
      <formula1>"Delete!"</formula1>
    </dataValidation>
    <dataValidation type="list" allowBlank="1" showInputMessage="1" showErrorMessage="1" sqref="Q30:Q51">
      <formula1>","</formula1>
    </dataValidation>
  </dataValidations>
  <pageMargins left="0.25" right="0.25" top="0.75" bottom="0.75" header="0.3" footer="0.3"/>
  <pageSetup scale="32"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INDIRECT(VLOOKUP($L6&amp;":"&amp;$M6,'C:\Users\lindsaywa\AppData\Local\Interject\FileCache\[Budget Capital Input v2.20.xlsx]Reference'!#REF!,4,FALSE))</xm:f>
          </x14:formula1>
          <xm:sqref>N6 N30:N51</xm:sqref>
        </x14:dataValidation>
        <x14:dataValidation type="list" allowBlank="1" showInputMessage="1" showErrorMessage="1">
          <x14:formula1>
            <xm:f>INDIRECT(VLOOKUP($L6,'C:\Users\lindsaywa\AppData\Local\Interject\FileCache\[Budget Capital Input v2.20.xlsx]Reference'!#REF!,4,FALSE))</xm:f>
          </x14:formula1>
          <xm:sqref>M6 M30:M51</xm:sqref>
        </x14:dataValidation>
        <x14:dataValidation type="list" allowBlank="1" showInputMessage="1" showErrorMessage="1">
          <x14:formula1>
            <xm:f>'C:\Users\lindsaywa\AppData\Local\Interject\FileCache\[Budget Capital Input v2.20.xlsx]AssetTypeList'!#REF!</xm:f>
          </x14:formula1>
          <xm:sqref>L6 L30:L51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dimension ref="A1:Y337"/>
  <sheetViews>
    <sheetView showGridLines="0" view="pageBreakPreview" zoomScale="85" zoomScaleNormal="85" zoomScaleSheetLayoutView="85" workbookViewId="0">
      <pane xSplit="4" ySplit="11" topLeftCell="E138" activePane="bottomRight" state="frozen"/>
      <selection pane="topRight" activeCell="E1" sqref="E1"/>
      <selection pane="bottomLeft" activeCell="A12" sqref="A12"/>
      <selection pane="bottomRight" activeCell="K157" sqref="K157"/>
    </sheetView>
  </sheetViews>
  <sheetFormatPr defaultColWidth="12.5703125" defaultRowHeight="12.75" outlineLevelRow="1"/>
  <cols>
    <col min="1" max="1" width="8.42578125" style="59" customWidth="1"/>
    <col min="2" max="2" width="14.42578125" style="28" customWidth="1"/>
    <col min="3" max="3" width="7.42578125" style="59" bestFit="1" customWidth="1"/>
    <col min="4" max="4" width="43.140625" style="59" customWidth="1"/>
    <col min="5" max="5" width="13.5703125" style="59" customWidth="1"/>
    <col min="6" max="6" width="4.28515625" style="59" bestFit="1" customWidth="1"/>
    <col min="7" max="7" width="8.140625" style="30" bestFit="1" customWidth="1"/>
    <col min="8" max="8" width="9.42578125" style="59" bestFit="1" customWidth="1"/>
    <col min="9" max="9" width="10.28515625" style="59" bestFit="1" customWidth="1"/>
    <col min="10" max="10" width="6" style="59" bestFit="1" customWidth="1"/>
    <col min="11" max="11" width="10.5703125" style="72" customWidth="1"/>
    <col min="12" max="13" width="12.85546875" style="27" bestFit="1" customWidth="1"/>
    <col min="14" max="14" width="11.85546875" style="27" customWidth="1"/>
    <col min="15" max="16" width="10.28515625" style="27" bestFit="1" customWidth="1"/>
    <col min="17" max="18" width="14.140625" style="27" bestFit="1" customWidth="1"/>
    <col min="19" max="19" width="14" style="27" bestFit="1" customWidth="1"/>
    <col min="20" max="16384" width="12.5703125" style="59"/>
  </cols>
  <sheetData>
    <row r="1" spans="1:19">
      <c r="D1" s="51" t="s">
        <v>342</v>
      </c>
    </row>
    <row r="2" spans="1:19">
      <c r="D2" s="51" t="s">
        <v>26</v>
      </c>
      <c r="H2" s="72"/>
      <c r="I2" s="72"/>
      <c r="M2" s="35">
        <v>3</v>
      </c>
      <c r="N2" s="73" t="s">
        <v>742</v>
      </c>
    </row>
    <row r="3" spans="1:19">
      <c r="D3" s="74">
        <f>'Summary 2183'!H8</f>
        <v>44500</v>
      </c>
      <c r="H3" s="72"/>
      <c r="I3" s="72"/>
      <c r="M3" s="72">
        <v>2021</v>
      </c>
      <c r="N3" s="73" t="s">
        <v>743</v>
      </c>
    </row>
    <row r="4" spans="1:19">
      <c r="H4" s="72"/>
      <c r="I4" s="72"/>
      <c r="M4" s="72">
        <v>2022</v>
      </c>
      <c r="N4" s="73" t="s">
        <v>249</v>
      </c>
    </row>
    <row r="5" spans="1:19" ht="12" customHeight="1">
      <c r="H5" s="72"/>
      <c r="I5" s="72"/>
      <c r="M5" s="26">
        <f>+M4+(M2/12)</f>
        <v>2022.25</v>
      </c>
      <c r="N5" s="73" t="s">
        <v>744</v>
      </c>
    </row>
    <row r="6" spans="1:19" ht="12" customHeight="1">
      <c r="H6" s="72"/>
      <c r="I6" s="72"/>
    </row>
    <row r="7" spans="1:19" s="29" customFormat="1">
      <c r="B7" s="75"/>
      <c r="G7" s="76"/>
      <c r="J7" s="77"/>
      <c r="K7" s="77"/>
      <c r="L7" s="78"/>
      <c r="M7" s="78"/>
      <c r="N7" s="78"/>
      <c r="O7" s="78"/>
      <c r="P7" s="78"/>
      <c r="Q7" s="78"/>
      <c r="R7" s="78"/>
      <c r="S7" s="78"/>
    </row>
    <row r="8" spans="1:19" s="29" customFormat="1">
      <c r="B8" s="75"/>
      <c r="G8" s="76"/>
      <c r="K8" s="79"/>
      <c r="L8" s="78">
        <f>SUM(L200,L119:L122,L65:L72)</f>
        <v>3717187.4100000006</v>
      </c>
      <c r="M8" s="78">
        <f>L8+'OTHER EQUIP 2183'!M120</f>
        <v>3743836.5200000005</v>
      </c>
      <c r="N8" s="78"/>
      <c r="O8" s="78"/>
      <c r="P8" s="78"/>
      <c r="Q8" s="78" t="s">
        <v>188</v>
      </c>
      <c r="R8" s="78" t="s">
        <v>44</v>
      </c>
      <c r="S8" s="78"/>
    </row>
    <row r="9" spans="1:19" s="29" customFormat="1">
      <c r="B9" s="75"/>
      <c r="C9" s="29" t="s">
        <v>45</v>
      </c>
      <c r="E9" s="29" t="s">
        <v>46</v>
      </c>
      <c r="G9" s="76" t="s">
        <v>47</v>
      </c>
      <c r="H9" s="29" t="s">
        <v>45</v>
      </c>
      <c r="J9" s="29" t="s">
        <v>48</v>
      </c>
      <c r="K9" s="79"/>
      <c r="L9" s="78" t="s">
        <v>45</v>
      </c>
      <c r="M9" s="78" t="s">
        <v>45</v>
      </c>
      <c r="N9" s="78"/>
      <c r="O9" s="78"/>
      <c r="P9" s="78" t="s">
        <v>42</v>
      </c>
      <c r="Q9" s="78" t="s">
        <v>251</v>
      </c>
      <c r="R9" s="78" t="s">
        <v>251</v>
      </c>
      <c r="S9" s="78" t="s">
        <v>55</v>
      </c>
    </row>
    <row r="10" spans="1:19" s="29" customFormat="1">
      <c r="B10" s="75"/>
      <c r="C10" s="29" t="s">
        <v>143</v>
      </c>
      <c r="E10" s="29" t="s">
        <v>57</v>
      </c>
      <c r="G10" s="76" t="s">
        <v>58</v>
      </c>
      <c r="H10" s="29" t="s">
        <v>100</v>
      </c>
      <c r="I10" s="29" t="s">
        <v>59</v>
      </c>
      <c r="J10" s="29" t="s">
        <v>60</v>
      </c>
      <c r="K10" s="79" t="s">
        <v>740</v>
      </c>
      <c r="L10" s="78" t="s">
        <v>49</v>
      </c>
      <c r="M10" s="78" t="s">
        <v>62</v>
      </c>
      <c r="N10" s="78" t="s">
        <v>63</v>
      </c>
      <c r="O10" s="78" t="s">
        <v>647</v>
      </c>
      <c r="P10" s="78" t="s">
        <v>65</v>
      </c>
      <c r="Q10" s="78" t="s">
        <v>252</v>
      </c>
      <c r="R10" s="78" t="s">
        <v>252</v>
      </c>
      <c r="S10" s="78" t="s">
        <v>6</v>
      </c>
    </row>
    <row r="11" spans="1:19" s="29" customFormat="1">
      <c r="A11" s="29" t="s">
        <v>71</v>
      </c>
      <c r="B11" s="75" t="s">
        <v>384</v>
      </c>
      <c r="C11" s="29" t="s">
        <v>72</v>
      </c>
      <c r="D11" s="29" t="s">
        <v>254</v>
      </c>
      <c r="E11" s="29" t="s">
        <v>48</v>
      </c>
      <c r="F11" s="29" t="s">
        <v>74</v>
      </c>
      <c r="G11" s="76" t="s">
        <v>51</v>
      </c>
      <c r="H11" s="29" t="s">
        <v>75</v>
      </c>
      <c r="I11" s="29" t="s">
        <v>76</v>
      </c>
      <c r="J11" s="29" t="s">
        <v>62</v>
      </c>
      <c r="K11" s="79" t="s">
        <v>741</v>
      </c>
      <c r="L11" s="78" t="s">
        <v>173</v>
      </c>
      <c r="M11" s="78" t="s">
        <v>173</v>
      </c>
      <c r="N11" s="78" t="s">
        <v>62</v>
      </c>
      <c r="O11" s="78" t="s">
        <v>62</v>
      </c>
      <c r="P11" s="78" t="s">
        <v>77</v>
      </c>
      <c r="Q11" s="80">
        <f>'Summary 2183'!F8</f>
        <v>44136</v>
      </c>
      <c r="R11" s="80">
        <f>+D3</f>
        <v>44500</v>
      </c>
      <c r="S11" s="80">
        <f>+D3</f>
        <v>44500</v>
      </c>
    </row>
    <row r="12" spans="1:19">
      <c r="D12" s="51" t="s">
        <v>250</v>
      </c>
    </row>
    <row r="13" spans="1:19">
      <c r="A13" s="59" t="s">
        <v>288</v>
      </c>
      <c r="C13" s="59">
        <v>4511</v>
      </c>
      <c r="D13" s="59" t="s">
        <v>182</v>
      </c>
      <c r="E13" s="59">
        <v>1996</v>
      </c>
      <c r="F13" s="59">
        <v>11</v>
      </c>
      <c r="G13" s="30">
        <v>0</v>
      </c>
      <c r="H13" s="59" t="s">
        <v>78</v>
      </c>
      <c r="I13" s="59">
        <v>7</v>
      </c>
      <c r="J13" s="59">
        <f t="shared" ref="J13:J14" si="0">E13+I13</f>
        <v>2003</v>
      </c>
      <c r="K13" s="26">
        <f t="shared" ref="K13:K22" si="1">+J13+(F13/12)</f>
        <v>2003.9166666666667</v>
      </c>
      <c r="L13" s="35">
        <f>'Orig Trucks 2183'!P18</f>
        <v>8996</v>
      </c>
      <c r="M13" s="35">
        <f>L13-L13*G13</f>
        <v>8996</v>
      </c>
      <c r="N13" s="35">
        <f t="shared" ref="N13:N14" si="2">M13/I13/12</f>
        <v>107.09523809523809</v>
      </c>
      <c r="O13" s="35">
        <f t="shared" ref="O13:O14" si="3">+N13*12</f>
        <v>1285.1428571428571</v>
      </c>
      <c r="P13" s="35">
        <f t="shared" ref="P13:P21" si="4">+IF(K13&lt;=$M$5,0,IF(J13=$M$4,N13*F13,O13))</f>
        <v>0</v>
      </c>
      <c r="Q13" s="35">
        <f t="shared" ref="Q13:Q14" si="5">+IF(P13=0,M13,IF($M$3-E13&lt;1,0,(($M$3-E13)*O13)))</f>
        <v>8996</v>
      </c>
      <c r="R13" s="35">
        <f t="shared" ref="R13:R14" si="6">+IF(P13=0,Q13,Q13+P13)</f>
        <v>8996</v>
      </c>
      <c r="S13" s="35">
        <f t="shared" ref="S13:S14" si="7">+L13-R13</f>
        <v>0</v>
      </c>
    </row>
    <row r="14" spans="1:19">
      <c r="A14" s="130"/>
      <c r="B14" s="130"/>
      <c r="C14" s="131">
        <v>4511</v>
      </c>
      <c r="D14" s="130" t="s">
        <v>650</v>
      </c>
      <c r="E14" s="130">
        <v>2019</v>
      </c>
      <c r="F14" s="130">
        <v>8</v>
      </c>
      <c r="G14" s="132">
        <v>0</v>
      </c>
      <c r="H14" s="130" t="s">
        <v>78</v>
      </c>
      <c r="I14" s="130">
        <f>+IF(J13-$M$4&gt;=3,J13-$M$4,3)</f>
        <v>3</v>
      </c>
      <c r="J14" s="130">
        <f t="shared" si="0"/>
        <v>2022</v>
      </c>
      <c r="K14" s="133">
        <f t="shared" si="1"/>
        <v>2022.6666666666667</v>
      </c>
      <c r="L14" s="134">
        <f>'Orig Trucks 2183'!N18-'Trucks 2183'!L13</f>
        <v>2249</v>
      </c>
      <c r="M14" s="134">
        <f>L14-(L14*G14)</f>
        <v>2249</v>
      </c>
      <c r="N14" s="134">
        <f t="shared" si="2"/>
        <v>62.472222222222221</v>
      </c>
      <c r="O14" s="134">
        <f t="shared" si="3"/>
        <v>749.66666666666663</v>
      </c>
      <c r="P14" s="469">
        <f>+IF(K14&lt;=$M$5,0,IF(J14=$M$4,N14*F14,O14))/3</f>
        <v>166.59259259259258</v>
      </c>
      <c r="Q14" s="134">
        <f t="shared" si="5"/>
        <v>1499.3333333333333</v>
      </c>
      <c r="R14" s="134">
        <f t="shared" si="6"/>
        <v>1665.9259259259259</v>
      </c>
      <c r="S14" s="134">
        <f t="shared" si="7"/>
        <v>583.07407407407413</v>
      </c>
    </row>
    <row r="15" spans="1:19">
      <c r="A15" s="59">
        <v>114269</v>
      </c>
      <c r="B15" s="28" t="s">
        <v>283</v>
      </c>
      <c r="C15" s="59">
        <v>4518</v>
      </c>
      <c r="D15" s="59" t="s">
        <v>540</v>
      </c>
      <c r="E15" s="59">
        <v>2003</v>
      </c>
      <c r="F15" s="59">
        <v>12</v>
      </c>
      <c r="G15" s="30">
        <v>0</v>
      </c>
      <c r="H15" s="59" t="s">
        <v>78</v>
      </c>
      <c r="I15" s="59">
        <v>7</v>
      </c>
      <c r="J15" s="59">
        <f>E15+I15</f>
        <v>2010</v>
      </c>
      <c r="K15" s="26">
        <f>+J15+(F15/12)</f>
        <v>2011</v>
      </c>
      <c r="L15" s="35">
        <v>0</v>
      </c>
      <c r="M15" s="35">
        <f>L15-L15*G15</f>
        <v>0</v>
      </c>
      <c r="N15" s="35">
        <f>M15/I15/12</f>
        <v>0</v>
      </c>
      <c r="O15" s="35">
        <f>+N15*12</f>
        <v>0</v>
      </c>
      <c r="P15" s="35">
        <f>+IF(K15&lt;=$M$5,0,IF(J15&gt;$M$4,O15,N15*F15))</f>
        <v>0</v>
      </c>
      <c r="Q15" s="35">
        <f>+IF(P15=0,M15,IF($M$3-E15&lt;1,0,(($M$3-E15)*O15)))</f>
        <v>0</v>
      </c>
      <c r="R15" s="35">
        <f>+IF(P15=0,Q15,Q15+P15)</f>
        <v>0</v>
      </c>
      <c r="S15" s="35">
        <f>+L15-R15</f>
        <v>0</v>
      </c>
    </row>
    <row r="16" spans="1:19">
      <c r="A16" s="130"/>
      <c r="B16" s="130"/>
      <c r="C16" s="131">
        <v>4518</v>
      </c>
      <c r="D16" s="130" t="s">
        <v>701</v>
      </c>
      <c r="E16" s="130">
        <v>2019</v>
      </c>
      <c r="F16" s="130">
        <v>8</v>
      </c>
      <c r="G16" s="132">
        <v>0</v>
      </c>
      <c r="H16" s="130" t="s">
        <v>78</v>
      </c>
      <c r="I16" s="130">
        <f>+IF(J15-$M$4&gt;=3,J15-$M$4,3)</f>
        <v>3</v>
      </c>
      <c r="J16" s="130">
        <f>E16+I16</f>
        <v>2022</v>
      </c>
      <c r="K16" s="133">
        <f>+J16+(F16/12)</f>
        <v>2022.6666666666667</v>
      </c>
      <c r="L16" s="134">
        <v>0</v>
      </c>
      <c r="M16" s="134">
        <f>L16-(L16*G16)</f>
        <v>0</v>
      </c>
      <c r="N16" s="134">
        <f>M16/I16/12</f>
        <v>0</v>
      </c>
      <c r="O16" s="134">
        <f>+N16*12</f>
        <v>0</v>
      </c>
      <c r="P16" s="469">
        <f>+IF(K16&lt;=$M$5,0,IF(J16=$M$4,N16*F16,O16))/3</f>
        <v>0</v>
      </c>
      <c r="Q16" s="134">
        <f>+IF(P16=0,M16,IF($M$3-E16&lt;1,0,(($M$3-E16)*O16)))</f>
        <v>0</v>
      </c>
      <c r="R16" s="134">
        <f>+IF(P16=0,Q16,Q16+P16)</f>
        <v>0</v>
      </c>
      <c r="S16" s="134">
        <f>+L16-R16</f>
        <v>0</v>
      </c>
    </row>
    <row r="17" spans="1:22">
      <c r="A17" s="59" t="s">
        <v>285</v>
      </c>
      <c r="B17" s="28">
        <v>61108</v>
      </c>
      <c r="C17" s="59">
        <v>1054</v>
      </c>
      <c r="D17" s="59" t="s">
        <v>150</v>
      </c>
      <c r="E17" s="59">
        <v>2007</v>
      </c>
      <c r="F17" s="59">
        <v>4</v>
      </c>
      <c r="G17" s="30">
        <v>0</v>
      </c>
      <c r="H17" s="59" t="s">
        <v>78</v>
      </c>
      <c r="I17" s="59">
        <v>7</v>
      </c>
      <c r="J17" s="59">
        <f t="shared" ref="J17:J22" si="8">E17+I17</f>
        <v>2014</v>
      </c>
      <c r="K17" s="26">
        <f t="shared" si="1"/>
        <v>2014.3333333333333</v>
      </c>
      <c r="L17" s="35">
        <f>'Orig Trucks 2183'!P39</f>
        <v>101567.75200000001</v>
      </c>
      <c r="M17" s="35">
        <f>L17-L17*G17</f>
        <v>101567.75200000001</v>
      </c>
      <c r="N17" s="35">
        <f t="shared" ref="N17:N22" si="9">M17/I17/12</f>
        <v>1209.139904761905</v>
      </c>
      <c r="O17" s="35">
        <f t="shared" ref="O17:O22" si="10">+N17*12</f>
        <v>14509.678857142859</v>
      </c>
      <c r="P17" s="35">
        <f t="shared" si="4"/>
        <v>0</v>
      </c>
      <c r="Q17" s="35">
        <f t="shared" ref="Q17:Q22" si="11">+IF(P17=0,M17,IF($M$3-E17&lt;1,0,(($M$3-E17)*O17)))</f>
        <v>101567.75200000001</v>
      </c>
      <c r="R17" s="35">
        <f t="shared" ref="R17:R22" si="12">+IF(P17=0,Q17,Q17+P17)</f>
        <v>101567.75200000001</v>
      </c>
      <c r="S17" s="35">
        <f t="shared" ref="S17:S22" si="13">+L17-R17</f>
        <v>0</v>
      </c>
    </row>
    <row r="18" spans="1:22">
      <c r="A18" s="130"/>
      <c r="B18" s="130"/>
      <c r="C18" s="131">
        <v>1054</v>
      </c>
      <c r="D18" s="130" t="s">
        <v>661</v>
      </c>
      <c r="E18" s="130">
        <v>2019</v>
      </c>
      <c r="F18" s="130">
        <v>8</v>
      </c>
      <c r="G18" s="132">
        <v>0</v>
      </c>
      <c r="H18" s="130" t="s">
        <v>78</v>
      </c>
      <c r="I18" s="130">
        <f>+IF(J17-$M$4&gt;=3,J17-$M$4,3)</f>
        <v>3</v>
      </c>
      <c r="J18" s="130">
        <f t="shared" si="8"/>
        <v>2022</v>
      </c>
      <c r="K18" s="133">
        <f t="shared" si="1"/>
        <v>2022.6666666666667</v>
      </c>
      <c r="L18" s="134">
        <f>'Orig Trucks 2183'!N39-'Trucks 2183'!L17</f>
        <v>25391.937999999995</v>
      </c>
      <c r="M18" s="134">
        <f>L18-(L18*G18)</f>
        <v>25391.937999999995</v>
      </c>
      <c r="N18" s="134">
        <f t="shared" si="9"/>
        <v>705.33161111111087</v>
      </c>
      <c r="O18" s="134">
        <f t="shared" si="10"/>
        <v>8463.9793333333309</v>
      </c>
      <c r="P18" s="469">
        <f>+IF(K18&lt;=$M$5,0,IF(J18=$M$4,N18*F18,O18))/3</f>
        <v>1880.8842962962956</v>
      </c>
      <c r="Q18" s="134">
        <f t="shared" si="11"/>
        <v>16927.958666666662</v>
      </c>
      <c r="R18" s="134">
        <f t="shared" si="12"/>
        <v>18808.842962962957</v>
      </c>
      <c r="S18" s="134">
        <f t="shared" si="13"/>
        <v>6583.0950370370374</v>
      </c>
    </row>
    <row r="19" spans="1:22">
      <c r="A19" s="59" t="s">
        <v>285</v>
      </c>
      <c r="B19" s="28">
        <v>61110</v>
      </c>
      <c r="C19" s="59">
        <v>1062</v>
      </c>
      <c r="D19" s="59" t="s">
        <v>150</v>
      </c>
      <c r="E19" s="59">
        <v>2007</v>
      </c>
      <c r="F19" s="59">
        <v>5</v>
      </c>
      <c r="G19" s="30">
        <v>0</v>
      </c>
      <c r="H19" s="59" t="s">
        <v>78</v>
      </c>
      <c r="I19" s="59">
        <v>7</v>
      </c>
      <c r="J19" s="59">
        <f t="shared" si="8"/>
        <v>2014</v>
      </c>
      <c r="K19" s="26">
        <f t="shared" si="1"/>
        <v>2014.4166666666667</v>
      </c>
      <c r="L19" s="35">
        <f>'Orig Trucks 2183'!P41</f>
        <v>101874.976</v>
      </c>
      <c r="M19" s="35">
        <f>L19-L19*G19</f>
        <v>101874.976</v>
      </c>
      <c r="N19" s="35">
        <f t="shared" si="9"/>
        <v>1212.7973333333332</v>
      </c>
      <c r="O19" s="35">
        <f t="shared" si="10"/>
        <v>14553.567999999999</v>
      </c>
      <c r="P19" s="35">
        <f t="shared" si="4"/>
        <v>0</v>
      </c>
      <c r="Q19" s="35">
        <f t="shared" si="11"/>
        <v>101874.976</v>
      </c>
      <c r="R19" s="35">
        <f t="shared" si="12"/>
        <v>101874.976</v>
      </c>
      <c r="S19" s="35">
        <f t="shared" si="13"/>
        <v>0</v>
      </c>
    </row>
    <row r="20" spans="1:22">
      <c r="A20" s="130"/>
      <c r="B20" s="130"/>
      <c r="C20" s="131">
        <v>1062</v>
      </c>
      <c r="D20" s="130" t="s">
        <v>663</v>
      </c>
      <c r="E20" s="130">
        <v>2019</v>
      </c>
      <c r="F20" s="130">
        <v>8</v>
      </c>
      <c r="G20" s="132">
        <v>0</v>
      </c>
      <c r="H20" s="130" t="s">
        <v>78</v>
      </c>
      <c r="I20" s="130">
        <f>+IF(J19-$M$4&gt;=3,J19-$M$4,3)</f>
        <v>3</v>
      </c>
      <c r="J20" s="130">
        <f t="shared" si="8"/>
        <v>2022</v>
      </c>
      <c r="K20" s="133">
        <f t="shared" si="1"/>
        <v>2022.6666666666667</v>
      </c>
      <c r="L20" s="134">
        <f>'Orig Trucks 2183'!N41-'Trucks 2183'!L19</f>
        <v>25468.744000000006</v>
      </c>
      <c r="M20" s="134">
        <f>L20-(L20*G20)</f>
        <v>25468.744000000006</v>
      </c>
      <c r="N20" s="134">
        <f t="shared" si="9"/>
        <v>707.46511111111124</v>
      </c>
      <c r="O20" s="134">
        <f t="shared" si="10"/>
        <v>8489.5813333333354</v>
      </c>
      <c r="P20" s="469">
        <f>+IF(K20&lt;=$M$5,0,IF(J20=$M$4,N20*F20,O20))/3</f>
        <v>1886.57362962963</v>
      </c>
      <c r="Q20" s="134">
        <f t="shared" si="11"/>
        <v>16979.162666666671</v>
      </c>
      <c r="R20" s="134">
        <f t="shared" si="12"/>
        <v>18865.736296296302</v>
      </c>
      <c r="S20" s="134">
        <f t="shared" si="13"/>
        <v>6603.0077037037045</v>
      </c>
      <c r="V20" s="98"/>
    </row>
    <row r="21" spans="1:22">
      <c r="A21" s="59" t="s">
        <v>285</v>
      </c>
      <c r="B21" s="28">
        <v>61111</v>
      </c>
      <c r="C21" s="59">
        <v>1067</v>
      </c>
      <c r="D21" s="59" t="s">
        <v>150</v>
      </c>
      <c r="E21" s="59">
        <v>2007</v>
      </c>
      <c r="F21" s="59">
        <v>5</v>
      </c>
      <c r="G21" s="30">
        <v>0</v>
      </c>
      <c r="H21" s="59" t="s">
        <v>78</v>
      </c>
      <c r="I21" s="59">
        <v>7</v>
      </c>
      <c r="J21" s="59">
        <f t="shared" si="8"/>
        <v>2014</v>
      </c>
      <c r="K21" s="26">
        <f t="shared" si="1"/>
        <v>2014.4166666666667</v>
      </c>
      <c r="L21" s="35">
        <f>'Orig Trucks 2183'!P42</f>
        <v>101874.976</v>
      </c>
      <c r="M21" s="35">
        <f>L21-L21*G21</f>
        <v>101874.976</v>
      </c>
      <c r="N21" s="35">
        <f t="shared" si="9"/>
        <v>1212.7973333333332</v>
      </c>
      <c r="O21" s="35">
        <f t="shared" si="10"/>
        <v>14553.567999999999</v>
      </c>
      <c r="P21" s="35">
        <f t="shared" si="4"/>
        <v>0</v>
      </c>
      <c r="Q21" s="35">
        <f t="shared" si="11"/>
        <v>101874.976</v>
      </c>
      <c r="R21" s="35">
        <f t="shared" si="12"/>
        <v>101874.976</v>
      </c>
      <c r="S21" s="35">
        <f t="shared" si="13"/>
        <v>0</v>
      </c>
    </row>
    <row r="22" spans="1:22">
      <c r="A22" s="130"/>
      <c r="B22" s="130"/>
      <c r="C22" s="131">
        <v>1067</v>
      </c>
      <c r="D22" s="130" t="s">
        <v>662</v>
      </c>
      <c r="E22" s="130">
        <v>2019</v>
      </c>
      <c r="F22" s="130">
        <v>8</v>
      </c>
      <c r="G22" s="132">
        <v>0</v>
      </c>
      <c r="H22" s="130" t="s">
        <v>78</v>
      </c>
      <c r="I22" s="130">
        <f>+IF(J21-$M$4&gt;=3,J21-$M$4,3)</f>
        <v>3</v>
      </c>
      <c r="J22" s="130">
        <f t="shared" si="8"/>
        <v>2022</v>
      </c>
      <c r="K22" s="133">
        <f t="shared" si="1"/>
        <v>2022.6666666666667</v>
      </c>
      <c r="L22" s="134">
        <f>'Orig Trucks 2183'!N42-'Trucks 2183'!L21</f>
        <v>25468.744000000006</v>
      </c>
      <c r="M22" s="134">
        <f>L22-(L22*G22)</f>
        <v>25468.744000000006</v>
      </c>
      <c r="N22" s="134">
        <f t="shared" si="9"/>
        <v>707.46511111111124</v>
      </c>
      <c r="O22" s="134">
        <f t="shared" si="10"/>
        <v>8489.5813333333354</v>
      </c>
      <c r="P22" s="469">
        <f>+IF(K22&lt;=$M$5,0,IF(J22=$M$4,N22*F22,O22))/3</f>
        <v>1886.57362962963</v>
      </c>
      <c r="Q22" s="134">
        <f t="shared" si="11"/>
        <v>16979.162666666671</v>
      </c>
      <c r="R22" s="134">
        <f t="shared" si="12"/>
        <v>18865.736296296302</v>
      </c>
      <c r="S22" s="134">
        <f t="shared" si="13"/>
        <v>6603.0077037037045</v>
      </c>
    </row>
    <row r="23" spans="1:22">
      <c r="A23" s="59" t="s">
        <v>311</v>
      </c>
      <c r="C23" s="59">
        <v>67258</v>
      </c>
      <c r="D23" s="59" t="s">
        <v>324</v>
      </c>
      <c r="E23" s="59">
        <v>2009</v>
      </c>
      <c r="F23" s="59">
        <v>6</v>
      </c>
      <c r="G23" s="30">
        <v>0</v>
      </c>
      <c r="H23" s="59" t="s">
        <v>78</v>
      </c>
      <c r="I23" s="59">
        <v>5</v>
      </c>
      <c r="J23" s="59">
        <f t="shared" ref="J23:J37" si="14">E23+I23</f>
        <v>2014</v>
      </c>
      <c r="K23" s="26">
        <f t="shared" ref="K23:K46" si="15">+J23+(F23/12)</f>
        <v>2014.5</v>
      </c>
      <c r="L23" s="35">
        <f>'Orig Trucks 2183'!P48</f>
        <v>28151.168899999997</v>
      </c>
      <c r="M23" s="35">
        <f>L23-L23*G23</f>
        <v>28151.168899999997</v>
      </c>
      <c r="N23" s="35">
        <f t="shared" ref="N23:N37" si="16">M23/I23/12</f>
        <v>469.18614833333328</v>
      </c>
      <c r="O23" s="35">
        <f t="shared" ref="O23:O37" si="17">+N23*12</f>
        <v>5630.2337799999996</v>
      </c>
      <c r="P23" s="35">
        <f t="shared" ref="P23:P46" si="18">+IF(K23&lt;=$M$5,0,IF(J23=$M$4,N23*F23,O23))</f>
        <v>0</v>
      </c>
      <c r="Q23" s="35">
        <f t="shared" ref="Q23:Q37" si="19">+IF(P23=0,M23,IF($M$3-E23&lt;1,0,(($M$3-E23)*O23)))</f>
        <v>28151.168899999997</v>
      </c>
      <c r="R23" s="35">
        <f t="shared" ref="R23:R37" si="20">+IF(P23=0,Q23,Q23+P23)</f>
        <v>28151.168899999997</v>
      </c>
      <c r="S23" s="35">
        <f t="shared" ref="S23:S37" si="21">+L23-R23</f>
        <v>0</v>
      </c>
    </row>
    <row r="24" spans="1:22">
      <c r="A24" s="130"/>
      <c r="B24" s="131"/>
      <c r="C24" s="131">
        <v>67258</v>
      </c>
      <c r="D24" s="130" t="s">
        <v>668</v>
      </c>
      <c r="E24" s="130">
        <v>2019</v>
      </c>
      <c r="F24" s="130">
        <v>8</v>
      </c>
      <c r="G24" s="132">
        <v>0</v>
      </c>
      <c r="H24" s="130" t="s">
        <v>78</v>
      </c>
      <c r="I24" s="130">
        <f>+IF(J23-$M$4&gt;=3,J23-$M$4,3)</f>
        <v>3</v>
      </c>
      <c r="J24" s="130">
        <f t="shared" si="14"/>
        <v>2022</v>
      </c>
      <c r="K24" s="133">
        <f t="shared" si="15"/>
        <v>2022.6666666666667</v>
      </c>
      <c r="L24" s="134">
        <f>'Orig Trucks 2183'!N48-'Trucks 2183'!L23</f>
        <v>13865.501100000001</v>
      </c>
      <c r="M24" s="134">
        <f>L24-(L24*G24)</f>
        <v>13865.501100000001</v>
      </c>
      <c r="N24" s="134">
        <f t="shared" si="16"/>
        <v>385.15280833333333</v>
      </c>
      <c r="O24" s="134">
        <f t="shared" si="17"/>
        <v>4621.8337000000001</v>
      </c>
      <c r="P24" s="469">
        <f>+IF(K24&lt;=$M$5,0,IF(J24=$M$4,N24*F24,O24))/3</f>
        <v>1027.0741555555555</v>
      </c>
      <c r="Q24" s="134">
        <f t="shared" si="19"/>
        <v>9243.6674000000003</v>
      </c>
      <c r="R24" s="134">
        <f t="shared" si="20"/>
        <v>10270.741555555556</v>
      </c>
      <c r="S24" s="134">
        <f t="shared" si="21"/>
        <v>3594.7595444444451</v>
      </c>
    </row>
    <row r="25" spans="1:22">
      <c r="A25" s="59" t="s">
        <v>288</v>
      </c>
      <c r="C25" s="59">
        <v>4511</v>
      </c>
      <c r="D25" s="59" t="s">
        <v>328</v>
      </c>
      <c r="E25" s="59">
        <v>2009</v>
      </c>
      <c r="F25" s="59">
        <v>6</v>
      </c>
      <c r="G25" s="30">
        <v>0</v>
      </c>
      <c r="H25" s="59" t="s">
        <v>78</v>
      </c>
      <c r="I25" s="59">
        <v>3</v>
      </c>
      <c r="J25" s="59">
        <f t="shared" si="14"/>
        <v>2012</v>
      </c>
      <c r="K25" s="26">
        <f t="shared" si="15"/>
        <v>2012.5</v>
      </c>
      <c r="L25" s="35">
        <v>3096.41</v>
      </c>
      <c r="M25" s="35">
        <f>L25-L25*G25</f>
        <v>3096.41</v>
      </c>
      <c r="N25" s="35">
        <f t="shared" si="16"/>
        <v>86.011388888888874</v>
      </c>
      <c r="O25" s="35">
        <f t="shared" si="17"/>
        <v>1032.1366666666665</v>
      </c>
      <c r="P25" s="35">
        <f t="shared" si="18"/>
        <v>0</v>
      </c>
      <c r="Q25" s="35">
        <f t="shared" si="19"/>
        <v>3096.41</v>
      </c>
      <c r="R25" s="35">
        <f t="shared" si="20"/>
        <v>3096.41</v>
      </c>
      <c r="S25" s="35">
        <f t="shared" si="21"/>
        <v>0</v>
      </c>
    </row>
    <row r="26" spans="1:22">
      <c r="A26" s="59" t="s">
        <v>311</v>
      </c>
      <c r="C26" s="59">
        <v>68611</v>
      </c>
      <c r="D26" s="59" t="s">
        <v>325</v>
      </c>
      <c r="E26" s="59">
        <v>2009</v>
      </c>
      <c r="F26" s="59">
        <v>7</v>
      </c>
      <c r="G26" s="30">
        <v>0</v>
      </c>
      <c r="H26" s="59" t="s">
        <v>78</v>
      </c>
      <c r="I26" s="59">
        <v>5</v>
      </c>
      <c r="J26" s="59">
        <f t="shared" si="14"/>
        <v>2014</v>
      </c>
      <c r="K26" s="26">
        <f t="shared" si="15"/>
        <v>2014.5833333333333</v>
      </c>
      <c r="L26" s="35">
        <f>+'Orig Trucks 2183'!P51</f>
        <v>-726.95</v>
      </c>
      <c r="M26" s="35">
        <f>L26-L26*G26</f>
        <v>-726.95</v>
      </c>
      <c r="N26" s="35">
        <f t="shared" si="16"/>
        <v>-12.115833333333335</v>
      </c>
      <c r="O26" s="35">
        <f t="shared" si="17"/>
        <v>-145.39000000000001</v>
      </c>
      <c r="P26" s="35">
        <f t="shared" si="18"/>
        <v>0</v>
      </c>
      <c r="Q26" s="35">
        <f t="shared" si="19"/>
        <v>-726.95</v>
      </c>
      <c r="R26" s="35">
        <f t="shared" si="20"/>
        <v>-726.95</v>
      </c>
      <c r="S26" s="35">
        <f t="shared" si="21"/>
        <v>0</v>
      </c>
    </row>
    <row r="27" spans="1:22">
      <c r="A27" s="130"/>
      <c r="B27" s="130"/>
      <c r="C27" s="131">
        <v>68611</v>
      </c>
      <c r="D27" s="130" t="s">
        <v>669</v>
      </c>
      <c r="E27" s="130">
        <v>2019</v>
      </c>
      <c r="F27" s="130">
        <v>8</v>
      </c>
      <c r="G27" s="132">
        <v>0</v>
      </c>
      <c r="H27" s="130" t="s">
        <v>78</v>
      </c>
      <c r="I27" s="130">
        <f>+IF(J26-$M$4&gt;=3,J26-$M$4,3)</f>
        <v>3</v>
      </c>
      <c r="J27" s="130">
        <f t="shared" si="14"/>
        <v>2022</v>
      </c>
      <c r="K27" s="133">
        <f t="shared" si="15"/>
        <v>2022.6666666666667</v>
      </c>
      <c r="L27" s="134">
        <f>+'Orig Trucks 2183'!N51-L26</f>
        <v>-358.04999999999995</v>
      </c>
      <c r="M27" s="134">
        <f>L27-(L27*G27)</f>
        <v>-358.04999999999995</v>
      </c>
      <c r="N27" s="134">
        <f t="shared" si="16"/>
        <v>-9.9458333333333311</v>
      </c>
      <c r="O27" s="134">
        <f t="shared" si="17"/>
        <v>-119.34999999999997</v>
      </c>
      <c r="P27" s="469">
        <f>+IF(K27&lt;=$M$5,0,IF(J27=$M$4,N27*F27,O27))/3</f>
        <v>-26.522222222222215</v>
      </c>
      <c r="Q27" s="134">
        <f t="shared" si="19"/>
        <v>-238.69999999999993</v>
      </c>
      <c r="R27" s="134">
        <f t="shared" si="20"/>
        <v>-265.22222222222217</v>
      </c>
      <c r="S27" s="134">
        <f t="shared" si="21"/>
        <v>-92.827777777777783</v>
      </c>
    </row>
    <row r="28" spans="1:22">
      <c r="A28" s="59" t="s">
        <v>312</v>
      </c>
      <c r="B28" s="28">
        <v>75159</v>
      </c>
      <c r="D28" s="59" t="s">
        <v>388</v>
      </c>
      <c r="E28" s="59">
        <v>2010</v>
      </c>
      <c r="F28" s="59">
        <v>3</v>
      </c>
      <c r="G28" s="30">
        <v>0</v>
      </c>
      <c r="H28" s="59" t="s">
        <v>78</v>
      </c>
      <c r="I28" s="59">
        <v>5</v>
      </c>
      <c r="J28" s="59">
        <f t="shared" si="14"/>
        <v>2015</v>
      </c>
      <c r="K28" s="26">
        <f t="shared" si="15"/>
        <v>2015.25</v>
      </c>
      <c r="L28" s="35">
        <f>'Orig Trucks 2183'!P52</f>
        <v>7491.645199999999</v>
      </c>
      <c r="M28" s="35">
        <f>L28-L28*G28</f>
        <v>7491.645199999999</v>
      </c>
      <c r="N28" s="35">
        <f t="shared" si="16"/>
        <v>124.86075333333332</v>
      </c>
      <c r="O28" s="35">
        <f t="shared" si="17"/>
        <v>1498.3290399999998</v>
      </c>
      <c r="P28" s="35">
        <f t="shared" si="18"/>
        <v>0</v>
      </c>
      <c r="Q28" s="35">
        <f t="shared" si="19"/>
        <v>7491.645199999999</v>
      </c>
      <c r="R28" s="35">
        <f t="shared" si="20"/>
        <v>7491.645199999999</v>
      </c>
      <c r="S28" s="35">
        <f t="shared" si="21"/>
        <v>0</v>
      </c>
    </row>
    <row r="29" spans="1:22">
      <c r="D29" s="59" t="s">
        <v>710</v>
      </c>
      <c r="E29" s="71">
        <v>2019</v>
      </c>
      <c r="F29" s="71">
        <v>8</v>
      </c>
      <c r="G29" s="30">
        <v>0</v>
      </c>
      <c r="H29" s="59" t="s">
        <v>78</v>
      </c>
      <c r="I29" s="59">
        <f>+IF(J28-$M$4&gt;=3,J28-$M$4,3)</f>
        <v>3</v>
      </c>
      <c r="J29" s="59">
        <f t="shared" si="14"/>
        <v>2022</v>
      </c>
      <c r="K29" s="26">
        <f t="shared" si="15"/>
        <v>2022.6666666666667</v>
      </c>
      <c r="L29" s="35">
        <f>'Orig Trucks 2183'!N52-'Trucks 2183'!L28</f>
        <v>3689.9148000000005</v>
      </c>
      <c r="M29" s="35">
        <f>L29-(L29*G29)</f>
        <v>3689.9148000000005</v>
      </c>
      <c r="N29" s="35">
        <f t="shared" si="16"/>
        <v>102.49763333333334</v>
      </c>
      <c r="O29" s="35">
        <f t="shared" si="17"/>
        <v>1229.9716000000001</v>
      </c>
      <c r="P29" s="35">
        <f t="shared" si="18"/>
        <v>819.98106666666672</v>
      </c>
      <c r="Q29" s="35">
        <f t="shared" si="19"/>
        <v>2459.9432000000002</v>
      </c>
      <c r="R29" s="35">
        <f t="shared" si="20"/>
        <v>3279.9242666666669</v>
      </c>
      <c r="S29" s="35">
        <f t="shared" si="21"/>
        <v>409.99053333333359</v>
      </c>
    </row>
    <row r="30" spans="1:22">
      <c r="A30" s="59" t="s">
        <v>286</v>
      </c>
      <c r="B30" s="28">
        <v>77760</v>
      </c>
      <c r="C30" s="59">
        <v>2035</v>
      </c>
      <c r="D30" s="59" t="s">
        <v>385</v>
      </c>
      <c r="E30" s="59">
        <v>2010</v>
      </c>
      <c r="F30" s="59">
        <v>10</v>
      </c>
      <c r="G30" s="30">
        <v>0</v>
      </c>
      <c r="H30" s="59" t="s">
        <v>78</v>
      </c>
      <c r="I30" s="59">
        <v>7</v>
      </c>
      <c r="J30" s="59">
        <f t="shared" si="14"/>
        <v>2017</v>
      </c>
      <c r="K30" s="26">
        <f t="shared" si="15"/>
        <v>2017.8333333333333</v>
      </c>
      <c r="L30" s="35">
        <f>'Orig Trucks 2183'!P53</f>
        <v>185665.2</v>
      </c>
      <c r="M30" s="35">
        <f>L30-L30*G30</f>
        <v>185665.2</v>
      </c>
      <c r="N30" s="35">
        <f t="shared" si="16"/>
        <v>2210.3000000000002</v>
      </c>
      <c r="O30" s="35">
        <f t="shared" si="17"/>
        <v>26523.600000000002</v>
      </c>
      <c r="P30" s="35">
        <f t="shared" si="18"/>
        <v>0</v>
      </c>
      <c r="Q30" s="35">
        <f t="shared" si="19"/>
        <v>185665.2</v>
      </c>
      <c r="R30" s="35">
        <f t="shared" si="20"/>
        <v>185665.2</v>
      </c>
      <c r="S30" s="35">
        <f t="shared" si="21"/>
        <v>0</v>
      </c>
    </row>
    <row r="31" spans="1:22">
      <c r="A31" s="130"/>
      <c r="B31" s="130"/>
      <c r="C31" s="131">
        <v>2035</v>
      </c>
      <c r="D31" s="130" t="s">
        <v>670</v>
      </c>
      <c r="E31" s="130">
        <v>2019</v>
      </c>
      <c r="F31" s="130">
        <v>8</v>
      </c>
      <c r="G31" s="132">
        <v>0</v>
      </c>
      <c r="H31" s="130" t="s">
        <v>78</v>
      </c>
      <c r="I31" s="130">
        <f>+IF(J30-$M$4&gt;=3,J30-$M$4,3)</f>
        <v>3</v>
      </c>
      <c r="J31" s="130">
        <f t="shared" si="14"/>
        <v>2022</v>
      </c>
      <c r="K31" s="133">
        <f t="shared" si="15"/>
        <v>2022.6666666666667</v>
      </c>
      <c r="L31" s="134">
        <f>'Orig Trucks 2183'!N53-'Trucks 2183'!L30</f>
        <v>46416.299999999988</v>
      </c>
      <c r="M31" s="134">
        <f>L31-(L31*G31)</f>
        <v>46416.299999999988</v>
      </c>
      <c r="N31" s="134">
        <f t="shared" si="16"/>
        <v>1289.3416666666665</v>
      </c>
      <c r="O31" s="134">
        <f t="shared" si="17"/>
        <v>15472.099999999999</v>
      </c>
      <c r="P31" s="469">
        <f>+IF(K31&lt;=$M$5,0,IF(J31=$M$4,N31*F31,O31))/3</f>
        <v>3438.2444444444441</v>
      </c>
      <c r="Q31" s="134">
        <f t="shared" si="19"/>
        <v>30944.199999999997</v>
      </c>
      <c r="R31" s="134">
        <f t="shared" si="20"/>
        <v>34382.444444444438</v>
      </c>
      <c r="S31" s="134">
        <f t="shared" si="21"/>
        <v>12033.85555555555</v>
      </c>
    </row>
    <row r="32" spans="1:22">
      <c r="B32" s="28">
        <v>88721</v>
      </c>
      <c r="D32" s="59" t="s">
        <v>436</v>
      </c>
      <c r="E32" s="59">
        <v>2011</v>
      </c>
      <c r="F32" s="59">
        <v>12</v>
      </c>
      <c r="G32" s="30">
        <v>0</v>
      </c>
      <c r="H32" s="59" t="s">
        <v>78</v>
      </c>
      <c r="I32" s="59">
        <v>5</v>
      </c>
      <c r="J32" s="59">
        <f t="shared" si="14"/>
        <v>2016</v>
      </c>
      <c r="K32" s="26">
        <f t="shared" si="15"/>
        <v>2017</v>
      </c>
      <c r="L32" s="35">
        <f>487.65*32</f>
        <v>15604.8</v>
      </c>
      <c r="M32" s="35">
        <f>L32-L32*G32</f>
        <v>15604.8</v>
      </c>
      <c r="N32" s="35">
        <f t="shared" si="16"/>
        <v>260.08</v>
      </c>
      <c r="O32" s="35">
        <f t="shared" si="17"/>
        <v>3120.96</v>
      </c>
      <c r="P32" s="35">
        <f t="shared" si="18"/>
        <v>0</v>
      </c>
      <c r="Q32" s="35">
        <f t="shared" si="19"/>
        <v>15604.8</v>
      </c>
      <c r="R32" s="35">
        <f t="shared" si="20"/>
        <v>15604.8</v>
      </c>
      <c r="S32" s="35">
        <f t="shared" si="21"/>
        <v>0</v>
      </c>
    </row>
    <row r="33" spans="1:22">
      <c r="B33" s="28">
        <v>89484</v>
      </c>
      <c r="C33" s="59">
        <v>2036</v>
      </c>
      <c r="D33" s="59" t="s">
        <v>447</v>
      </c>
      <c r="E33" s="59">
        <v>2011</v>
      </c>
      <c r="F33" s="59">
        <v>12</v>
      </c>
      <c r="G33" s="30">
        <v>0</v>
      </c>
      <c r="H33" s="59" t="s">
        <v>78</v>
      </c>
      <c r="I33" s="59">
        <v>7</v>
      </c>
      <c r="J33" s="59">
        <f t="shared" si="14"/>
        <v>2018</v>
      </c>
      <c r="K33" s="26">
        <f t="shared" si="15"/>
        <v>2019</v>
      </c>
      <c r="L33" s="35">
        <f>'Orig Trucks 2183'!P56</f>
        <v>196384.44</v>
      </c>
      <c r="M33" s="35">
        <f>L33-L33*G33</f>
        <v>196384.44</v>
      </c>
      <c r="N33" s="35">
        <f t="shared" si="16"/>
        <v>2337.9100000000003</v>
      </c>
      <c r="O33" s="35">
        <f t="shared" si="17"/>
        <v>28054.920000000006</v>
      </c>
      <c r="P33" s="35">
        <f t="shared" si="18"/>
        <v>0</v>
      </c>
      <c r="Q33" s="35">
        <f t="shared" si="19"/>
        <v>196384.44</v>
      </c>
      <c r="R33" s="35">
        <f t="shared" si="20"/>
        <v>196384.44</v>
      </c>
      <c r="S33" s="35">
        <f t="shared" si="21"/>
        <v>0</v>
      </c>
      <c r="V33" s="98"/>
    </row>
    <row r="34" spans="1:22">
      <c r="A34" s="130"/>
      <c r="B34" s="130"/>
      <c r="C34" s="131">
        <v>2036</v>
      </c>
      <c r="D34" s="130" t="s">
        <v>672</v>
      </c>
      <c r="E34" s="130">
        <v>2019</v>
      </c>
      <c r="F34" s="130">
        <v>8</v>
      </c>
      <c r="G34" s="132">
        <v>0</v>
      </c>
      <c r="H34" s="130" t="s">
        <v>78</v>
      </c>
      <c r="I34" s="130">
        <f>+IF(J33-$M$4&gt;=3,J33-$M$4,3)</f>
        <v>3</v>
      </c>
      <c r="J34" s="130">
        <f t="shared" si="14"/>
        <v>2022</v>
      </c>
      <c r="K34" s="133">
        <f t="shared" si="15"/>
        <v>2022.6666666666667</v>
      </c>
      <c r="L34" s="134">
        <f>'Orig Trucks 2183'!N56-'Trucks 2183'!L33</f>
        <v>49096.109999999986</v>
      </c>
      <c r="M34" s="134">
        <f>L34-(L34*G34)</f>
        <v>49096.109999999986</v>
      </c>
      <c r="N34" s="134">
        <f t="shared" si="16"/>
        <v>1363.780833333333</v>
      </c>
      <c r="O34" s="134">
        <f t="shared" si="17"/>
        <v>16365.369999999995</v>
      </c>
      <c r="P34" s="469">
        <f>+IF(K34&lt;=$M$5,0,IF(J34=$M$4,N34*F34,O34))/3</f>
        <v>3636.7488888888879</v>
      </c>
      <c r="Q34" s="134">
        <f t="shared" si="19"/>
        <v>32730.739999999991</v>
      </c>
      <c r="R34" s="134">
        <f t="shared" si="20"/>
        <v>36367.488888888882</v>
      </c>
      <c r="S34" s="134">
        <f t="shared" si="21"/>
        <v>12728.621111111104</v>
      </c>
      <c r="V34" s="98"/>
    </row>
    <row r="35" spans="1:22">
      <c r="A35" s="59" t="s">
        <v>288</v>
      </c>
      <c r="B35" s="28" t="s">
        <v>443</v>
      </c>
      <c r="C35" s="59">
        <v>4511</v>
      </c>
      <c r="D35" s="59" t="s">
        <v>444</v>
      </c>
      <c r="E35" s="59">
        <v>2012</v>
      </c>
      <c r="F35" s="59">
        <v>2</v>
      </c>
      <c r="G35" s="30">
        <v>0</v>
      </c>
      <c r="H35" s="59" t="s">
        <v>78</v>
      </c>
      <c r="I35" s="59">
        <v>3</v>
      </c>
      <c r="J35" s="59">
        <f t="shared" si="14"/>
        <v>2015</v>
      </c>
      <c r="K35" s="26">
        <f t="shared" si="15"/>
        <v>2015.1666666666667</v>
      </c>
      <c r="L35" s="35">
        <f>12472.57-4700.16+4164.8</f>
        <v>11937.21</v>
      </c>
      <c r="M35" s="35">
        <f t="shared" ref="M35:M46" si="22">L35-L35*G35</f>
        <v>11937.21</v>
      </c>
      <c r="N35" s="35">
        <f t="shared" si="16"/>
        <v>331.58916666666664</v>
      </c>
      <c r="O35" s="35">
        <f t="shared" si="17"/>
        <v>3979.0699999999997</v>
      </c>
      <c r="P35" s="35">
        <f t="shared" si="18"/>
        <v>0</v>
      </c>
      <c r="Q35" s="35">
        <f t="shared" si="19"/>
        <v>11937.21</v>
      </c>
      <c r="R35" s="35">
        <f t="shared" si="20"/>
        <v>11937.21</v>
      </c>
      <c r="S35" s="35">
        <f t="shared" si="21"/>
        <v>0</v>
      </c>
      <c r="V35" s="92"/>
    </row>
    <row r="36" spans="1:22">
      <c r="A36" s="59" t="s">
        <v>462</v>
      </c>
      <c r="B36" s="28">
        <v>117321</v>
      </c>
      <c r="C36" s="59">
        <v>3639</v>
      </c>
      <c r="D36" s="59" t="s">
        <v>526</v>
      </c>
      <c r="E36" s="59">
        <v>2014</v>
      </c>
      <c r="F36" s="59">
        <v>11</v>
      </c>
      <c r="G36" s="30">
        <v>0</v>
      </c>
      <c r="H36" s="59" t="s">
        <v>78</v>
      </c>
      <c r="I36" s="59">
        <v>10</v>
      </c>
      <c r="J36" s="59">
        <f t="shared" si="14"/>
        <v>2024</v>
      </c>
      <c r="K36" s="26">
        <f t="shared" si="15"/>
        <v>2024.9166666666667</v>
      </c>
      <c r="L36" s="35">
        <v>330416.48</v>
      </c>
      <c r="M36" s="35">
        <f t="shared" si="22"/>
        <v>330416.48</v>
      </c>
      <c r="N36" s="35">
        <f t="shared" si="16"/>
        <v>2753.4706666666666</v>
      </c>
      <c r="O36" s="35">
        <f t="shared" si="17"/>
        <v>33041.648000000001</v>
      </c>
      <c r="P36" s="35">
        <f t="shared" si="18"/>
        <v>33041.648000000001</v>
      </c>
      <c r="Q36" s="35">
        <f t="shared" si="19"/>
        <v>231291.53600000002</v>
      </c>
      <c r="R36" s="35">
        <f t="shared" si="20"/>
        <v>264333.18400000001</v>
      </c>
      <c r="S36" s="35">
        <f t="shared" si="21"/>
        <v>66083.295999999973</v>
      </c>
      <c r="V36" s="98"/>
    </row>
    <row r="37" spans="1:22">
      <c r="A37" s="59" t="s">
        <v>462</v>
      </c>
      <c r="B37" s="28">
        <v>117322</v>
      </c>
      <c r="C37" s="59">
        <v>3640</v>
      </c>
      <c r="D37" s="59" t="s">
        <v>526</v>
      </c>
      <c r="E37" s="59">
        <v>2014</v>
      </c>
      <c r="F37" s="59">
        <v>11</v>
      </c>
      <c r="G37" s="30">
        <v>0</v>
      </c>
      <c r="H37" s="59" t="s">
        <v>78</v>
      </c>
      <c r="I37" s="59">
        <v>10</v>
      </c>
      <c r="J37" s="59">
        <f t="shared" si="14"/>
        <v>2024</v>
      </c>
      <c r="K37" s="26">
        <f t="shared" si="15"/>
        <v>2024.9166666666667</v>
      </c>
      <c r="L37" s="35">
        <v>330302.59000000003</v>
      </c>
      <c r="M37" s="35">
        <f t="shared" si="22"/>
        <v>330302.59000000003</v>
      </c>
      <c r="N37" s="35">
        <f t="shared" si="16"/>
        <v>2752.5215833333336</v>
      </c>
      <c r="O37" s="35">
        <f t="shared" si="17"/>
        <v>33030.259000000005</v>
      </c>
      <c r="P37" s="35">
        <f t="shared" si="18"/>
        <v>33030.259000000005</v>
      </c>
      <c r="Q37" s="35">
        <f t="shared" si="19"/>
        <v>231211.81300000002</v>
      </c>
      <c r="R37" s="35">
        <f t="shared" si="20"/>
        <v>264242.07200000004</v>
      </c>
      <c r="S37" s="35">
        <f t="shared" si="21"/>
        <v>66060.517999999982</v>
      </c>
    </row>
    <row r="38" spans="1:22">
      <c r="B38" s="28">
        <v>128673</v>
      </c>
      <c r="C38" s="59">
        <v>1073</v>
      </c>
      <c r="D38" s="59" t="s">
        <v>583</v>
      </c>
      <c r="E38" s="59">
        <v>2015</v>
      </c>
      <c r="F38" s="59">
        <v>12</v>
      </c>
      <c r="G38" s="30">
        <v>0</v>
      </c>
      <c r="H38" s="59" t="s">
        <v>78</v>
      </c>
      <c r="I38" s="59">
        <v>10</v>
      </c>
      <c r="J38" s="59">
        <f>E38+I38</f>
        <v>2025</v>
      </c>
      <c r="K38" s="26">
        <f>+J38+(F38/12)</f>
        <v>2026</v>
      </c>
      <c r="L38" s="35">
        <v>291925.26</v>
      </c>
      <c r="M38" s="35">
        <f>L38-L38*G38</f>
        <v>291925.26</v>
      </c>
      <c r="N38" s="35">
        <f>M38/I38/12</f>
        <v>2432.7105000000001</v>
      </c>
      <c r="O38" s="35">
        <f>+N38*12</f>
        <v>29192.526000000002</v>
      </c>
      <c r="P38" s="35">
        <f>+IF(K38&lt;=$M$5,0,IF(J38=$M$4,N38*F38,O38))</f>
        <v>29192.526000000002</v>
      </c>
      <c r="Q38" s="35">
        <f>+IF(P38=0,M38,IF($M$3-E38&lt;1,0,(($M$3-E38)*O38)))</f>
        <v>175155.15600000002</v>
      </c>
      <c r="R38" s="35">
        <f>+IF(P38=0,Q38,Q38+P38)</f>
        <v>204347.68200000003</v>
      </c>
      <c r="S38" s="35">
        <f>+L38-R38</f>
        <v>87577.57799999998</v>
      </c>
    </row>
    <row r="39" spans="1:22">
      <c r="B39" s="28" t="s">
        <v>593</v>
      </c>
      <c r="D39" s="59" t="s">
        <v>588</v>
      </c>
      <c r="E39" s="59">
        <v>2016</v>
      </c>
      <c r="F39" s="59">
        <v>4</v>
      </c>
      <c r="G39" s="30">
        <v>0</v>
      </c>
      <c r="H39" s="59" t="s">
        <v>78</v>
      </c>
      <c r="I39" s="59">
        <v>3</v>
      </c>
      <c r="J39" s="59">
        <f t="shared" ref="J39:J46" si="23">E39+I39</f>
        <v>2019</v>
      </c>
      <c r="K39" s="26">
        <f t="shared" si="15"/>
        <v>2019.3333333333333</v>
      </c>
      <c r="L39" s="35">
        <f>((14612.94+16641.82+675)/75)*46</f>
        <v>19583.586133333334</v>
      </c>
      <c r="M39" s="35">
        <f t="shared" si="22"/>
        <v>19583.586133333334</v>
      </c>
      <c r="N39" s="35">
        <f t="shared" ref="N39:N46" si="24">M39/I39/12</f>
        <v>543.98850370370371</v>
      </c>
      <c r="O39" s="35">
        <f>+N39*12</f>
        <v>6527.8620444444441</v>
      </c>
      <c r="P39" s="35">
        <f t="shared" si="18"/>
        <v>0</v>
      </c>
      <c r="Q39" s="35">
        <f t="shared" ref="Q39:Q46" si="25">+IF(P39=0,M39,IF($M$3-E39&lt;1,0,(($M$3-E39)*O39)))</f>
        <v>19583.586133333334</v>
      </c>
      <c r="R39" s="35">
        <f t="shared" ref="R39:R46" si="26">+IF(P39=0,Q39,Q39+P39)</f>
        <v>19583.586133333334</v>
      </c>
      <c r="S39" s="35">
        <f t="shared" ref="S39:S46" si="27">+L39-R39</f>
        <v>0</v>
      </c>
    </row>
    <row r="40" spans="1:22">
      <c r="B40" s="28">
        <v>171241</v>
      </c>
      <c r="C40" s="59">
        <v>2046</v>
      </c>
      <c r="D40" s="59" t="s">
        <v>602</v>
      </c>
      <c r="E40" s="59">
        <v>2016</v>
      </c>
      <c r="F40" s="59">
        <v>11</v>
      </c>
      <c r="G40" s="30">
        <v>0</v>
      </c>
      <c r="H40" s="59" t="s">
        <v>78</v>
      </c>
      <c r="I40" s="59">
        <v>10</v>
      </c>
      <c r="J40" s="59">
        <f t="shared" si="23"/>
        <v>2026</v>
      </c>
      <c r="K40" s="26">
        <f t="shared" si="15"/>
        <v>2026.9166666666667</v>
      </c>
      <c r="L40" s="35">
        <v>318387.46000000002</v>
      </c>
      <c r="M40" s="35">
        <f t="shared" si="22"/>
        <v>318387.46000000002</v>
      </c>
      <c r="N40" s="35">
        <f t="shared" si="24"/>
        <v>2653.2288333333336</v>
      </c>
      <c r="O40" s="35">
        <f>+N40*12</f>
        <v>31838.746000000003</v>
      </c>
      <c r="P40" s="35">
        <f t="shared" si="18"/>
        <v>31838.746000000003</v>
      </c>
      <c r="Q40" s="35">
        <f t="shared" si="25"/>
        <v>159193.73000000001</v>
      </c>
      <c r="R40" s="35">
        <f t="shared" si="26"/>
        <v>191032.47600000002</v>
      </c>
      <c r="S40" s="35">
        <f t="shared" si="27"/>
        <v>127354.984</v>
      </c>
    </row>
    <row r="41" spans="1:22">
      <c r="B41" s="28">
        <v>18550</v>
      </c>
      <c r="D41" s="59" t="s">
        <v>632</v>
      </c>
      <c r="E41" s="59">
        <v>2017</v>
      </c>
      <c r="F41" s="59">
        <v>8</v>
      </c>
      <c r="G41" s="30">
        <v>0</v>
      </c>
      <c r="H41" s="56" t="s">
        <v>78</v>
      </c>
      <c r="I41" s="59">
        <v>3</v>
      </c>
      <c r="J41" s="59">
        <f t="shared" si="23"/>
        <v>2020</v>
      </c>
      <c r="K41" s="26">
        <f t="shared" si="15"/>
        <v>2020.6666666666667</v>
      </c>
      <c r="L41" s="35">
        <v>1244.8</v>
      </c>
      <c r="M41" s="35">
        <f t="shared" si="22"/>
        <v>1244.8</v>
      </c>
      <c r="N41" s="35">
        <f t="shared" ref="N41" si="28">M41/I41/12</f>
        <v>34.577777777777776</v>
      </c>
      <c r="O41" s="35">
        <f>+N41*12</f>
        <v>414.93333333333328</v>
      </c>
      <c r="P41" s="35">
        <f t="shared" ref="P41" si="29">+IF(K41&lt;=$M$5,0,IF(J41=$M$4,N41*F41,O41))</f>
        <v>0</v>
      </c>
      <c r="Q41" s="35">
        <f t="shared" ref="Q41" si="30">+IF(P41=0,M41,IF($M$3-E41&lt;1,0,(($M$3-E41)*O41)))</f>
        <v>1244.8</v>
      </c>
      <c r="R41" s="35">
        <f t="shared" ref="R41" si="31">+IF(P41=0,Q41,Q41+P41)</f>
        <v>1244.8</v>
      </c>
      <c r="S41" s="35">
        <f t="shared" ref="S41" si="32">+L41-R41</f>
        <v>0</v>
      </c>
    </row>
    <row r="42" spans="1:22">
      <c r="B42" s="28">
        <v>187607</v>
      </c>
      <c r="C42" s="59">
        <v>3664</v>
      </c>
      <c r="D42" s="59" t="s">
        <v>719</v>
      </c>
      <c r="E42" s="59">
        <v>2017</v>
      </c>
      <c r="F42" s="59">
        <v>10</v>
      </c>
      <c r="G42" s="30">
        <v>0</v>
      </c>
      <c r="H42" s="59" t="s">
        <v>78</v>
      </c>
      <c r="I42" s="59">
        <v>10</v>
      </c>
      <c r="J42" s="59">
        <f t="shared" si="23"/>
        <v>2027</v>
      </c>
      <c r="K42" s="26">
        <f t="shared" si="15"/>
        <v>2027.8333333333333</v>
      </c>
      <c r="L42" s="35">
        <v>336704.5</v>
      </c>
      <c r="M42" s="35">
        <f t="shared" si="22"/>
        <v>336704.5</v>
      </c>
      <c r="N42" s="35">
        <f t="shared" si="24"/>
        <v>2805.8708333333329</v>
      </c>
      <c r="O42" s="35">
        <f t="shared" ref="O42:O46" si="33">+N42*12</f>
        <v>33670.449999999997</v>
      </c>
      <c r="P42" s="35">
        <f t="shared" si="18"/>
        <v>33670.449999999997</v>
      </c>
      <c r="Q42" s="35">
        <f t="shared" si="25"/>
        <v>134681.79999999999</v>
      </c>
      <c r="R42" s="35">
        <f t="shared" si="26"/>
        <v>168352.25</v>
      </c>
      <c r="S42" s="35">
        <f t="shared" si="27"/>
        <v>168352.25</v>
      </c>
    </row>
    <row r="43" spans="1:22">
      <c r="B43" s="28">
        <v>187606</v>
      </c>
      <c r="C43" s="59">
        <v>3663</v>
      </c>
      <c r="D43" s="59" t="s">
        <v>719</v>
      </c>
      <c r="E43" s="59">
        <v>2017</v>
      </c>
      <c r="F43" s="59">
        <v>10</v>
      </c>
      <c r="G43" s="30">
        <v>0</v>
      </c>
      <c r="H43" s="59" t="s">
        <v>78</v>
      </c>
      <c r="I43" s="59">
        <v>10</v>
      </c>
      <c r="J43" s="59">
        <f t="shared" si="23"/>
        <v>2027</v>
      </c>
      <c r="K43" s="26">
        <f t="shared" si="15"/>
        <v>2027.8333333333333</v>
      </c>
      <c r="L43" s="35">
        <v>337878.55</v>
      </c>
      <c r="M43" s="35">
        <f t="shared" si="22"/>
        <v>337878.55</v>
      </c>
      <c r="N43" s="35">
        <f t="shared" si="24"/>
        <v>2815.654583333333</v>
      </c>
      <c r="O43" s="35">
        <f t="shared" si="33"/>
        <v>33787.854999999996</v>
      </c>
      <c r="P43" s="35">
        <f t="shared" si="18"/>
        <v>33787.854999999996</v>
      </c>
      <c r="Q43" s="35">
        <f t="shared" si="25"/>
        <v>135151.41999999998</v>
      </c>
      <c r="R43" s="35">
        <f t="shared" si="26"/>
        <v>168939.27499999997</v>
      </c>
      <c r="S43" s="35">
        <f t="shared" si="27"/>
        <v>168939.27500000002</v>
      </c>
    </row>
    <row r="44" spans="1:22">
      <c r="B44" s="28">
        <v>187605</v>
      </c>
      <c r="C44" s="59">
        <v>3662</v>
      </c>
      <c r="D44" s="59" t="s">
        <v>719</v>
      </c>
      <c r="E44" s="59">
        <v>2017</v>
      </c>
      <c r="F44" s="59">
        <v>10</v>
      </c>
      <c r="G44" s="30">
        <v>0</v>
      </c>
      <c r="H44" s="59" t="s">
        <v>78</v>
      </c>
      <c r="I44" s="59">
        <v>10</v>
      </c>
      <c r="J44" s="59">
        <f t="shared" si="23"/>
        <v>2027</v>
      </c>
      <c r="K44" s="26">
        <f t="shared" si="15"/>
        <v>2027.8333333333333</v>
      </c>
      <c r="L44" s="35">
        <v>337983.11</v>
      </c>
      <c r="M44" s="35">
        <f t="shared" si="22"/>
        <v>337983.11</v>
      </c>
      <c r="N44" s="35">
        <f t="shared" si="24"/>
        <v>2816.5259166666669</v>
      </c>
      <c r="O44" s="35">
        <f t="shared" si="33"/>
        <v>33798.311000000002</v>
      </c>
      <c r="P44" s="35">
        <f t="shared" si="18"/>
        <v>33798.311000000002</v>
      </c>
      <c r="Q44" s="35">
        <f t="shared" si="25"/>
        <v>135193.24400000001</v>
      </c>
      <c r="R44" s="35">
        <f t="shared" si="26"/>
        <v>168991.55499999999</v>
      </c>
      <c r="S44" s="35">
        <f t="shared" si="27"/>
        <v>168991.55499999999</v>
      </c>
    </row>
    <row r="45" spans="1:22">
      <c r="B45" s="28" t="s">
        <v>712</v>
      </c>
      <c r="C45" s="59">
        <v>3670</v>
      </c>
      <c r="D45" s="59" t="s">
        <v>711</v>
      </c>
      <c r="E45" s="59">
        <v>2018</v>
      </c>
      <c r="F45" s="59">
        <v>1</v>
      </c>
      <c r="G45" s="30">
        <v>0</v>
      </c>
      <c r="H45" s="59" t="s">
        <v>78</v>
      </c>
      <c r="I45" s="59">
        <v>10</v>
      </c>
      <c r="J45" s="59">
        <f t="shared" si="23"/>
        <v>2028</v>
      </c>
      <c r="K45" s="26">
        <f t="shared" si="15"/>
        <v>2028.0833333333333</v>
      </c>
      <c r="L45" s="35">
        <v>1003.93</v>
      </c>
      <c r="M45" s="35">
        <f t="shared" si="22"/>
        <v>1003.93</v>
      </c>
      <c r="N45" s="35">
        <f t="shared" si="24"/>
        <v>8.366083333333334</v>
      </c>
      <c r="O45" s="35">
        <f t="shared" si="33"/>
        <v>100.393</v>
      </c>
      <c r="P45" s="35">
        <f t="shared" si="18"/>
        <v>100.393</v>
      </c>
      <c r="Q45" s="35">
        <f t="shared" si="25"/>
        <v>301.17899999999997</v>
      </c>
      <c r="R45" s="35">
        <f t="shared" si="26"/>
        <v>401.572</v>
      </c>
      <c r="S45" s="35">
        <f t="shared" si="27"/>
        <v>602.35799999999995</v>
      </c>
    </row>
    <row r="46" spans="1:22">
      <c r="B46" s="28">
        <v>191688</v>
      </c>
      <c r="C46" s="59">
        <v>3670</v>
      </c>
      <c r="D46" s="59" t="s">
        <v>713</v>
      </c>
      <c r="E46" s="59">
        <v>2018</v>
      </c>
      <c r="F46" s="59">
        <v>1</v>
      </c>
      <c r="G46" s="30">
        <v>0</v>
      </c>
      <c r="H46" s="59" t="s">
        <v>78</v>
      </c>
      <c r="I46" s="59">
        <v>10</v>
      </c>
      <c r="J46" s="59">
        <f t="shared" si="23"/>
        <v>2028</v>
      </c>
      <c r="K46" s="26">
        <f t="shared" si="15"/>
        <v>2028.0833333333333</v>
      </c>
      <c r="L46" s="35">
        <v>336750.81</v>
      </c>
      <c r="M46" s="35">
        <f t="shared" si="22"/>
        <v>336750.81</v>
      </c>
      <c r="N46" s="35">
        <f t="shared" si="24"/>
        <v>2806.25675</v>
      </c>
      <c r="O46" s="35">
        <f t="shared" si="33"/>
        <v>33675.080999999998</v>
      </c>
      <c r="P46" s="35">
        <f t="shared" si="18"/>
        <v>33675.080999999998</v>
      </c>
      <c r="Q46" s="35">
        <f t="shared" si="25"/>
        <v>101025.24299999999</v>
      </c>
      <c r="R46" s="35">
        <f t="shared" si="26"/>
        <v>134700.32399999999</v>
      </c>
      <c r="S46" s="35">
        <f t="shared" si="27"/>
        <v>202050.486</v>
      </c>
    </row>
    <row r="47" spans="1:22">
      <c r="B47" s="28" t="s">
        <v>773</v>
      </c>
      <c r="C47" s="59">
        <v>3671</v>
      </c>
      <c r="D47" s="59" t="s">
        <v>723</v>
      </c>
      <c r="E47" s="59">
        <v>2018</v>
      </c>
      <c r="F47" s="59">
        <v>4</v>
      </c>
      <c r="G47" s="30">
        <v>0</v>
      </c>
      <c r="H47" s="59" t="s">
        <v>78</v>
      </c>
      <c r="I47" s="59">
        <v>10</v>
      </c>
      <c r="J47" s="59">
        <f t="shared" ref="J47:J65" si="34">E47+I47</f>
        <v>2028</v>
      </c>
      <c r="K47" s="26">
        <f t="shared" ref="K47:K65" si="35">+J47+(F47/12)</f>
        <v>2028.3333333333333</v>
      </c>
      <c r="L47" s="35">
        <f>339677.75+336+1003.93+677.33</f>
        <v>341695.01</v>
      </c>
      <c r="M47" s="35">
        <f t="shared" ref="M47:M63" si="36">L47-L47*G47</f>
        <v>341695.01</v>
      </c>
      <c r="N47" s="35">
        <f t="shared" ref="N47:N63" si="37">M47/I47/12</f>
        <v>2847.4584166666668</v>
      </c>
      <c r="O47" s="35">
        <f t="shared" ref="O47:O63" si="38">+N47*12</f>
        <v>34169.501000000004</v>
      </c>
      <c r="P47" s="35">
        <f t="shared" ref="P47:P63" si="39">+IF(K47&lt;=$M$5,0,IF(J47=$M$4,N47*F47,O47))</f>
        <v>34169.501000000004</v>
      </c>
      <c r="Q47" s="35">
        <f t="shared" ref="Q47:Q63" si="40">+IF(P47=0,M47,IF($M$3-E47&lt;1,0,(($M$3-E47)*O47)))</f>
        <v>102508.50300000001</v>
      </c>
      <c r="R47" s="35">
        <f t="shared" ref="R47:R63" si="41">+IF(P47=0,Q47,Q47+P47)</f>
        <v>136678.00400000002</v>
      </c>
      <c r="S47" s="35">
        <f t="shared" ref="S47:S63" si="42">+L47-R47</f>
        <v>205017.00599999999</v>
      </c>
    </row>
    <row r="48" spans="1:22">
      <c r="B48" s="28" t="s">
        <v>774</v>
      </c>
      <c r="C48" s="59">
        <v>3671</v>
      </c>
      <c r="D48" s="59" t="s">
        <v>775</v>
      </c>
      <c r="E48" s="59">
        <v>2018</v>
      </c>
      <c r="F48" s="59">
        <v>4</v>
      </c>
      <c r="G48" s="30">
        <v>0</v>
      </c>
      <c r="H48" s="59" t="s">
        <v>78</v>
      </c>
      <c r="I48" s="59">
        <v>5</v>
      </c>
      <c r="J48" s="59">
        <f t="shared" si="34"/>
        <v>2023</v>
      </c>
      <c r="K48" s="26">
        <f t="shared" si="35"/>
        <v>2023.3333333333333</v>
      </c>
      <c r="L48" s="35">
        <f>722.88+518.38</f>
        <v>1241.26</v>
      </c>
      <c r="M48" s="35">
        <f t="shared" si="36"/>
        <v>1241.26</v>
      </c>
      <c r="N48" s="35">
        <f t="shared" si="37"/>
        <v>20.687666666666669</v>
      </c>
      <c r="O48" s="35">
        <f t="shared" si="38"/>
        <v>248.25200000000001</v>
      </c>
      <c r="P48" s="35">
        <f t="shared" si="39"/>
        <v>248.25200000000001</v>
      </c>
      <c r="Q48" s="35">
        <f t="shared" si="40"/>
        <v>744.75600000000009</v>
      </c>
      <c r="R48" s="35">
        <f t="shared" si="41"/>
        <v>993.00800000000004</v>
      </c>
      <c r="S48" s="35">
        <f t="shared" si="42"/>
        <v>248.25199999999995</v>
      </c>
    </row>
    <row r="49" spans="1:19">
      <c r="B49" s="28" t="s">
        <v>776</v>
      </c>
      <c r="C49" s="59">
        <v>3673</v>
      </c>
      <c r="D49" s="59" t="s">
        <v>723</v>
      </c>
      <c r="E49" s="59">
        <v>2018</v>
      </c>
      <c r="F49" s="59">
        <v>6</v>
      </c>
      <c r="G49" s="30">
        <v>0</v>
      </c>
      <c r="H49" s="59" t="s">
        <v>78</v>
      </c>
      <c r="I49" s="59">
        <v>10</v>
      </c>
      <c r="J49" s="59">
        <f t="shared" si="34"/>
        <v>2028</v>
      </c>
      <c r="K49" s="26">
        <f t="shared" si="35"/>
        <v>2028.5</v>
      </c>
      <c r="L49" s="35">
        <f>339421.75+950.67+1003.93</f>
        <v>341376.35</v>
      </c>
      <c r="M49" s="35">
        <f t="shared" si="36"/>
        <v>341376.35</v>
      </c>
      <c r="N49" s="35">
        <f t="shared" si="37"/>
        <v>2844.8029166666661</v>
      </c>
      <c r="O49" s="35">
        <f t="shared" si="38"/>
        <v>34137.634999999995</v>
      </c>
      <c r="P49" s="35">
        <f t="shared" si="39"/>
        <v>34137.634999999995</v>
      </c>
      <c r="Q49" s="35">
        <f t="shared" si="40"/>
        <v>102412.90499999998</v>
      </c>
      <c r="R49" s="35">
        <f t="shared" si="41"/>
        <v>136550.53999999998</v>
      </c>
      <c r="S49" s="35">
        <f t="shared" si="42"/>
        <v>204825.81</v>
      </c>
    </row>
    <row r="50" spans="1:19">
      <c r="B50" s="28" t="s">
        <v>730</v>
      </c>
      <c r="C50" s="59">
        <v>3673</v>
      </c>
      <c r="D50" s="59" t="s">
        <v>731</v>
      </c>
      <c r="E50" s="59">
        <v>2018</v>
      </c>
      <c r="F50" s="59">
        <v>6</v>
      </c>
      <c r="G50" s="30">
        <v>0</v>
      </c>
      <c r="H50" s="59" t="s">
        <v>78</v>
      </c>
      <c r="I50" s="59">
        <v>5</v>
      </c>
      <c r="J50" s="59">
        <f t="shared" si="34"/>
        <v>2023</v>
      </c>
      <c r="K50" s="26">
        <f t="shared" si="35"/>
        <v>2023.5</v>
      </c>
      <c r="L50" s="35">
        <v>722.88</v>
      </c>
      <c r="M50" s="35">
        <f t="shared" si="36"/>
        <v>722.88</v>
      </c>
      <c r="N50" s="35">
        <f t="shared" si="37"/>
        <v>12.048</v>
      </c>
      <c r="O50" s="35">
        <f t="shared" si="38"/>
        <v>144.57599999999999</v>
      </c>
      <c r="P50" s="35">
        <f t="shared" si="39"/>
        <v>144.57599999999999</v>
      </c>
      <c r="Q50" s="35">
        <f t="shared" si="40"/>
        <v>433.72799999999995</v>
      </c>
      <c r="R50" s="35">
        <f t="shared" si="41"/>
        <v>578.30399999999997</v>
      </c>
      <c r="S50" s="35">
        <f t="shared" si="42"/>
        <v>144.57600000000002</v>
      </c>
    </row>
    <row r="51" spans="1:19">
      <c r="B51" s="28" t="s">
        <v>761</v>
      </c>
      <c r="C51" s="59">
        <v>3672</v>
      </c>
      <c r="D51" s="59" t="s">
        <v>723</v>
      </c>
      <c r="E51" s="59">
        <v>2018</v>
      </c>
      <c r="F51" s="59">
        <v>8</v>
      </c>
      <c r="G51" s="30">
        <v>0</v>
      </c>
      <c r="H51" s="59" t="s">
        <v>78</v>
      </c>
      <c r="I51" s="59">
        <v>10</v>
      </c>
      <c r="J51" s="59">
        <f t="shared" si="34"/>
        <v>2028</v>
      </c>
      <c r="K51" s="26">
        <f t="shared" si="35"/>
        <v>2028.6666666666667</v>
      </c>
      <c r="L51" s="35">
        <f>339421.75+1274.53</f>
        <v>340696.28</v>
      </c>
      <c r="M51" s="35">
        <f t="shared" si="36"/>
        <v>340696.28</v>
      </c>
      <c r="N51" s="35">
        <f t="shared" si="37"/>
        <v>2839.135666666667</v>
      </c>
      <c r="O51" s="35">
        <f t="shared" si="38"/>
        <v>34069.628000000004</v>
      </c>
      <c r="P51" s="35">
        <f t="shared" si="39"/>
        <v>34069.628000000004</v>
      </c>
      <c r="Q51" s="35">
        <f t="shared" si="40"/>
        <v>102208.88400000002</v>
      </c>
      <c r="R51" s="35">
        <f t="shared" si="41"/>
        <v>136278.51200000002</v>
      </c>
      <c r="S51" s="35">
        <f t="shared" si="42"/>
        <v>204417.76800000001</v>
      </c>
    </row>
    <row r="52" spans="1:19">
      <c r="B52" s="28" t="s">
        <v>763</v>
      </c>
      <c r="C52" s="59">
        <v>3672</v>
      </c>
      <c r="D52" s="59" t="s">
        <v>762</v>
      </c>
      <c r="E52" s="59">
        <v>2018</v>
      </c>
      <c r="F52" s="59">
        <v>8</v>
      </c>
      <c r="G52" s="30">
        <v>0</v>
      </c>
      <c r="H52" s="59" t="s">
        <v>78</v>
      </c>
      <c r="I52" s="59">
        <v>5</v>
      </c>
      <c r="J52" s="59">
        <f t="shared" si="34"/>
        <v>2023</v>
      </c>
      <c r="K52" s="26">
        <f t="shared" si="35"/>
        <v>2023.6666666666667</v>
      </c>
      <c r="L52" s="35">
        <f>731.05+519.47</f>
        <v>1250.52</v>
      </c>
      <c r="M52" s="35">
        <f t="shared" si="36"/>
        <v>1250.52</v>
      </c>
      <c r="N52" s="35">
        <f t="shared" si="37"/>
        <v>20.841999999999999</v>
      </c>
      <c r="O52" s="35">
        <f t="shared" si="38"/>
        <v>250.10399999999998</v>
      </c>
      <c r="P52" s="35">
        <f t="shared" si="39"/>
        <v>250.10399999999998</v>
      </c>
      <c r="Q52" s="35">
        <f t="shared" si="40"/>
        <v>750.3119999999999</v>
      </c>
      <c r="R52" s="35">
        <f t="shared" si="41"/>
        <v>1000.4159999999999</v>
      </c>
      <c r="S52" s="35">
        <f t="shared" si="42"/>
        <v>250.10400000000004</v>
      </c>
    </row>
    <row r="53" spans="1:19">
      <c r="B53" s="28" t="s">
        <v>732</v>
      </c>
      <c r="C53" s="59">
        <v>3672</v>
      </c>
      <c r="D53" s="59" t="s">
        <v>733</v>
      </c>
      <c r="E53" s="59">
        <v>2018</v>
      </c>
      <c r="F53" s="59">
        <v>8</v>
      </c>
      <c r="G53" s="30">
        <v>0</v>
      </c>
      <c r="H53" s="59" t="s">
        <v>78</v>
      </c>
      <c r="I53" s="59">
        <v>10</v>
      </c>
      <c r="J53" s="59">
        <f t="shared" si="34"/>
        <v>2028</v>
      </c>
      <c r="K53" s="26">
        <f t="shared" si="35"/>
        <v>2028.6666666666667</v>
      </c>
      <c r="L53" s="35">
        <v>336</v>
      </c>
      <c r="M53" s="35">
        <f t="shared" si="36"/>
        <v>336</v>
      </c>
      <c r="N53" s="35">
        <f t="shared" si="37"/>
        <v>2.8000000000000003</v>
      </c>
      <c r="O53" s="35">
        <f t="shared" si="38"/>
        <v>33.6</v>
      </c>
      <c r="P53" s="35">
        <f t="shared" si="39"/>
        <v>33.6</v>
      </c>
      <c r="Q53" s="35">
        <f t="shared" si="40"/>
        <v>100.80000000000001</v>
      </c>
      <c r="R53" s="35">
        <f t="shared" si="41"/>
        <v>134.4</v>
      </c>
      <c r="S53" s="35">
        <f t="shared" si="42"/>
        <v>201.6</v>
      </c>
    </row>
    <row r="54" spans="1:19">
      <c r="B54" s="28" t="s">
        <v>770</v>
      </c>
      <c r="C54" s="59">
        <v>3686</v>
      </c>
      <c r="D54" s="59" t="s">
        <v>723</v>
      </c>
      <c r="E54" s="59">
        <v>2018</v>
      </c>
      <c r="F54" s="59">
        <v>9</v>
      </c>
      <c r="G54" s="30">
        <v>0</v>
      </c>
      <c r="H54" s="59" t="s">
        <v>78</v>
      </c>
      <c r="I54" s="59">
        <v>10</v>
      </c>
      <c r="J54" s="59">
        <f t="shared" si="34"/>
        <v>2028</v>
      </c>
      <c r="K54" s="26">
        <f t="shared" si="35"/>
        <v>2028.75</v>
      </c>
      <c r="L54" s="35">
        <f>339421.75+243+993+952.88</f>
        <v>341610.63</v>
      </c>
      <c r="M54" s="35">
        <f t="shared" si="36"/>
        <v>341610.63</v>
      </c>
      <c r="N54" s="35">
        <f t="shared" si="37"/>
        <v>2846.7552500000002</v>
      </c>
      <c r="O54" s="35">
        <f t="shared" si="38"/>
        <v>34161.063000000002</v>
      </c>
      <c r="P54" s="35">
        <f t="shared" si="39"/>
        <v>34161.063000000002</v>
      </c>
      <c r="Q54" s="35">
        <f t="shared" si="40"/>
        <v>102483.18900000001</v>
      </c>
      <c r="R54" s="35">
        <f t="shared" si="41"/>
        <v>136644.25200000001</v>
      </c>
      <c r="S54" s="35">
        <f t="shared" si="42"/>
        <v>204966.378</v>
      </c>
    </row>
    <row r="55" spans="1:19">
      <c r="B55" s="28" t="s">
        <v>779</v>
      </c>
      <c r="C55" s="59">
        <v>3685</v>
      </c>
      <c r="D55" s="59" t="s">
        <v>723</v>
      </c>
      <c r="E55" s="59">
        <v>2018</v>
      </c>
      <c r="F55" s="59">
        <v>9</v>
      </c>
      <c r="G55" s="30">
        <v>0</v>
      </c>
      <c r="H55" s="59" t="s">
        <v>78</v>
      </c>
      <c r="I55" s="59">
        <v>10</v>
      </c>
      <c r="J55" s="59">
        <f t="shared" si="34"/>
        <v>2028</v>
      </c>
      <c r="K55" s="26">
        <f t="shared" si="35"/>
        <v>2028.75</v>
      </c>
      <c r="L55" s="35">
        <f>338957.39+952.88+371.67</f>
        <v>340281.94</v>
      </c>
      <c r="M55" s="35">
        <f t="shared" si="36"/>
        <v>340281.94</v>
      </c>
      <c r="N55" s="35">
        <f t="shared" si="37"/>
        <v>2835.6828333333337</v>
      </c>
      <c r="O55" s="35">
        <f t="shared" si="38"/>
        <v>34028.194000000003</v>
      </c>
      <c r="P55" s="35">
        <f t="shared" si="39"/>
        <v>34028.194000000003</v>
      </c>
      <c r="Q55" s="35">
        <f t="shared" si="40"/>
        <v>102084.58200000001</v>
      </c>
      <c r="R55" s="35">
        <f t="shared" si="41"/>
        <v>136112.77600000001</v>
      </c>
      <c r="S55" s="35">
        <f t="shared" si="42"/>
        <v>204169.16399999999</v>
      </c>
    </row>
    <row r="56" spans="1:19">
      <c r="B56" s="28" t="s">
        <v>780</v>
      </c>
      <c r="C56" s="59">
        <v>3685</v>
      </c>
      <c r="D56" s="59" t="s">
        <v>731</v>
      </c>
      <c r="E56" s="59">
        <v>2018</v>
      </c>
      <c r="F56" s="59">
        <v>9</v>
      </c>
      <c r="G56" s="30">
        <v>0</v>
      </c>
      <c r="H56" s="59" t="s">
        <v>78</v>
      </c>
      <c r="I56" s="59">
        <v>5</v>
      </c>
      <c r="J56" s="59">
        <f t="shared" si="34"/>
        <v>2023</v>
      </c>
      <c r="K56" s="26">
        <f t="shared" si="35"/>
        <v>2023.75</v>
      </c>
      <c r="L56" s="35">
        <f>796.28+519.47</f>
        <v>1315.75</v>
      </c>
      <c r="M56" s="35">
        <f t="shared" si="36"/>
        <v>1315.75</v>
      </c>
      <c r="N56" s="35">
        <f t="shared" si="37"/>
        <v>21.929166666666664</v>
      </c>
      <c r="O56" s="35">
        <f t="shared" si="38"/>
        <v>263.14999999999998</v>
      </c>
      <c r="P56" s="35">
        <f t="shared" si="39"/>
        <v>263.14999999999998</v>
      </c>
      <c r="Q56" s="35">
        <f t="shared" si="40"/>
        <v>789.44999999999993</v>
      </c>
      <c r="R56" s="35">
        <f t="shared" si="41"/>
        <v>1052.5999999999999</v>
      </c>
      <c r="S56" s="35">
        <f t="shared" si="42"/>
        <v>263.15000000000009</v>
      </c>
    </row>
    <row r="57" spans="1:19">
      <c r="B57" s="28" t="s">
        <v>777</v>
      </c>
      <c r="C57" s="59">
        <v>2050</v>
      </c>
      <c r="D57" s="59" t="s">
        <v>724</v>
      </c>
      <c r="E57" s="59">
        <v>2018</v>
      </c>
      <c r="F57" s="59">
        <v>9</v>
      </c>
      <c r="G57" s="30">
        <v>0</v>
      </c>
      <c r="H57" s="59" t="s">
        <v>78</v>
      </c>
      <c r="I57" s="59">
        <v>10</v>
      </c>
      <c r="J57" s="59">
        <f t="shared" si="34"/>
        <v>2028</v>
      </c>
      <c r="K57" s="26">
        <f t="shared" si="35"/>
        <v>2028.75</v>
      </c>
      <c r="L57" s="35">
        <f>317781.56+920.21+1295.25</f>
        <v>319997.02</v>
      </c>
      <c r="M57" s="35">
        <f t="shared" si="36"/>
        <v>319997.02</v>
      </c>
      <c r="N57" s="35">
        <f t="shared" si="37"/>
        <v>2666.6418333333336</v>
      </c>
      <c r="O57" s="35">
        <f t="shared" si="38"/>
        <v>31999.702000000005</v>
      </c>
      <c r="P57" s="35">
        <f t="shared" si="39"/>
        <v>31999.702000000005</v>
      </c>
      <c r="Q57" s="35">
        <f t="shared" si="40"/>
        <v>95999.106000000014</v>
      </c>
      <c r="R57" s="35">
        <f t="shared" si="41"/>
        <v>127998.80800000002</v>
      </c>
      <c r="S57" s="35">
        <f t="shared" si="42"/>
        <v>191998.212</v>
      </c>
    </row>
    <row r="58" spans="1:19">
      <c r="B58" s="28" t="s">
        <v>778</v>
      </c>
      <c r="C58" s="59">
        <v>2050</v>
      </c>
      <c r="D58" s="59" t="s">
        <v>767</v>
      </c>
      <c r="E58" s="59">
        <v>2018</v>
      </c>
      <c r="F58" s="59">
        <v>9</v>
      </c>
      <c r="G58" s="30">
        <v>0</v>
      </c>
      <c r="H58" s="59" t="s">
        <v>78</v>
      </c>
      <c r="I58" s="59">
        <v>5</v>
      </c>
      <c r="J58" s="59">
        <f t="shared" si="34"/>
        <v>2023</v>
      </c>
      <c r="K58" s="26">
        <f t="shared" si="35"/>
        <v>2023.75</v>
      </c>
      <c r="L58" s="35">
        <f>796.28+519.47</f>
        <v>1315.75</v>
      </c>
      <c r="M58" s="35">
        <f t="shared" si="36"/>
        <v>1315.75</v>
      </c>
      <c r="N58" s="35">
        <f t="shared" si="37"/>
        <v>21.929166666666664</v>
      </c>
      <c r="O58" s="35">
        <f t="shared" si="38"/>
        <v>263.14999999999998</v>
      </c>
      <c r="P58" s="35">
        <f t="shared" si="39"/>
        <v>263.14999999999998</v>
      </c>
      <c r="Q58" s="35">
        <f t="shared" si="40"/>
        <v>789.44999999999993</v>
      </c>
      <c r="R58" s="35">
        <f t="shared" si="41"/>
        <v>1052.5999999999999</v>
      </c>
      <c r="S58" s="35">
        <f t="shared" si="42"/>
        <v>263.15000000000009</v>
      </c>
    </row>
    <row r="59" spans="1:19">
      <c r="B59" s="28" t="s">
        <v>771</v>
      </c>
      <c r="C59" s="59">
        <v>3686</v>
      </c>
      <c r="D59" s="59" t="s">
        <v>767</v>
      </c>
      <c r="E59" s="59">
        <v>2018</v>
      </c>
      <c r="F59" s="59">
        <v>11</v>
      </c>
      <c r="G59" s="30">
        <v>0</v>
      </c>
      <c r="H59" s="59" t="s">
        <v>78</v>
      </c>
      <c r="I59" s="59">
        <v>5</v>
      </c>
      <c r="J59" s="59">
        <f t="shared" si="34"/>
        <v>2023</v>
      </c>
      <c r="K59" s="26">
        <f t="shared" si="35"/>
        <v>2023.9166666666667</v>
      </c>
      <c r="L59" s="35">
        <f>796.28+519.47</f>
        <v>1315.75</v>
      </c>
      <c r="M59" s="35">
        <f t="shared" si="36"/>
        <v>1315.75</v>
      </c>
      <c r="N59" s="35">
        <f t="shared" si="37"/>
        <v>21.929166666666664</v>
      </c>
      <c r="O59" s="35">
        <f t="shared" si="38"/>
        <v>263.14999999999998</v>
      </c>
      <c r="P59" s="35">
        <f t="shared" si="39"/>
        <v>263.14999999999998</v>
      </c>
      <c r="Q59" s="35">
        <f t="shared" si="40"/>
        <v>789.44999999999993</v>
      </c>
      <c r="R59" s="35">
        <f t="shared" si="41"/>
        <v>1052.5999999999999</v>
      </c>
      <c r="S59" s="35">
        <f t="shared" si="42"/>
        <v>263.15000000000009</v>
      </c>
    </row>
    <row r="60" spans="1:19">
      <c r="B60" s="28" t="s">
        <v>768</v>
      </c>
      <c r="C60" s="59">
        <v>2051</v>
      </c>
      <c r="D60" s="59" t="s">
        <v>758</v>
      </c>
      <c r="E60" s="59">
        <v>2018</v>
      </c>
      <c r="F60" s="59">
        <v>8</v>
      </c>
      <c r="G60" s="30">
        <v>0</v>
      </c>
      <c r="H60" s="59" t="s">
        <v>78</v>
      </c>
      <c r="I60" s="59">
        <v>10</v>
      </c>
      <c r="J60" s="59">
        <f t="shared" si="34"/>
        <v>2028</v>
      </c>
      <c r="K60" s="26">
        <f t="shared" si="35"/>
        <v>2028.6666666666667</v>
      </c>
      <c r="L60" s="35">
        <f>319310.68+1236+892.98</f>
        <v>321439.65999999997</v>
      </c>
      <c r="M60" s="35">
        <f t="shared" si="36"/>
        <v>321439.65999999997</v>
      </c>
      <c r="N60" s="35">
        <f t="shared" si="37"/>
        <v>2678.6638333333331</v>
      </c>
      <c r="O60" s="35">
        <f t="shared" si="38"/>
        <v>32143.965999999997</v>
      </c>
      <c r="P60" s="35">
        <f t="shared" si="39"/>
        <v>32143.965999999997</v>
      </c>
      <c r="Q60" s="35">
        <f t="shared" si="40"/>
        <v>96431.897999999986</v>
      </c>
      <c r="R60" s="35">
        <f t="shared" si="41"/>
        <v>128575.86399999999</v>
      </c>
      <c r="S60" s="35">
        <f t="shared" si="42"/>
        <v>192863.79599999997</v>
      </c>
    </row>
    <row r="61" spans="1:19">
      <c r="B61" s="28" t="s">
        <v>769</v>
      </c>
      <c r="C61" s="59">
        <v>2051</v>
      </c>
      <c r="D61" s="59" t="s">
        <v>767</v>
      </c>
      <c r="E61" s="59">
        <v>2018</v>
      </c>
      <c r="F61" s="59">
        <v>10</v>
      </c>
      <c r="G61" s="30">
        <v>0</v>
      </c>
      <c r="H61" s="59" t="s">
        <v>78</v>
      </c>
      <c r="I61" s="59">
        <v>5</v>
      </c>
      <c r="J61" s="59">
        <f t="shared" si="34"/>
        <v>2023</v>
      </c>
      <c r="K61" s="26">
        <f t="shared" si="35"/>
        <v>2023.8333333333333</v>
      </c>
      <c r="L61" s="35">
        <f>796.28+519.47</f>
        <v>1315.75</v>
      </c>
      <c r="M61" s="35">
        <f t="shared" si="36"/>
        <v>1315.75</v>
      </c>
      <c r="N61" s="35">
        <f t="shared" si="37"/>
        <v>21.929166666666664</v>
      </c>
      <c r="O61" s="35">
        <f t="shared" si="38"/>
        <v>263.14999999999998</v>
      </c>
      <c r="P61" s="35">
        <f t="shared" si="39"/>
        <v>263.14999999999998</v>
      </c>
      <c r="Q61" s="35">
        <f t="shared" si="40"/>
        <v>789.44999999999993</v>
      </c>
      <c r="R61" s="35">
        <f t="shared" si="41"/>
        <v>1052.5999999999999</v>
      </c>
      <c r="S61" s="35">
        <f t="shared" si="42"/>
        <v>263.15000000000009</v>
      </c>
    </row>
    <row r="62" spans="1:19">
      <c r="B62" s="28" t="s">
        <v>765</v>
      </c>
      <c r="C62" s="59">
        <v>3687</v>
      </c>
      <c r="D62" s="59" t="s">
        <v>764</v>
      </c>
      <c r="E62" s="59">
        <v>2018</v>
      </c>
      <c r="F62" s="59">
        <v>11</v>
      </c>
      <c r="G62" s="30">
        <v>0</v>
      </c>
      <c r="H62" s="59" t="s">
        <v>78</v>
      </c>
      <c r="I62" s="59">
        <v>10</v>
      </c>
      <c r="J62" s="59">
        <f t="shared" si="34"/>
        <v>2028</v>
      </c>
      <c r="K62" s="26">
        <f t="shared" si="35"/>
        <v>2028.9166666666667</v>
      </c>
      <c r="L62" s="35">
        <f>340374.63+1155.33</f>
        <v>341529.96</v>
      </c>
      <c r="M62" s="35">
        <f t="shared" si="36"/>
        <v>341529.96</v>
      </c>
      <c r="N62" s="35">
        <f t="shared" si="37"/>
        <v>2846.0830000000001</v>
      </c>
      <c r="O62" s="35">
        <f t="shared" si="38"/>
        <v>34152.995999999999</v>
      </c>
      <c r="P62" s="35">
        <f t="shared" si="39"/>
        <v>34152.995999999999</v>
      </c>
      <c r="Q62" s="35">
        <f t="shared" si="40"/>
        <v>102458.988</v>
      </c>
      <c r="R62" s="35">
        <f t="shared" si="41"/>
        <v>136611.984</v>
      </c>
      <c r="S62" s="35">
        <f t="shared" si="42"/>
        <v>204917.97600000002</v>
      </c>
    </row>
    <row r="63" spans="1:19">
      <c r="B63" s="28" t="s">
        <v>766</v>
      </c>
      <c r="C63" s="59">
        <v>3687</v>
      </c>
      <c r="D63" s="59" t="s">
        <v>767</v>
      </c>
      <c r="E63" s="59">
        <v>2018</v>
      </c>
      <c r="F63" s="59">
        <v>11</v>
      </c>
      <c r="G63" s="30">
        <v>0</v>
      </c>
      <c r="H63" s="59" t="s">
        <v>78</v>
      </c>
      <c r="I63" s="59">
        <v>5</v>
      </c>
      <c r="J63" s="59">
        <f t="shared" si="34"/>
        <v>2023</v>
      </c>
      <c r="K63" s="26">
        <f t="shared" si="35"/>
        <v>2023.9166666666667</v>
      </c>
      <c r="L63" s="35">
        <f>796.28+519.47</f>
        <v>1315.75</v>
      </c>
      <c r="M63" s="35">
        <f t="shared" si="36"/>
        <v>1315.75</v>
      </c>
      <c r="N63" s="35">
        <f t="shared" si="37"/>
        <v>21.929166666666664</v>
      </c>
      <c r="O63" s="35">
        <f t="shared" si="38"/>
        <v>263.14999999999998</v>
      </c>
      <c r="P63" s="35">
        <f t="shared" si="39"/>
        <v>263.14999999999998</v>
      </c>
      <c r="Q63" s="35">
        <f t="shared" si="40"/>
        <v>789.44999999999993</v>
      </c>
      <c r="R63" s="35">
        <f t="shared" si="41"/>
        <v>1052.5999999999999</v>
      </c>
      <c r="S63" s="35">
        <f t="shared" si="42"/>
        <v>263.15000000000009</v>
      </c>
    </row>
    <row r="64" spans="1:19" s="71" customFormat="1">
      <c r="A64" s="130"/>
      <c r="B64" s="131"/>
      <c r="C64" s="130"/>
      <c r="D64" s="130" t="s">
        <v>793</v>
      </c>
      <c r="E64" s="130">
        <v>2019</v>
      </c>
      <c r="F64" s="130">
        <v>8</v>
      </c>
      <c r="G64" s="132">
        <v>0</v>
      </c>
      <c r="H64" s="130" t="s">
        <v>78</v>
      </c>
      <c r="I64" s="130">
        <v>3</v>
      </c>
      <c r="J64" s="130">
        <f t="shared" si="34"/>
        <v>2022</v>
      </c>
      <c r="K64" s="133">
        <f t="shared" si="35"/>
        <v>2022.6666666666667</v>
      </c>
      <c r="L64" s="134">
        <f>M222+M239+M247+M272+M280+M251+M254+M256</f>
        <v>124142.7066</v>
      </c>
      <c r="M64" s="134">
        <f t="shared" ref="M64" si="43">L64-L64*G64</f>
        <v>124142.7066</v>
      </c>
      <c r="N64" s="134">
        <f t="shared" ref="N64" si="44">M64/I64/12</f>
        <v>3448.4085166666669</v>
      </c>
      <c r="O64" s="134">
        <f t="shared" ref="O64" si="45">+N64*12</f>
        <v>41380.902200000004</v>
      </c>
      <c r="P64" s="469">
        <f>+IF(K64&lt;=$M$5,0,IF(J64=$M$4,N64*F64,O64))/3</f>
        <v>9195.7560444444443</v>
      </c>
      <c r="Q64" s="134">
        <f t="shared" ref="Q64" si="46">+IF(P64=0,M64,IF($M$3-E64&lt;1,0,(($M$3-E64)*O64)))</f>
        <v>82761.804400000008</v>
      </c>
      <c r="R64" s="134">
        <f t="shared" ref="R64" si="47">+IF(P64=0,Q64,Q64+P64)</f>
        <v>91957.560444444447</v>
      </c>
      <c r="S64" s="134">
        <v>0</v>
      </c>
    </row>
    <row r="65" spans="2:19" s="56" customFormat="1" ht="15">
      <c r="B65" s="65">
        <v>218237</v>
      </c>
      <c r="C65" s="61">
        <v>3689</v>
      </c>
      <c r="D65" s="66" t="s">
        <v>831</v>
      </c>
      <c r="E65" s="56">
        <v>2019</v>
      </c>
      <c r="F65" s="56">
        <v>6</v>
      </c>
      <c r="G65" s="38">
        <v>0</v>
      </c>
      <c r="H65" s="56" t="s">
        <v>78</v>
      </c>
      <c r="I65" s="56">
        <v>10</v>
      </c>
      <c r="J65" s="56">
        <f t="shared" si="34"/>
        <v>2029</v>
      </c>
      <c r="K65" s="62">
        <f t="shared" si="35"/>
        <v>2029.5</v>
      </c>
      <c r="L65" s="67">
        <f>361280.63+456.88</f>
        <v>361737.51</v>
      </c>
      <c r="M65" s="63">
        <f t="shared" ref="M65:M72" si="48">L65-L65*G65</f>
        <v>361737.51</v>
      </c>
      <c r="N65" s="63">
        <f t="shared" ref="N65:N72" si="49">M65/I65/12</f>
        <v>3014.4792500000003</v>
      </c>
      <c r="O65" s="63">
        <f t="shared" ref="O65:O72" si="50">+N65*12</f>
        <v>36173.751000000004</v>
      </c>
      <c r="P65" s="63">
        <f t="shared" ref="P65:P72" si="51">+IF(K65&lt;=$M$5,0,IF(J65=$M$4,N65*F65,O65))</f>
        <v>36173.751000000004</v>
      </c>
      <c r="Q65" s="63">
        <f t="shared" ref="Q65:Q72" si="52">+IF(P65=0,M65,IF($M$3-E65&lt;1,0,(($M$3-E65)*O65)))</f>
        <v>72347.502000000008</v>
      </c>
      <c r="R65" s="63">
        <f t="shared" ref="R65:R72" si="53">+IF(P65=0,Q65,Q65+P65)</f>
        <v>108521.25300000001</v>
      </c>
      <c r="S65" s="63">
        <f t="shared" ref="S65:S72" si="54">+L65-R65</f>
        <v>253216.25699999998</v>
      </c>
    </row>
    <row r="66" spans="2:19" s="56" customFormat="1" ht="15">
      <c r="B66" s="65">
        <v>218238</v>
      </c>
      <c r="C66" s="61">
        <v>3690</v>
      </c>
      <c r="D66" s="66" t="s">
        <v>831</v>
      </c>
      <c r="E66" s="56">
        <v>2019</v>
      </c>
      <c r="F66" s="56">
        <v>6</v>
      </c>
      <c r="G66" s="38">
        <v>0</v>
      </c>
      <c r="H66" s="56" t="s">
        <v>78</v>
      </c>
      <c r="I66" s="56">
        <v>10</v>
      </c>
      <c r="J66" s="56">
        <f t="shared" ref="J66" si="55">E66+I66</f>
        <v>2029</v>
      </c>
      <c r="K66" s="62">
        <f t="shared" ref="K66" si="56">+J66+(F66/12)</f>
        <v>2029.5</v>
      </c>
      <c r="L66" s="67">
        <f>362237.01+791.55+456.88</f>
        <v>363485.44</v>
      </c>
      <c r="M66" s="63">
        <f t="shared" si="48"/>
        <v>363485.44</v>
      </c>
      <c r="N66" s="63">
        <f t="shared" si="49"/>
        <v>3029.0453333333335</v>
      </c>
      <c r="O66" s="63">
        <f t="shared" si="50"/>
        <v>36348.544000000002</v>
      </c>
      <c r="P66" s="63">
        <f t="shared" si="51"/>
        <v>36348.544000000002</v>
      </c>
      <c r="Q66" s="63">
        <f t="shared" si="52"/>
        <v>72697.088000000003</v>
      </c>
      <c r="R66" s="63">
        <f t="shared" si="53"/>
        <v>109045.63200000001</v>
      </c>
      <c r="S66" s="63">
        <f t="shared" si="54"/>
        <v>254439.80799999999</v>
      </c>
    </row>
    <row r="67" spans="2:19" s="56" customFormat="1" ht="15">
      <c r="B67" s="68">
        <v>219760</v>
      </c>
      <c r="C67" s="56">
        <v>3694</v>
      </c>
      <c r="D67" s="69" t="s">
        <v>834</v>
      </c>
      <c r="E67" s="56">
        <v>2019</v>
      </c>
      <c r="F67" s="56">
        <v>11</v>
      </c>
      <c r="G67" s="38">
        <v>0</v>
      </c>
      <c r="H67" s="56" t="s">
        <v>78</v>
      </c>
      <c r="I67" s="56">
        <v>10</v>
      </c>
      <c r="J67" s="56">
        <f t="shared" ref="J67" si="57">E67+I67</f>
        <v>2029</v>
      </c>
      <c r="K67" s="62">
        <f t="shared" ref="K67" si="58">+J67+(F67/12)</f>
        <v>2029.9166666666667</v>
      </c>
      <c r="L67" s="63">
        <f>184752.88+175977.73+791.55+633.95+868.94</f>
        <v>363025.05</v>
      </c>
      <c r="M67" s="63">
        <f t="shared" si="48"/>
        <v>363025.05</v>
      </c>
      <c r="N67" s="63">
        <f t="shared" si="49"/>
        <v>3025.2087499999998</v>
      </c>
      <c r="O67" s="63">
        <f t="shared" si="50"/>
        <v>36302.504999999997</v>
      </c>
      <c r="P67" s="63">
        <f t="shared" si="51"/>
        <v>36302.504999999997</v>
      </c>
      <c r="Q67" s="63">
        <f t="shared" si="52"/>
        <v>72605.009999999995</v>
      </c>
      <c r="R67" s="63">
        <f t="shared" si="53"/>
        <v>108907.51499999998</v>
      </c>
      <c r="S67" s="63">
        <f t="shared" si="54"/>
        <v>254117.535</v>
      </c>
    </row>
    <row r="68" spans="2:19" s="56" customFormat="1" ht="15">
      <c r="B68" s="64">
        <v>219761</v>
      </c>
      <c r="C68" s="56">
        <v>3692</v>
      </c>
      <c r="D68" s="69" t="s">
        <v>834</v>
      </c>
      <c r="E68" s="56">
        <v>2019</v>
      </c>
      <c r="F68" s="56">
        <v>11</v>
      </c>
      <c r="G68" s="38">
        <v>0</v>
      </c>
      <c r="H68" s="56" t="s">
        <v>78</v>
      </c>
      <c r="I68" s="56">
        <v>10</v>
      </c>
      <c r="J68" s="56">
        <f t="shared" ref="J68" si="59">E68+I68</f>
        <v>2029</v>
      </c>
      <c r="K68" s="62">
        <f t="shared" ref="K68" si="60">+J68+(F68/12)</f>
        <v>2029.9166666666667</v>
      </c>
      <c r="L68" s="63">
        <f>184752.88+175977.73+956.38+1011.16+68.01</f>
        <v>362766.16</v>
      </c>
      <c r="M68" s="63">
        <f t="shared" si="48"/>
        <v>362766.16</v>
      </c>
      <c r="N68" s="63">
        <f t="shared" si="49"/>
        <v>3023.0513333333329</v>
      </c>
      <c r="O68" s="63">
        <f t="shared" si="50"/>
        <v>36276.615999999995</v>
      </c>
      <c r="P68" s="63">
        <f t="shared" si="51"/>
        <v>36276.615999999995</v>
      </c>
      <c r="Q68" s="63">
        <f t="shared" si="52"/>
        <v>72553.231999999989</v>
      </c>
      <c r="R68" s="63">
        <f t="shared" si="53"/>
        <v>108829.84799999998</v>
      </c>
      <c r="S68" s="63">
        <f t="shared" si="54"/>
        <v>253936.31199999998</v>
      </c>
    </row>
    <row r="69" spans="2:19" s="56" customFormat="1" ht="15">
      <c r="B69" s="64">
        <v>221755</v>
      </c>
      <c r="C69" s="56">
        <v>3691</v>
      </c>
      <c r="D69" s="69" t="s">
        <v>834</v>
      </c>
      <c r="E69" s="56">
        <v>2019</v>
      </c>
      <c r="F69" s="56">
        <v>11</v>
      </c>
      <c r="G69" s="38">
        <v>0</v>
      </c>
      <c r="H69" s="56" t="s">
        <v>78</v>
      </c>
      <c r="I69" s="56">
        <v>10</v>
      </c>
      <c r="J69" s="56">
        <f t="shared" ref="J69:J72" si="61">E69+I69</f>
        <v>2029</v>
      </c>
      <c r="K69" s="62">
        <f t="shared" ref="K69:K72" si="62">+J69+(F69/12)</f>
        <v>2029.9166666666667</v>
      </c>
      <c r="L69" s="63">
        <f>361686.99+791.55+868.94+633.95+1079.17</f>
        <v>365060.6</v>
      </c>
      <c r="M69" s="63">
        <f t="shared" si="48"/>
        <v>365060.6</v>
      </c>
      <c r="N69" s="63">
        <f t="shared" si="49"/>
        <v>3042.1716666666666</v>
      </c>
      <c r="O69" s="63">
        <f t="shared" si="50"/>
        <v>36506.06</v>
      </c>
      <c r="P69" s="63">
        <f t="shared" si="51"/>
        <v>36506.06</v>
      </c>
      <c r="Q69" s="63">
        <f t="shared" si="52"/>
        <v>73012.12</v>
      </c>
      <c r="R69" s="63">
        <f t="shared" si="53"/>
        <v>109518.18</v>
      </c>
      <c r="S69" s="63">
        <f t="shared" si="54"/>
        <v>255542.41999999998</v>
      </c>
    </row>
    <row r="70" spans="2:19" s="56" customFormat="1" ht="15">
      <c r="B70" s="64">
        <v>223829</v>
      </c>
      <c r="C70" s="56">
        <v>3693</v>
      </c>
      <c r="D70" s="69" t="s">
        <v>834</v>
      </c>
      <c r="E70" s="56">
        <v>2019</v>
      </c>
      <c r="F70" s="56">
        <v>11</v>
      </c>
      <c r="G70" s="38">
        <v>0</v>
      </c>
      <c r="H70" s="56" t="s">
        <v>78</v>
      </c>
      <c r="I70" s="56">
        <v>10</v>
      </c>
      <c r="J70" s="56">
        <f t="shared" si="61"/>
        <v>2029</v>
      </c>
      <c r="K70" s="62">
        <f t="shared" si="62"/>
        <v>2029.9166666666667</v>
      </c>
      <c r="L70" s="63">
        <f>360730.61+956.38</f>
        <v>361686.99</v>
      </c>
      <c r="M70" s="63">
        <f t="shared" si="48"/>
        <v>361686.99</v>
      </c>
      <c r="N70" s="63">
        <f t="shared" si="49"/>
        <v>3014.05825</v>
      </c>
      <c r="O70" s="63">
        <f t="shared" si="50"/>
        <v>36168.699000000001</v>
      </c>
      <c r="P70" s="63">
        <f t="shared" si="51"/>
        <v>36168.699000000001</v>
      </c>
      <c r="Q70" s="63">
        <f t="shared" si="52"/>
        <v>72337.398000000001</v>
      </c>
      <c r="R70" s="63">
        <f t="shared" si="53"/>
        <v>108506.09700000001</v>
      </c>
      <c r="S70" s="63">
        <f t="shared" si="54"/>
        <v>253180.89299999998</v>
      </c>
    </row>
    <row r="71" spans="2:19" s="56" customFormat="1" ht="15">
      <c r="B71" s="64">
        <v>223830</v>
      </c>
      <c r="C71" s="56">
        <v>2056</v>
      </c>
      <c r="D71" s="69" t="s">
        <v>836</v>
      </c>
      <c r="E71" s="56">
        <v>2019</v>
      </c>
      <c r="F71" s="56">
        <v>11</v>
      </c>
      <c r="G71" s="38">
        <v>0</v>
      </c>
      <c r="H71" s="56" t="s">
        <v>78</v>
      </c>
      <c r="I71" s="56">
        <v>10</v>
      </c>
      <c r="J71" s="56">
        <f t="shared" si="61"/>
        <v>2029</v>
      </c>
      <c r="K71" s="62">
        <f t="shared" si="62"/>
        <v>2029.9166666666667</v>
      </c>
      <c r="L71" s="63">
        <f>339497.26+633.95+808.82</f>
        <v>340940.03</v>
      </c>
      <c r="M71" s="63">
        <f t="shared" si="48"/>
        <v>340940.03</v>
      </c>
      <c r="N71" s="63">
        <f t="shared" si="49"/>
        <v>2841.166916666667</v>
      </c>
      <c r="O71" s="63">
        <f t="shared" si="50"/>
        <v>34094.003000000004</v>
      </c>
      <c r="P71" s="63">
        <f t="shared" si="51"/>
        <v>34094.003000000004</v>
      </c>
      <c r="Q71" s="63">
        <f t="shared" si="52"/>
        <v>68188.006000000008</v>
      </c>
      <c r="R71" s="63">
        <f t="shared" si="53"/>
        <v>102282.00900000002</v>
      </c>
      <c r="S71" s="63">
        <f t="shared" si="54"/>
        <v>238658.02100000001</v>
      </c>
    </row>
    <row r="72" spans="2:19" s="56" customFormat="1" ht="15">
      <c r="B72" s="64">
        <v>225450</v>
      </c>
      <c r="C72" s="56">
        <v>3695</v>
      </c>
      <c r="D72" s="69" t="s">
        <v>834</v>
      </c>
      <c r="E72" s="56">
        <v>2019</v>
      </c>
      <c r="F72" s="56">
        <v>12</v>
      </c>
      <c r="G72" s="38">
        <v>0</v>
      </c>
      <c r="H72" s="56" t="s">
        <v>78</v>
      </c>
      <c r="I72" s="56">
        <v>10</v>
      </c>
      <c r="J72" s="56">
        <f t="shared" si="61"/>
        <v>2029</v>
      </c>
      <c r="K72" s="62">
        <f t="shared" si="62"/>
        <v>2030</v>
      </c>
      <c r="L72" s="63">
        <v>360730.61</v>
      </c>
      <c r="M72" s="63">
        <f t="shared" si="48"/>
        <v>360730.61</v>
      </c>
      <c r="N72" s="63">
        <f t="shared" si="49"/>
        <v>3006.0884166666669</v>
      </c>
      <c r="O72" s="63">
        <f t="shared" si="50"/>
        <v>36073.061000000002</v>
      </c>
      <c r="P72" s="63">
        <f t="shared" si="51"/>
        <v>36073.061000000002</v>
      </c>
      <c r="Q72" s="63">
        <f t="shared" si="52"/>
        <v>72146.122000000003</v>
      </c>
      <c r="R72" s="63">
        <f t="shared" si="53"/>
        <v>108219.183</v>
      </c>
      <c r="S72" s="63">
        <f t="shared" si="54"/>
        <v>252511.42699999997</v>
      </c>
    </row>
    <row r="73" spans="2:19" s="56" customFormat="1" ht="15">
      <c r="B73" s="64">
        <v>241234</v>
      </c>
      <c r="C73" s="56">
        <v>3703</v>
      </c>
      <c r="D73" s="69" t="s">
        <v>834</v>
      </c>
      <c r="E73" s="56">
        <v>2020</v>
      </c>
      <c r="F73" s="56">
        <v>10</v>
      </c>
      <c r="G73" s="38">
        <v>0</v>
      </c>
      <c r="H73" s="56" t="s">
        <v>78</v>
      </c>
      <c r="I73" s="56">
        <v>10</v>
      </c>
      <c r="J73" s="56">
        <f t="shared" ref="J73:J79" si="63">E73+I73</f>
        <v>2030</v>
      </c>
      <c r="K73" s="62">
        <f t="shared" ref="K73:K79" si="64">+J73+(F73/12)</f>
        <v>2030.8333333333333</v>
      </c>
      <c r="L73" s="63">
        <v>368277.46</v>
      </c>
      <c r="M73" s="63">
        <f t="shared" ref="M73:M79" si="65">L73-L73*G73</f>
        <v>368277.46</v>
      </c>
      <c r="N73" s="63">
        <f t="shared" ref="N73:N79" si="66">M73/I73/12</f>
        <v>3068.9788333333331</v>
      </c>
      <c r="O73" s="63">
        <f t="shared" ref="O73:O79" si="67">+N73*12</f>
        <v>36827.745999999999</v>
      </c>
      <c r="P73" s="63">
        <f t="shared" ref="P73:P79" si="68">+IF(K73&lt;=$M$5,0,IF(J73=$M$4,N73*F73,O73))</f>
        <v>36827.745999999999</v>
      </c>
      <c r="Q73" s="63">
        <f t="shared" ref="Q73:Q79" si="69">+IF(P73=0,M73,IF($M$3-E73&lt;1,0,(($M$3-E73)*O73)))</f>
        <v>36827.745999999999</v>
      </c>
      <c r="R73" s="63">
        <f t="shared" ref="R73:R79" si="70">+IF(P73=0,Q73,Q73+P73)</f>
        <v>73655.491999999998</v>
      </c>
      <c r="S73" s="63">
        <f t="shared" ref="S73:S79" si="71">+L73-R73</f>
        <v>294621.96799999999</v>
      </c>
    </row>
    <row r="74" spans="2:19" s="56" customFormat="1" ht="15">
      <c r="B74" s="64" t="s">
        <v>885</v>
      </c>
      <c r="C74" s="56">
        <v>3703</v>
      </c>
      <c r="D74" s="69" t="s">
        <v>886</v>
      </c>
      <c r="E74" s="56">
        <v>2020</v>
      </c>
      <c r="F74" s="56">
        <v>11</v>
      </c>
      <c r="G74" s="38">
        <v>0</v>
      </c>
      <c r="H74" s="56" t="s">
        <v>78</v>
      </c>
      <c r="I74" s="56">
        <v>10</v>
      </c>
      <c r="J74" s="56">
        <f t="shared" si="63"/>
        <v>2030</v>
      </c>
      <c r="K74" s="62">
        <f t="shared" si="64"/>
        <v>2030.9166666666667</v>
      </c>
      <c r="L74" s="63">
        <v>957.25</v>
      </c>
      <c r="M74" s="63">
        <f t="shared" si="65"/>
        <v>957.25</v>
      </c>
      <c r="N74" s="63">
        <f t="shared" si="66"/>
        <v>7.9770833333333329</v>
      </c>
      <c r="O74" s="63">
        <f t="shared" si="67"/>
        <v>95.724999999999994</v>
      </c>
      <c r="P74" s="63">
        <f t="shared" si="68"/>
        <v>95.724999999999994</v>
      </c>
      <c r="Q74" s="63">
        <f t="shared" si="69"/>
        <v>95.724999999999994</v>
      </c>
      <c r="R74" s="63">
        <f t="shared" si="70"/>
        <v>191.45</v>
      </c>
      <c r="S74" s="63">
        <f t="shared" si="71"/>
        <v>765.8</v>
      </c>
    </row>
    <row r="75" spans="2:19" s="56" customFormat="1" ht="15">
      <c r="B75" s="64" t="s">
        <v>887</v>
      </c>
      <c r="C75" s="56">
        <v>3703</v>
      </c>
      <c r="D75" s="69" t="s">
        <v>888</v>
      </c>
      <c r="E75" s="56">
        <v>2020</v>
      </c>
      <c r="F75" s="56">
        <v>11</v>
      </c>
      <c r="G75" s="38">
        <v>0</v>
      </c>
      <c r="H75" s="56" t="s">
        <v>78</v>
      </c>
      <c r="I75" s="56">
        <v>5</v>
      </c>
      <c r="J75" s="56">
        <f t="shared" si="63"/>
        <v>2025</v>
      </c>
      <c r="K75" s="62">
        <f t="shared" si="64"/>
        <v>2025.9166666666667</v>
      </c>
      <c r="L75" s="63">
        <v>584.21</v>
      </c>
      <c r="M75" s="63">
        <f t="shared" si="65"/>
        <v>584.21</v>
      </c>
      <c r="N75" s="63">
        <f t="shared" si="66"/>
        <v>9.736833333333335</v>
      </c>
      <c r="O75" s="63">
        <f t="shared" si="67"/>
        <v>116.84200000000001</v>
      </c>
      <c r="P75" s="63">
        <f t="shared" si="68"/>
        <v>116.84200000000001</v>
      </c>
      <c r="Q75" s="63">
        <f t="shared" si="69"/>
        <v>116.84200000000001</v>
      </c>
      <c r="R75" s="63">
        <f t="shared" si="70"/>
        <v>233.68400000000003</v>
      </c>
      <c r="S75" s="63">
        <f t="shared" si="71"/>
        <v>350.52600000000001</v>
      </c>
    </row>
    <row r="76" spans="2:19" s="56" customFormat="1" ht="15">
      <c r="B76" s="64" t="s">
        <v>889</v>
      </c>
      <c r="C76" s="56">
        <v>3703</v>
      </c>
      <c r="D76" s="69" t="s">
        <v>890</v>
      </c>
      <c r="E76" s="56">
        <v>2020</v>
      </c>
      <c r="F76" s="56">
        <v>11</v>
      </c>
      <c r="G76" s="38">
        <v>0</v>
      </c>
      <c r="H76" s="56" t="s">
        <v>78</v>
      </c>
      <c r="I76" s="56">
        <v>5</v>
      </c>
      <c r="J76" s="56">
        <f t="shared" si="63"/>
        <v>2025</v>
      </c>
      <c r="K76" s="62">
        <f t="shared" si="64"/>
        <v>2025.9166666666667</v>
      </c>
      <c r="L76" s="63">
        <v>667.34</v>
      </c>
      <c r="M76" s="63">
        <f t="shared" si="65"/>
        <v>667.34</v>
      </c>
      <c r="N76" s="63">
        <f t="shared" si="66"/>
        <v>11.122333333333335</v>
      </c>
      <c r="O76" s="63">
        <f t="shared" si="67"/>
        <v>133.46800000000002</v>
      </c>
      <c r="P76" s="63">
        <f t="shared" si="68"/>
        <v>133.46800000000002</v>
      </c>
      <c r="Q76" s="63">
        <f t="shared" si="69"/>
        <v>133.46800000000002</v>
      </c>
      <c r="R76" s="63">
        <f t="shared" si="70"/>
        <v>266.93600000000004</v>
      </c>
      <c r="S76" s="63">
        <f t="shared" si="71"/>
        <v>400.404</v>
      </c>
    </row>
    <row r="77" spans="2:19" s="56" customFormat="1" ht="15">
      <c r="B77" s="64">
        <v>243666</v>
      </c>
      <c r="C77" s="56">
        <v>1088</v>
      </c>
      <c r="D77" s="69" t="s">
        <v>901</v>
      </c>
      <c r="E77" s="56">
        <v>2020</v>
      </c>
      <c r="F77" s="56">
        <v>10</v>
      </c>
      <c r="G77" s="38">
        <v>0</v>
      </c>
      <c r="H77" s="56" t="s">
        <v>78</v>
      </c>
      <c r="I77" s="56">
        <v>10</v>
      </c>
      <c r="J77" s="56">
        <f t="shared" si="63"/>
        <v>2030</v>
      </c>
      <c r="K77" s="62">
        <f t="shared" si="64"/>
        <v>2030.8333333333333</v>
      </c>
      <c r="L77" s="63">
        <v>302791.59999999998</v>
      </c>
      <c r="M77" s="63">
        <f t="shared" si="65"/>
        <v>302791.59999999998</v>
      </c>
      <c r="N77" s="63">
        <f t="shared" si="66"/>
        <v>2523.2633333333329</v>
      </c>
      <c r="O77" s="63">
        <f t="shared" si="67"/>
        <v>30279.159999999996</v>
      </c>
      <c r="P77" s="63">
        <f t="shared" si="68"/>
        <v>30279.159999999996</v>
      </c>
      <c r="Q77" s="63">
        <f t="shared" si="69"/>
        <v>30279.159999999996</v>
      </c>
      <c r="R77" s="63">
        <f t="shared" si="70"/>
        <v>60558.319999999992</v>
      </c>
      <c r="S77" s="63">
        <f t="shared" si="71"/>
        <v>242233.27999999997</v>
      </c>
    </row>
    <row r="78" spans="2:19" s="56" customFormat="1" ht="15">
      <c r="B78" s="64" t="s">
        <v>903</v>
      </c>
      <c r="C78" s="56">
        <v>1088</v>
      </c>
      <c r="D78" s="69" t="s">
        <v>888</v>
      </c>
      <c r="E78" s="56">
        <v>2020</v>
      </c>
      <c r="F78" s="56">
        <v>12</v>
      </c>
      <c r="G78" s="38">
        <v>0</v>
      </c>
      <c r="H78" s="56" t="s">
        <v>78</v>
      </c>
      <c r="I78" s="56">
        <v>5</v>
      </c>
      <c r="J78" s="56">
        <f t="shared" si="63"/>
        <v>2025</v>
      </c>
      <c r="K78" s="62">
        <f t="shared" si="64"/>
        <v>2026</v>
      </c>
      <c r="L78" s="63">
        <v>588.59</v>
      </c>
      <c r="M78" s="63">
        <f t="shared" si="65"/>
        <v>588.59</v>
      </c>
      <c r="N78" s="63">
        <f t="shared" si="66"/>
        <v>9.8098333333333336</v>
      </c>
      <c r="O78" s="63">
        <f t="shared" si="67"/>
        <v>117.718</v>
      </c>
      <c r="P78" s="63">
        <f t="shared" si="68"/>
        <v>117.718</v>
      </c>
      <c r="Q78" s="63">
        <f t="shared" si="69"/>
        <v>117.718</v>
      </c>
      <c r="R78" s="63">
        <f t="shared" si="70"/>
        <v>235.43600000000001</v>
      </c>
      <c r="S78" s="63">
        <f t="shared" si="71"/>
        <v>353.154</v>
      </c>
    </row>
    <row r="79" spans="2:19" s="56" customFormat="1" ht="15">
      <c r="B79" s="64" t="s">
        <v>904</v>
      </c>
      <c r="C79" s="56">
        <v>1088</v>
      </c>
      <c r="D79" s="69" t="s">
        <v>905</v>
      </c>
      <c r="E79" s="56">
        <v>2020</v>
      </c>
      <c r="F79" s="56">
        <v>10</v>
      </c>
      <c r="G79" s="38">
        <v>0</v>
      </c>
      <c r="H79" s="56" t="s">
        <v>78</v>
      </c>
      <c r="I79" s="56">
        <v>5</v>
      </c>
      <c r="J79" s="56">
        <f t="shared" si="63"/>
        <v>2025</v>
      </c>
      <c r="K79" s="62">
        <f t="shared" si="64"/>
        <v>2025.8333333333333</v>
      </c>
      <c r="L79" s="63">
        <v>784.07</v>
      </c>
      <c r="M79" s="63">
        <f t="shared" si="65"/>
        <v>784.07</v>
      </c>
      <c r="N79" s="63">
        <f t="shared" si="66"/>
        <v>13.067833333333335</v>
      </c>
      <c r="O79" s="63">
        <f t="shared" si="67"/>
        <v>156.81400000000002</v>
      </c>
      <c r="P79" s="63">
        <f t="shared" si="68"/>
        <v>156.81400000000002</v>
      </c>
      <c r="Q79" s="63">
        <f t="shared" si="69"/>
        <v>156.81400000000002</v>
      </c>
      <c r="R79" s="63">
        <f t="shared" si="70"/>
        <v>313.62800000000004</v>
      </c>
      <c r="S79" s="63">
        <f t="shared" si="71"/>
        <v>470.44200000000001</v>
      </c>
    </row>
    <row r="80" spans="2:19">
      <c r="L80" s="35"/>
      <c r="M80" s="35"/>
      <c r="N80" s="35"/>
      <c r="O80" s="35"/>
      <c r="P80" s="35"/>
      <c r="Q80" s="35"/>
      <c r="R80" s="35"/>
      <c r="S80" s="35"/>
    </row>
    <row r="81" spans="1:19">
      <c r="C81" s="51">
        <v>32</v>
      </c>
      <c r="D81" s="51" t="s">
        <v>294</v>
      </c>
      <c r="L81" s="85">
        <f t="shared" ref="L81:R81" si="72">SUM(L13:L80)</f>
        <v>9972368.7827333324</v>
      </c>
      <c r="M81" s="85">
        <f t="shared" si="72"/>
        <v>9972368.7827333324</v>
      </c>
      <c r="N81" s="85">
        <f t="shared" si="72"/>
        <v>92945.266395449755</v>
      </c>
      <c r="O81" s="85">
        <f t="shared" si="72"/>
        <v>1115343.1967453973</v>
      </c>
      <c r="P81" s="85">
        <f t="shared" si="72"/>
        <v>912572.85452592606</v>
      </c>
      <c r="Q81" s="85">
        <f t="shared" si="72"/>
        <v>3752417.2595666666</v>
      </c>
      <c r="R81" s="85">
        <f t="shared" si="72"/>
        <v>4664990.114092594</v>
      </c>
      <c r="S81" s="85">
        <f>SUM(S13:S80)</f>
        <v>5275193.5224851845</v>
      </c>
    </row>
    <row r="82" spans="1:19">
      <c r="J82" s="64"/>
      <c r="K82" s="86"/>
      <c r="L82" s="35"/>
      <c r="M82" s="35"/>
      <c r="N82" s="35"/>
      <c r="O82" s="35"/>
      <c r="P82" s="35"/>
      <c r="Q82" s="35"/>
      <c r="R82" s="35"/>
      <c r="S82" s="35"/>
    </row>
    <row r="83" spans="1:19">
      <c r="J83" s="64"/>
      <c r="K83" s="86"/>
      <c r="L83" s="35"/>
      <c r="M83" s="35"/>
      <c r="N83" s="35"/>
      <c r="O83" s="35"/>
      <c r="P83" s="35"/>
      <c r="Q83" s="35"/>
      <c r="R83" s="35"/>
      <c r="S83" s="35"/>
    </row>
    <row r="84" spans="1:19">
      <c r="D84" s="51" t="s">
        <v>145</v>
      </c>
      <c r="L84" s="35"/>
      <c r="M84" s="35"/>
      <c r="N84" s="35"/>
      <c r="O84" s="35"/>
      <c r="P84" s="35"/>
      <c r="Q84" s="35"/>
      <c r="R84" s="35"/>
      <c r="S84" s="35"/>
    </row>
    <row r="85" spans="1:19">
      <c r="A85" s="59" t="s">
        <v>283</v>
      </c>
      <c r="C85" s="59">
        <v>4046</v>
      </c>
      <c r="D85" s="59" t="s">
        <v>165</v>
      </c>
      <c r="E85" s="59">
        <v>2005</v>
      </c>
      <c r="F85" s="59">
        <v>10</v>
      </c>
      <c r="G85" s="30">
        <v>0</v>
      </c>
      <c r="H85" s="59" t="s">
        <v>78</v>
      </c>
      <c r="I85" s="59">
        <v>7</v>
      </c>
      <c r="J85" s="59">
        <f t="shared" ref="J85:J118" si="73">E85+I85</f>
        <v>2012</v>
      </c>
      <c r="K85" s="26">
        <f t="shared" ref="K85:K118" si="74">+J85+(F85/12)</f>
        <v>2012.8333333333333</v>
      </c>
      <c r="L85" s="35">
        <f>'Orig Trucks 2183'!P85</f>
        <v>119503.72</v>
      </c>
      <c r="M85" s="35">
        <f>L85-L85*G85</f>
        <v>119503.72</v>
      </c>
      <c r="N85" s="35">
        <f t="shared" ref="N85:N117" si="75">M85/I85/12</f>
        <v>1422.6633333333332</v>
      </c>
      <c r="O85" s="35">
        <f t="shared" ref="O85:O115" si="76">+N85*12</f>
        <v>17071.96</v>
      </c>
      <c r="P85" s="35">
        <f t="shared" ref="P85:P116" si="77">+IF(K85&lt;=$M$5,0,IF(J85&gt;$M$4,O85,N85*F85))</f>
        <v>0</v>
      </c>
      <c r="Q85" s="35">
        <f t="shared" ref="Q85:Q118" si="78">+IF(P85=0,M85,IF($M$3-E85&lt;1,0,(($M$3-E85)*O85)))</f>
        <v>119503.72</v>
      </c>
      <c r="R85" s="35">
        <f t="shared" ref="R85:R118" si="79">+IF(P85=0,Q85,Q85+P85)</f>
        <v>119503.72</v>
      </c>
      <c r="S85" s="35">
        <f t="shared" ref="S85:S117" si="80">+L85-R85</f>
        <v>0</v>
      </c>
    </row>
    <row r="86" spans="1:19">
      <c r="A86" s="130"/>
      <c r="B86" s="130"/>
      <c r="C86" s="131">
        <v>4046</v>
      </c>
      <c r="D86" s="130" t="s">
        <v>676</v>
      </c>
      <c r="E86" s="130">
        <v>2019</v>
      </c>
      <c r="F86" s="130">
        <v>8</v>
      </c>
      <c r="G86" s="132">
        <v>0</v>
      </c>
      <c r="H86" s="130" t="s">
        <v>78</v>
      </c>
      <c r="I86" s="130">
        <f>+IF(J85-$M$4&gt;=3,J85-$M$4,3)</f>
        <v>3</v>
      </c>
      <c r="J86" s="130">
        <f t="shared" si="73"/>
        <v>2022</v>
      </c>
      <c r="K86" s="133">
        <f t="shared" si="74"/>
        <v>2022.6666666666667</v>
      </c>
      <c r="L86" s="134">
        <f>'Orig Trucks 2183'!N85-'Trucks 2183'!L85</f>
        <v>29875.929999999993</v>
      </c>
      <c r="M86" s="134">
        <f>L86-(L86*G86)</f>
        <v>29875.929999999993</v>
      </c>
      <c r="N86" s="134">
        <f t="shared" si="75"/>
        <v>829.88694444444434</v>
      </c>
      <c r="O86" s="134">
        <f>+N86*12</f>
        <v>9958.6433333333316</v>
      </c>
      <c r="P86" s="469">
        <f>+IF(K86&lt;=$M$5,0,IF(J86=$M$4,N86*F86,O86))/3</f>
        <v>2213.0318518518516</v>
      </c>
      <c r="Q86" s="134">
        <f t="shared" si="78"/>
        <v>19917.286666666663</v>
      </c>
      <c r="R86" s="134">
        <f t="shared" si="79"/>
        <v>22130.318518518514</v>
      </c>
      <c r="S86" s="134">
        <f t="shared" si="80"/>
        <v>7745.6114814814791</v>
      </c>
    </row>
    <row r="87" spans="1:19">
      <c r="A87" s="59" t="s">
        <v>283</v>
      </c>
      <c r="C87" s="59">
        <v>4047</v>
      </c>
      <c r="D87" s="59" t="s">
        <v>166</v>
      </c>
      <c r="E87" s="59">
        <v>2005</v>
      </c>
      <c r="F87" s="59">
        <v>11</v>
      </c>
      <c r="G87" s="30">
        <v>0</v>
      </c>
      <c r="H87" s="59" t="s">
        <v>78</v>
      </c>
      <c r="I87" s="59">
        <v>7</v>
      </c>
      <c r="J87" s="59">
        <f t="shared" si="73"/>
        <v>2012</v>
      </c>
      <c r="K87" s="26">
        <f t="shared" si="74"/>
        <v>2012.9166666666667</v>
      </c>
      <c r="L87" s="35">
        <f>'Orig Trucks 2183'!P86</f>
        <v>116925.36799999999</v>
      </c>
      <c r="M87" s="35">
        <f>L87-L87*G87</f>
        <v>116925.36799999999</v>
      </c>
      <c r="N87" s="35">
        <f t="shared" si="75"/>
        <v>1391.9686666666666</v>
      </c>
      <c r="O87" s="35">
        <f t="shared" si="76"/>
        <v>16703.624</v>
      </c>
      <c r="P87" s="35">
        <f t="shared" si="77"/>
        <v>0</v>
      </c>
      <c r="Q87" s="35">
        <f t="shared" si="78"/>
        <v>116925.36799999999</v>
      </c>
      <c r="R87" s="35">
        <f t="shared" si="79"/>
        <v>116925.36799999999</v>
      </c>
      <c r="S87" s="35">
        <f t="shared" si="80"/>
        <v>0</v>
      </c>
    </row>
    <row r="88" spans="1:19">
      <c r="A88" s="130"/>
      <c r="B88" s="130"/>
      <c r="C88" s="131">
        <v>4047</v>
      </c>
      <c r="D88" s="130" t="s">
        <v>677</v>
      </c>
      <c r="E88" s="130">
        <v>2019</v>
      </c>
      <c r="F88" s="130">
        <v>8</v>
      </c>
      <c r="G88" s="132">
        <v>0</v>
      </c>
      <c r="H88" s="130" t="s">
        <v>78</v>
      </c>
      <c r="I88" s="130">
        <f>+IF(J87-$M$4&gt;=3,J87-$M$4,3)</f>
        <v>3</v>
      </c>
      <c r="J88" s="130">
        <f t="shared" si="73"/>
        <v>2022</v>
      </c>
      <c r="K88" s="133">
        <f t="shared" si="74"/>
        <v>2022.6666666666667</v>
      </c>
      <c r="L88" s="134">
        <f>'Orig Trucks 2183'!N86-'Trucks 2183'!L87</f>
        <v>29231.342000000004</v>
      </c>
      <c r="M88" s="134">
        <f>L88-(L88*G88)</f>
        <v>29231.342000000004</v>
      </c>
      <c r="N88" s="134">
        <f t="shared" si="75"/>
        <v>811.98172222222229</v>
      </c>
      <c r="O88" s="134">
        <f>+N88*12</f>
        <v>9743.7806666666675</v>
      </c>
      <c r="P88" s="469">
        <f>+IF(K88&lt;=$M$5,0,IF(J88=$M$4,N88*F88,O88))/3</f>
        <v>2165.2845925925926</v>
      </c>
      <c r="Q88" s="134">
        <f t="shared" si="78"/>
        <v>19487.561333333335</v>
      </c>
      <c r="R88" s="134">
        <f t="shared" si="79"/>
        <v>21652.845925925929</v>
      </c>
      <c r="S88" s="134">
        <f t="shared" si="80"/>
        <v>7578.4960740740753</v>
      </c>
    </row>
    <row r="89" spans="1:19">
      <c r="A89" s="59" t="s">
        <v>283</v>
      </c>
      <c r="B89" s="28">
        <v>114283</v>
      </c>
      <c r="C89" s="59">
        <v>4049</v>
      </c>
      <c r="D89" s="59" t="s">
        <v>550</v>
      </c>
      <c r="E89" s="59">
        <v>2006</v>
      </c>
      <c r="F89" s="59">
        <v>4</v>
      </c>
      <c r="G89" s="30">
        <v>0</v>
      </c>
      <c r="H89" s="59" t="s">
        <v>78</v>
      </c>
      <c r="I89" s="59">
        <v>7</v>
      </c>
      <c r="J89" s="59">
        <f t="shared" si="73"/>
        <v>2013</v>
      </c>
      <c r="K89" s="26">
        <f t="shared" si="74"/>
        <v>2013.3333333333333</v>
      </c>
      <c r="L89" s="35">
        <v>0</v>
      </c>
      <c r="M89" s="35">
        <f>L89-L89*G89</f>
        <v>0</v>
      </c>
      <c r="N89" s="35">
        <f t="shared" si="75"/>
        <v>0</v>
      </c>
      <c r="O89" s="35">
        <f t="shared" si="76"/>
        <v>0</v>
      </c>
      <c r="P89" s="35">
        <f t="shared" si="77"/>
        <v>0</v>
      </c>
      <c r="Q89" s="35">
        <f t="shared" si="78"/>
        <v>0</v>
      </c>
      <c r="R89" s="35">
        <f t="shared" si="79"/>
        <v>0</v>
      </c>
      <c r="S89" s="35">
        <f t="shared" si="80"/>
        <v>0</v>
      </c>
    </row>
    <row r="90" spans="1:19">
      <c r="A90" s="130"/>
      <c r="B90" s="130"/>
      <c r="C90" s="131">
        <v>4049</v>
      </c>
      <c r="D90" s="130" t="s">
        <v>678</v>
      </c>
      <c r="E90" s="130">
        <v>2019</v>
      </c>
      <c r="F90" s="130">
        <v>8</v>
      </c>
      <c r="G90" s="132">
        <v>0</v>
      </c>
      <c r="H90" s="130" t="s">
        <v>78</v>
      </c>
      <c r="I90" s="130">
        <f>+IF(J89-$M$4&gt;=3,J89-$M$4,3)</f>
        <v>3</v>
      </c>
      <c r="J90" s="130">
        <f t="shared" si="73"/>
        <v>2022</v>
      </c>
      <c r="K90" s="133">
        <f t="shared" si="74"/>
        <v>2022.6666666666667</v>
      </c>
      <c r="L90" s="134">
        <v>0</v>
      </c>
      <c r="M90" s="134">
        <f>L90-(L90*G90)</f>
        <v>0</v>
      </c>
      <c r="N90" s="134">
        <f t="shared" si="75"/>
        <v>0</v>
      </c>
      <c r="O90" s="134">
        <f>+N90*12</f>
        <v>0</v>
      </c>
      <c r="P90" s="469">
        <f>+IF(K90&lt;=$M$5,0,IF(J90=$M$4,N90*F90,O90))/3</f>
        <v>0</v>
      </c>
      <c r="Q90" s="134">
        <f t="shared" si="78"/>
        <v>0</v>
      </c>
      <c r="R90" s="134">
        <f t="shared" si="79"/>
        <v>0</v>
      </c>
      <c r="S90" s="134">
        <f t="shared" si="80"/>
        <v>0</v>
      </c>
    </row>
    <row r="91" spans="1:19">
      <c r="A91" s="59" t="s">
        <v>283</v>
      </c>
      <c r="C91" s="59">
        <v>4049</v>
      </c>
      <c r="D91" s="59" t="s">
        <v>549</v>
      </c>
      <c r="E91" s="59">
        <v>2006</v>
      </c>
      <c r="F91" s="59">
        <v>4</v>
      </c>
      <c r="G91" s="30">
        <v>0</v>
      </c>
      <c r="H91" s="59" t="s">
        <v>78</v>
      </c>
      <c r="I91" s="59">
        <v>7</v>
      </c>
      <c r="J91" s="59">
        <f t="shared" si="73"/>
        <v>2013</v>
      </c>
      <c r="K91" s="26">
        <f t="shared" si="74"/>
        <v>2013.3333333333333</v>
      </c>
      <c r="L91" s="35">
        <v>0</v>
      </c>
      <c r="M91" s="35">
        <f>L91-L91*G91</f>
        <v>0</v>
      </c>
      <c r="N91" s="35">
        <f t="shared" si="75"/>
        <v>0</v>
      </c>
      <c r="O91" s="35">
        <f t="shared" si="76"/>
        <v>0</v>
      </c>
      <c r="P91" s="35">
        <f t="shared" si="77"/>
        <v>0</v>
      </c>
      <c r="Q91" s="35">
        <f t="shared" si="78"/>
        <v>0</v>
      </c>
      <c r="R91" s="35">
        <f t="shared" si="79"/>
        <v>0</v>
      </c>
      <c r="S91" s="35">
        <f t="shared" si="80"/>
        <v>0</v>
      </c>
    </row>
    <row r="92" spans="1:19">
      <c r="A92" s="130"/>
      <c r="B92" s="130"/>
      <c r="C92" s="131">
        <v>4049</v>
      </c>
      <c r="D92" s="130" t="s">
        <v>678</v>
      </c>
      <c r="E92" s="130">
        <v>2019</v>
      </c>
      <c r="F92" s="130">
        <v>8</v>
      </c>
      <c r="G92" s="132">
        <v>0</v>
      </c>
      <c r="H92" s="130" t="s">
        <v>78</v>
      </c>
      <c r="I92" s="130">
        <f>+IF(J91-$M$4&gt;=3,J91-$M$4,3)</f>
        <v>3</v>
      </c>
      <c r="J92" s="130">
        <f t="shared" si="73"/>
        <v>2022</v>
      </c>
      <c r="K92" s="133">
        <f t="shared" si="74"/>
        <v>2022.6666666666667</v>
      </c>
      <c r="L92" s="134">
        <v>0</v>
      </c>
      <c r="M92" s="134">
        <f>L92-(L92*G92)</f>
        <v>0</v>
      </c>
      <c r="N92" s="134">
        <f t="shared" si="75"/>
        <v>0</v>
      </c>
      <c r="O92" s="134">
        <f>+N92*12</f>
        <v>0</v>
      </c>
      <c r="P92" s="469">
        <f>+IF(K92&lt;=$M$5,0,IF(J92=$M$4,N92*F92,O92))/3</f>
        <v>0</v>
      </c>
      <c r="Q92" s="134">
        <f t="shared" si="78"/>
        <v>0</v>
      </c>
      <c r="R92" s="134">
        <f t="shared" si="79"/>
        <v>0</v>
      </c>
      <c r="S92" s="134">
        <f t="shared" si="80"/>
        <v>0</v>
      </c>
    </row>
    <row r="93" spans="1:19">
      <c r="A93" s="59" t="s">
        <v>283</v>
      </c>
      <c r="C93" s="59">
        <v>4054</v>
      </c>
      <c r="D93" s="59" t="s">
        <v>167</v>
      </c>
      <c r="E93" s="59">
        <v>2006</v>
      </c>
      <c r="F93" s="59">
        <v>12</v>
      </c>
      <c r="G93" s="30">
        <v>0</v>
      </c>
      <c r="H93" s="59" t="s">
        <v>78</v>
      </c>
      <c r="I93" s="59">
        <v>7</v>
      </c>
      <c r="J93" s="59">
        <f t="shared" si="73"/>
        <v>2013</v>
      </c>
      <c r="K93" s="26">
        <f t="shared" si="74"/>
        <v>2014</v>
      </c>
      <c r="L93" s="35">
        <f>'Orig Trucks 2183'!P89</f>
        <v>121228.32800000001</v>
      </c>
      <c r="M93" s="35">
        <f>L93-L93*G93</f>
        <v>121228.32800000001</v>
      </c>
      <c r="N93" s="35">
        <f t="shared" si="75"/>
        <v>1443.1943809523809</v>
      </c>
      <c r="O93" s="35">
        <f t="shared" si="76"/>
        <v>17318.332571428571</v>
      </c>
      <c r="P93" s="35">
        <f t="shared" si="77"/>
        <v>0</v>
      </c>
      <c r="Q93" s="35">
        <f t="shared" si="78"/>
        <v>121228.32800000001</v>
      </c>
      <c r="R93" s="35">
        <f t="shared" si="79"/>
        <v>121228.32800000001</v>
      </c>
      <c r="S93" s="35">
        <f t="shared" si="80"/>
        <v>0</v>
      </c>
    </row>
    <row r="94" spans="1:19">
      <c r="A94" s="130"/>
      <c r="B94" s="131"/>
      <c r="C94" s="131">
        <v>4054</v>
      </c>
      <c r="D94" s="130" t="s">
        <v>679</v>
      </c>
      <c r="E94" s="130">
        <v>2019</v>
      </c>
      <c r="F94" s="130">
        <v>8</v>
      </c>
      <c r="G94" s="132">
        <v>0</v>
      </c>
      <c r="H94" s="130" t="s">
        <v>78</v>
      </c>
      <c r="I94" s="130">
        <f>+IF(J93-$M$4&gt;=3,J93-$M$4,3)</f>
        <v>3</v>
      </c>
      <c r="J94" s="130">
        <f t="shared" si="73"/>
        <v>2022</v>
      </c>
      <c r="K94" s="133">
        <f t="shared" si="74"/>
        <v>2022.6666666666667</v>
      </c>
      <c r="L94" s="134">
        <f>'Orig Trucks 2183'!N89-'Trucks 2183'!L93</f>
        <v>30307.081999999995</v>
      </c>
      <c r="M94" s="134">
        <f>L94-(L94*G94)</f>
        <v>30307.081999999995</v>
      </c>
      <c r="N94" s="134">
        <f t="shared" si="75"/>
        <v>841.86338888888884</v>
      </c>
      <c r="O94" s="134">
        <f>+N94*12</f>
        <v>10102.360666666666</v>
      </c>
      <c r="P94" s="469">
        <f>+IF(K94&lt;=$M$5,0,IF(J94=$M$4,N94*F94,O94))/3</f>
        <v>2244.9690370370367</v>
      </c>
      <c r="Q94" s="134">
        <f t="shared" si="78"/>
        <v>20204.721333333331</v>
      </c>
      <c r="R94" s="134">
        <f t="shared" si="79"/>
        <v>22449.690370370368</v>
      </c>
      <c r="S94" s="134">
        <f t="shared" si="80"/>
        <v>7857.3916296296266</v>
      </c>
    </row>
    <row r="95" spans="1:19">
      <c r="A95" s="59" t="s">
        <v>283</v>
      </c>
      <c r="C95" s="59">
        <v>4054</v>
      </c>
      <c r="D95" s="59" t="s">
        <v>289</v>
      </c>
      <c r="E95" s="59">
        <v>2007</v>
      </c>
      <c r="F95" s="59">
        <v>1</v>
      </c>
      <c r="G95" s="30">
        <v>0</v>
      </c>
      <c r="H95" s="59" t="s">
        <v>78</v>
      </c>
      <c r="I95" s="59">
        <v>7</v>
      </c>
      <c r="J95" s="59">
        <f t="shared" si="73"/>
        <v>2014</v>
      </c>
      <c r="K95" s="26">
        <f t="shared" si="74"/>
        <v>2014.0833333333333</v>
      </c>
      <c r="L95" s="35">
        <f>'Orig Trucks 2183'!P90</f>
        <v>3133.3040000000001</v>
      </c>
      <c r="M95" s="35">
        <f>L95-L95*G95</f>
        <v>3133.3040000000001</v>
      </c>
      <c r="N95" s="35">
        <f t="shared" si="75"/>
        <v>37.301238095238098</v>
      </c>
      <c r="O95" s="35">
        <f t="shared" si="76"/>
        <v>447.6148571428572</v>
      </c>
      <c r="P95" s="35">
        <f t="shared" si="77"/>
        <v>0</v>
      </c>
      <c r="Q95" s="35">
        <f t="shared" si="78"/>
        <v>3133.3040000000001</v>
      </c>
      <c r="R95" s="35">
        <f t="shared" si="79"/>
        <v>3133.3040000000001</v>
      </c>
      <c r="S95" s="35">
        <f t="shared" si="80"/>
        <v>0</v>
      </c>
    </row>
    <row r="96" spans="1:19">
      <c r="A96" s="130"/>
      <c r="B96" s="130"/>
      <c r="C96" s="131">
        <v>4054</v>
      </c>
      <c r="D96" s="130" t="s">
        <v>679</v>
      </c>
      <c r="E96" s="130">
        <v>2019</v>
      </c>
      <c r="F96" s="130">
        <v>8</v>
      </c>
      <c r="G96" s="132">
        <v>0</v>
      </c>
      <c r="H96" s="130" t="s">
        <v>78</v>
      </c>
      <c r="I96" s="130">
        <f>+IF(J95-$M$4&gt;=3,J95-$M$4,3)</f>
        <v>3</v>
      </c>
      <c r="J96" s="130">
        <f t="shared" si="73"/>
        <v>2022</v>
      </c>
      <c r="K96" s="133">
        <f t="shared" si="74"/>
        <v>2022.6666666666667</v>
      </c>
      <c r="L96" s="134">
        <f>'Orig Trucks 2183'!N90-'Trucks 2183'!L95</f>
        <v>783.32600000000002</v>
      </c>
      <c r="M96" s="134">
        <f>L96-(L96*G96)</f>
        <v>783.32600000000002</v>
      </c>
      <c r="N96" s="134">
        <f t="shared" si="75"/>
        <v>21.759055555555559</v>
      </c>
      <c r="O96" s="134">
        <f>+N96*12</f>
        <v>261.10866666666669</v>
      </c>
      <c r="P96" s="469">
        <f>+IF(K96&lt;=$M$5,0,IF(J96=$M$4,N96*F96,O96))/3</f>
        <v>58.024148148148157</v>
      </c>
      <c r="Q96" s="134">
        <f t="shared" si="78"/>
        <v>522.21733333333339</v>
      </c>
      <c r="R96" s="134">
        <f t="shared" si="79"/>
        <v>580.24148148148151</v>
      </c>
      <c r="S96" s="134">
        <f t="shared" si="80"/>
        <v>203.08451851851851</v>
      </c>
    </row>
    <row r="97" spans="1:19">
      <c r="A97" s="59" t="s">
        <v>283</v>
      </c>
      <c r="C97" s="59">
        <v>4061</v>
      </c>
      <c r="D97" s="59" t="s">
        <v>332</v>
      </c>
      <c r="E97" s="59">
        <v>2007</v>
      </c>
      <c r="F97" s="59">
        <v>9</v>
      </c>
      <c r="G97" s="30">
        <v>0</v>
      </c>
      <c r="H97" s="59" t="s">
        <v>78</v>
      </c>
      <c r="I97" s="59">
        <v>7</v>
      </c>
      <c r="J97" s="59">
        <f t="shared" si="73"/>
        <v>2014</v>
      </c>
      <c r="K97" s="26">
        <f t="shared" si="74"/>
        <v>2014.75</v>
      </c>
      <c r="L97" s="35">
        <f>'Orig Trucks 2183'!P91</f>
        <v>125728.91200000001</v>
      </c>
      <c r="M97" s="35">
        <f>L97-L97*G97</f>
        <v>125728.91200000001</v>
      </c>
      <c r="N97" s="35">
        <f t="shared" si="75"/>
        <v>1496.7727619047621</v>
      </c>
      <c r="O97" s="35">
        <f t="shared" si="76"/>
        <v>17961.273142857146</v>
      </c>
      <c r="P97" s="35">
        <f t="shared" si="77"/>
        <v>0</v>
      </c>
      <c r="Q97" s="35">
        <f t="shared" si="78"/>
        <v>125728.91200000001</v>
      </c>
      <c r="R97" s="35">
        <f t="shared" si="79"/>
        <v>125728.91200000001</v>
      </c>
      <c r="S97" s="35">
        <f t="shared" si="80"/>
        <v>0</v>
      </c>
    </row>
    <row r="98" spans="1:19">
      <c r="A98" s="130"/>
      <c r="B98" s="130"/>
      <c r="C98" s="131">
        <v>4061</v>
      </c>
      <c r="D98" s="130" t="s">
        <v>680</v>
      </c>
      <c r="E98" s="130">
        <v>2019</v>
      </c>
      <c r="F98" s="130">
        <v>8</v>
      </c>
      <c r="G98" s="132">
        <v>0</v>
      </c>
      <c r="H98" s="130" t="s">
        <v>78</v>
      </c>
      <c r="I98" s="130">
        <f>+IF(J97-$M$4&gt;=3,J97-$M$4,3)</f>
        <v>3</v>
      </c>
      <c r="J98" s="130">
        <f t="shared" si="73"/>
        <v>2022</v>
      </c>
      <c r="K98" s="133">
        <f t="shared" si="74"/>
        <v>2022.6666666666667</v>
      </c>
      <c r="L98" s="134">
        <f>'Orig Trucks 2183'!N91-'Trucks 2183'!L97</f>
        <v>31432.228000000003</v>
      </c>
      <c r="M98" s="134">
        <f>L98-(L98*G98)</f>
        <v>31432.228000000003</v>
      </c>
      <c r="N98" s="134">
        <f t="shared" si="75"/>
        <v>873.11744444444457</v>
      </c>
      <c r="O98" s="134">
        <f>+N98*12</f>
        <v>10477.409333333335</v>
      </c>
      <c r="P98" s="469">
        <f>+IF(K98&lt;=$M$5,0,IF(J98=$M$4,N98*F98,O98))/3</f>
        <v>2328.3131851851854</v>
      </c>
      <c r="Q98" s="134">
        <f t="shared" si="78"/>
        <v>20954.81866666667</v>
      </c>
      <c r="R98" s="134">
        <f t="shared" si="79"/>
        <v>23283.131851851856</v>
      </c>
      <c r="S98" s="134">
        <f t="shared" si="80"/>
        <v>8149.0961481481463</v>
      </c>
    </row>
    <row r="99" spans="1:19">
      <c r="A99" s="59" t="s">
        <v>283</v>
      </c>
      <c r="B99" s="28">
        <v>114285</v>
      </c>
      <c r="C99" s="59">
        <v>4062</v>
      </c>
      <c r="D99" s="59" t="s">
        <v>551</v>
      </c>
      <c r="E99" s="59">
        <v>2007</v>
      </c>
      <c r="F99" s="59">
        <v>11</v>
      </c>
      <c r="G99" s="30">
        <v>0</v>
      </c>
      <c r="H99" s="59" t="s">
        <v>78</v>
      </c>
      <c r="I99" s="59">
        <v>7</v>
      </c>
      <c r="J99" s="59">
        <f t="shared" si="73"/>
        <v>2014</v>
      </c>
      <c r="K99" s="26">
        <f t="shared" si="74"/>
        <v>2014.9166666666667</v>
      </c>
      <c r="L99" s="35">
        <v>0</v>
      </c>
      <c r="M99" s="35">
        <f>L99-L99*G99</f>
        <v>0</v>
      </c>
      <c r="N99" s="35">
        <f t="shared" si="75"/>
        <v>0</v>
      </c>
      <c r="O99" s="35">
        <f t="shared" si="76"/>
        <v>0</v>
      </c>
      <c r="P99" s="35">
        <f t="shared" si="77"/>
        <v>0</v>
      </c>
      <c r="Q99" s="35">
        <f t="shared" si="78"/>
        <v>0</v>
      </c>
      <c r="R99" s="35">
        <f t="shared" si="79"/>
        <v>0</v>
      </c>
      <c r="S99" s="35">
        <f t="shared" si="80"/>
        <v>0</v>
      </c>
    </row>
    <row r="100" spans="1:19">
      <c r="A100" s="130"/>
      <c r="B100" s="130"/>
      <c r="C100" s="131">
        <v>4062</v>
      </c>
      <c r="D100" s="130" t="s">
        <v>681</v>
      </c>
      <c r="E100" s="130">
        <v>2019</v>
      </c>
      <c r="F100" s="130">
        <v>8</v>
      </c>
      <c r="G100" s="132">
        <v>0</v>
      </c>
      <c r="H100" s="130" t="s">
        <v>78</v>
      </c>
      <c r="I100" s="130">
        <f>+IF(J99-$M$4&gt;=3,J99-$M$4,3)</f>
        <v>3</v>
      </c>
      <c r="J100" s="130">
        <f t="shared" si="73"/>
        <v>2022</v>
      </c>
      <c r="K100" s="133">
        <f t="shared" si="74"/>
        <v>2022.6666666666667</v>
      </c>
      <c r="L100" s="134">
        <v>0</v>
      </c>
      <c r="M100" s="134">
        <f>L100-(L100*G100)</f>
        <v>0</v>
      </c>
      <c r="N100" s="134">
        <f t="shared" si="75"/>
        <v>0</v>
      </c>
      <c r="O100" s="134">
        <f>+N100*12</f>
        <v>0</v>
      </c>
      <c r="P100" s="469">
        <f>+IF(K100&lt;=$M$5,0,IF(J100=$M$4,N100*F100,O100))/3</f>
        <v>0</v>
      </c>
      <c r="Q100" s="134">
        <f t="shared" si="78"/>
        <v>0</v>
      </c>
      <c r="R100" s="134">
        <f t="shared" si="79"/>
        <v>0</v>
      </c>
      <c r="S100" s="134">
        <f t="shared" si="80"/>
        <v>0</v>
      </c>
    </row>
    <row r="101" spans="1:19">
      <c r="A101" s="59" t="s">
        <v>283</v>
      </c>
      <c r="C101" s="59">
        <v>4068</v>
      </c>
      <c r="D101" s="59" t="s">
        <v>425</v>
      </c>
      <c r="E101" s="59">
        <v>2008</v>
      </c>
      <c r="F101" s="59">
        <v>10</v>
      </c>
      <c r="G101" s="30">
        <v>0</v>
      </c>
      <c r="H101" s="59" t="s">
        <v>78</v>
      </c>
      <c r="I101" s="59">
        <v>7</v>
      </c>
      <c r="J101" s="59">
        <f t="shared" si="73"/>
        <v>2015</v>
      </c>
      <c r="K101" s="26">
        <f t="shared" si="74"/>
        <v>2015.8333333333333</v>
      </c>
      <c r="L101" s="35">
        <f>'Orig Trucks 2183'!P93</f>
        <v>132388.56</v>
      </c>
      <c r="M101" s="35">
        <f>L101-L101*G101</f>
        <v>132388.56</v>
      </c>
      <c r="N101" s="35">
        <f t="shared" si="75"/>
        <v>1576.0542857142857</v>
      </c>
      <c r="O101" s="35">
        <f t="shared" si="76"/>
        <v>18912.651428571429</v>
      </c>
      <c r="P101" s="35">
        <f t="shared" si="77"/>
        <v>0</v>
      </c>
      <c r="Q101" s="35">
        <f t="shared" si="78"/>
        <v>132388.56</v>
      </c>
      <c r="R101" s="35">
        <f t="shared" si="79"/>
        <v>132388.56</v>
      </c>
      <c r="S101" s="35">
        <f t="shared" si="80"/>
        <v>0</v>
      </c>
    </row>
    <row r="102" spans="1:19">
      <c r="A102" s="130"/>
      <c r="B102" s="131"/>
      <c r="C102" s="131">
        <v>4068</v>
      </c>
      <c r="D102" s="130" t="s">
        <v>682</v>
      </c>
      <c r="E102" s="130">
        <v>2019</v>
      </c>
      <c r="F102" s="130">
        <v>8</v>
      </c>
      <c r="G102" s="132">
        <v>0</v>
      </c>
      <c r="H102" s="130" t="s">
        <v>78</v>
      </c>
      <c r="I102" s="130">
        <f>+IF(J101-$M$4&gt;=3,J101-$M$4,3)</f>
        <v>3</v>
      </c>
      <c r="J102" s="130">
        <f t="shared" si="73"/>
        <v>2022</v>
      </c>
      <c r="K102" s="133">
        <f t="shared" si="74"/>
        <v>2022.6666666666667</v>
      </c>
      <c r="L102" s="134">
        <f>'Orig Trucks 2183'!N93-'Trucks 2183'!L101</f>
        <v>33097.140000000014</v>
      </c>
      <c r="M102" s="134">
        <f>L102-(L102*G102)</f>
        <v>33097.140000000014</v>
      </c>
      <c r="N102" s="134">
        <f t="shared" si="75"/>
        <v>919.36500000000035</v>
      </c>
      <c r="O102" s="134">
        <f>+N102*12</f>
        <v>11032.380000000005</v>
      </c>
      <c r="P102" s="469">
        <f>+IF(K102&lt;=$M$5,0,IF(J102=$M$4,N102*F102,O102))/3</f>
        <v>2451.6400000000008</v>
      </c>
      <c r="Q102" s="134">
        <f t="shared" si="78"/>
        <v>22064.760000000009</v>
      </c>
      <c r="R102" s="134">
        <f t="shared" si="79"/>
        <v>24516.400000000009</v>
      </c>
      <c r="S102" s="134">
        <f t="shared" si="80"/>
        <v>8580.7400000000052</v>
      </c>
    </row>
    <row r="103" spans="1:19">
      <c r="B103" s="28">
        <v>88721</v>
      </c>
      <c r="D103" s="59" t="s">
        <v>437</v>
      </c>
      <c r="E103" s="59">
        <v>2011</v>
      </c>
      <c r="F103" s="59">
        <v>12</v>
      </c>
      <c r="G103" s="30">
        <v>0</v>
      </c>
      <c r="H103" s="59" t="s">
        <v>78</v>
      </c>
      <c r="I103" s="59">
        <v>5</v>
      </c>
      <c r="J103" s="59">
        <f t="shared" si="73"/>
        <v>2016</v>
      </c>
      <c r="K103" s="26">
        <f t="shared" si="74"/>
        <v>2017</v>
      </c>
      <c r="L103" s="35">
        <f>487.65*11</f>
        <v>5364.15</v>
      </c>
      <c r="M103" s="35">
        <f t="shared" ref="M103:M117" si="81">L103-L103*G103</f>
        <v>5364.15</v>
      </c>
      <c r="N103" s="35">
        <f t="shared" si="75"/>
        <v>89.402499999999989</v>
      </c>
      <c r="O103" s="35">
        <f t="shared" si="76"/>
        <v>1072.83</v>
      </c>
      <c r="P103" s="35">
        <f t="shared" si="77"/>
        <v>0</v>
      </c>
      <c r="Q103" s="35">
        <f t="shared" si="78"/>
        <v>5364.15</v>
      </c>
      <c r="R103" s="35">
        <f t="shared" si="79"/>
        <v>5364.15</v>
      </c>
      <c r="S103" s="35">
        <f t="shared" si="80"/>
        <v>0</v>
      </c>
    </row>
    <row r="104" spans="1:19">
      <c r="B104" s="28">
        <v>114284</v>
      </c>
      <c r="C104" s="59">
        <v>4049</v>
      </c>
      <c r="D104" s="59" t="s">
        <v>553</v>
      </c>
      <c r="E104" s="59">
        <v>2013</v>
      </c>
      <c r="F104" s="59">
        <v>10</v>
      </c>
      <c r="G104" s="30">
        <v>0</v>
      </c>
      <c r="H104" s="59" t="s">
        <v>78</v>
      </c>
      <c r="I104" s="59">
        <v>3</v>
      </c>
      <c r="J104" s="59">
        <f t="shared" si="73"/>
        <v>2016</v>
      </c>
      <c r="K104" s="26">
        <f t="shared" si="74"/>
        <v>2016.8333333333333</v>
      </c>
      <c r="L104" s="35">
        <v>8837.86</v>
      </c>
      <c r="M104" s="35">
        <f t="shared" si="81"/>
        <v>8837.86</v>
      </c>
      <c r="N104" s="35">
        <f t="shared" si="75"/>
        <v>245.49611111111111</v>
      </c>
      <c r="O104" s="35">
        <f t="shared" si="76"/>
        <v>2945.9533333333334</v>
      </c>
      <c r="P104" s="35">
        <f t="shared" si="77"/>
        <v>0</v>
      </c>
      <c r="Q104" s="35">
        <f t="shared" si="78"/>
        <v>8837.86</v>
      </c>
      <c r="R104" s="35">
        <f t="shared" si="79"/>
        <v>8837.86</v>
      </c>
      <c r="S104" s="35">
        <f t="shared" si="80"/>
        <v>0</v>
      </c>
    </row>
    <row r="105" spans="1:19">
      <c r="B105" s="28">
        <v>114286</v>
      </c>
      <c r="C105" s="59">
        <v>4062</v>
      </c>
      <c r="D105" s="59" t="s">
        <v>552</v>
      </c>
      <c r="E105" s="59">
        <v>2013</v>
      </c>
      <c r="F105" s="59">
        <v>11</v>
      </c>
      <c r="G105" s="30">
        <v>0</v>
      </c>
      <c r="H105" s="59" t="s">
        <v>78</v>
      </c>
      <c r="I105" s="59">
        <v>3</v>
      </c>
      <c r="J105" s="59">
        <f t="shared" si="73"/>
        <v>2016</v>
      </c>
      <c r="K105" s="26">
        <f t="shared" si="74"/>
        <v>2016.9166666666667</v>
      </c>
      <c r="L105" s="35">
        <v>8837.86</v>
      </c>
      <c r="M105" s="35">
        <f t="shared" si="81"/>
        <v>8837.86</v>
      </c>
      <c r="N105" s="35">
        <f t="shared" si="75"/>
        <v>245.49611111111111</v>
      </c>
      <c r="O105" s="35">
        <f t="shared" si="76"/>
        <v>2945.9533333333334</v>
      </c>
      <c r="P105" s="35">
        <f t="shared" si="77"/>
        <v>0</v>
      </c>
      <c r="Q105" s="35">
        <f t="shared" si="78"/>
        <v>8837.86</v>
      </c>
      <c r="R105" s="35">
        <f t="shared" si="79"/>
        <v>8837.86</v>
      </c>
      <c r="S105" s="35">
        <f t="shared" si="80"/>
        <v>0</v>
      </c>
    </row>
    <row r="106" spans="1:19">
      <c r="B106" s="28">
        <v>109182</v>
      </c>
      <c r="C106" s="59">
        <v>4046</v>
      </c>
      <c r="D106" s="59" t="s">
        <v>494</v>
      </c>
      <c r="E106" s="59">
        <v>2013</v>
      </c>
      <c r="F106" s="59">
        <v>10</v>
      </c>
      <c r="G106" s="30">
        <v>0</v>
      </c>
      <c r="H106" s="59" t="s">
        <v>78</v>
      </c>
      <c r="I106" s="59">
        <v>3</v>
      </c>
      <c r="J106" s="59">
        <f t="shared" si="73"/>
        <v>2016</v>
      </c>
      <c r="K106" s="26">
        <f t="shared" si="74"/>
        <v>2016.8333333333333</v>
      </c>
      <c r="L106" s="35">
        <v>8837.86</v>
      </c>
      <c r="M106" s="35">
        <f t="shared" si="81"/>
        <v>8837.86</v>
      </c>
      <c r="N106" s="35">
        <f t="shared" si="75"/>
        <v>245.49611111111111</v>
      </c>
      <c r="O106" s="35">
        <f t="shared" si="76"/>
        <v>2945.9533333333334</v>
      </c>
      <c r="P106" s="35">
        <f t="shared" si="77"/>
        <v>0</v>
      </c>
      <c r="Q106" s="35">
        <f t="shared" si="78"/>
        <v>8837.86</v>
      </c>
      <c r="R106" s="35">
        <f t="shared" si="79"/>
        <v>8837.86</v>
      </c>
      <c r="S106" s="35">
        <f t="shared" si="80"/>
        <v>0</v>
      </c>
    </row>
    <row r="107" spans="1:19">
      <c r="B107" s="28">
        <v>109180</v>
      </c>
      <c r="C107" s="59">
        <v>4047</v>
      </c>
      <c r="D107" s="59" t="s">
        <v>495</v>
      </c>
      <c r="E107" s="59">
        <v>2013</v>
      </c>
      <c r="F107" s="59">
        <v>10</v>
      </c>
      <c r="G107" s="30">
        <v>0</v>
      </c>
      <c r="H107" s="59" t="s">
        <v>78</v>
      </c>
      <c r="I107" s="59">
        <v>3</v>
      </c>
      <c r="J107" s="59">
        <f t="shared" si="73"/>
        <v>2016</v>
      </c>
      <c r="K107" s="26">
        <f t="shared" si="74"/>
        <v>2016.8333333333333</v>
      </c>
      <c r="L107" s="35">
        <v>8837.86</v>
      </c>
      <c r="M107" s="35">
        <f t="shared" si="81"/>
        <v>8837.86</v>
      </c>
      <c r="N107" s="35">
        <f t="shared" si="75"/>
        <v>245.49611111111111</v>
      </c>
      <c r="O107" s="35">
        <f t="shared" si="76"/>
        <v>2945.9533333333334</v>
      </c>
      <c r="P107" s="35">
        <f t="shared" si="77"/>
        <v>0</v>
      </c>
      <c r="Q107" s="35">
        <f t="shared" si="78"/>
        <v>8837.86</v>
      </c>
      <c r="R107" s="35">
        <f t="shared" si="79"/>
        <v>8837.86</v>
      </c>
      <c r="S107" s="35">
        <f t="shared" si="80"/>
        <v>0</v>
      </c>
    </row>
    <row r="108" spans="1:19">
      <c r="B108" s="28">
        <v>109181</v>
      </c>
      <c r="C108" s="59">
        <v>4061</v>
      </c>
      <c r="D108" s="59" t="s">
        <v>496</v>
      </c>
      <c r="E108" s="59">
        <v>2013</v>
      </c>
      <c r="F108" s="59">
        <v>10</v>
      </c>
      <c r="G108" s="30">
        <v>0</v>
      </c>
      <c r="H108" s="59" t="s">
        <v>78</v>
      </c>
      <c r="I108" s="59">
        <v>3</v>
      </c>
      <c r="J108" s="59">
        <f t="shared" si="73"/>
        <v>2016</v>
      </c>
      <c r="K108" s="26">
        <f t="shared" si="74"/>
        <v>2016.8333333333333</v>
      </c>
      <c r="L108" s="35">
        <v>8837.86</v>
      </c>
      <c r="M108" s="35">
        <f t="shared" si="81"/>
        <v>8837.86</v>
      </c>
      <c r="N108" s="35">
        <f t="shared" si="75"/>
        <v>245.49611111111111</v>
      </c>
      <c r="O108" s="35">
        <f t="shared" si="76"/>
        <v>2945.9533333333334</v>
      </c>
      <c r="P108" s="35">
        <f t="shared" si="77"/>
        <v>0</v>
      </c>
      <c r="Q108" s="35">
        <f t="shared" si="78"/>
        <v>8837.86</v>
      </c>
      <c r="R108" s="35">
        <f t="shared" si="79"/>
        <v>8837.86</v>
      </c>
      <c r="S108" s="35">
        <f t="shared" si="80"/>
        <v>0</v>
      </c>
    </row>
    <row r="109" spans="1:19">
      <c r="B109" s="28">
        <v>108675</v>
      </c>
      <c r="C109" s="59">
        <v>4054</v>
      </c>
      <c r="D109" s="59" t="s">
        <v>498</v>
      </c>
      <c r="E109" s="59">
        <v>2013</v>
      </c>
      <c r="F109" s="59">
        <v>11</v>
      </c>
      <c r="G109" s="30">
        <v>0</v>
      </c>
      <c r="H109" s="59" t="s">
        <v>78</v>
      </c>
      <c r="I109" s="59">
        <v>3</v>
      </c>
      <c r="J109" s="59">
        <f t="shared" si="73"/>
        <v>2016</v>
      </c>
      <c r="K109" s="26">
        <f t="shared" si="74"/>
        <v>2016.9166666666667</v>
      </c>
      <c r="L109" s="35">
        <v>8837.86</v>
      </c>
      <c r="M109" s="35">
        <f t="shared" si="81"/>
        <v>8837.86</v>
      </c>
      <c r="N109" s="35">
        <f t="shared" si="75"/>
        <v>245.49611111111111</v>
      </c>
      <c r="O109" s="35">
        <f t="shared" si="76"/>
        <v>2945.9533333333334</v>
      </c>
      <c r="P109" s="35">
        <f t="shared" si="77"/>
        <v>0</v>
      </c>
      <c r="Q109" s="35">
        <f t="shared" si="78"/>
        <v>8837.86</v>
      </c>
      <c r="R109" s="35">
        <f t="shared" si="79"/>
        <v>8837.86</v>
      </c>
      <c r="S109" s="35">
        <f t="shared" si="80"/>
        <v>0</v>
      </c>
    </row>
    <row r="110" spans="1:19">
      <c r="B110" s="28">
        <v>108676</v>
      </c>
      <c r="C110" s="59">
        <v>4068</v>
      </c>
      <c r="D110" s="59" t="s">
        <v>497</v>
      </c>
      <c r="E110" s="59">
        <v>2013</v>
      </c>
      <c r="F110" s="59">
        <v>11</v>
      </c>
      <c r="G110" s="30">
        <v>0</v>
      </c>
      <c r="H110" s="59" t="s">
        <v>78</v>
      </c>
      <c r="I110" s="59">
        <v>3</v>
      </c>
      <c r="J110" s="59">
        <f t="shared" si="73"/>
        <v>2016</v>
      </c>
      <c r="K110" s="26">
        <f t="shared" si="74"/>
        <v>2016.9166666666667</v>
      </c>
      <c r="L110" s="35">
        <v>8837.86</v>
      </c>
      <c r="M110" s="35">
        <f t="shared" si="81"/>
        <v>8837.86</v>
      </c>
      <c r="N110" s="35">
        <f t="shared" si="75"/>
        <v>245.49611111111111</v>
      </c>
      <c r="O110" s="35">
        <f t="shared" si="76"/>
        <v>2945.9533333333334</v>
      </c>
      <c r="P110" s="35">
        <f t="shared" si="77"/>
        <v>0</v>
      </c>
      <c r="Q110" s="35">
        <f t="shared" si="78"/>
        <v>8837.86</v>
      </c>
      <c r="R110" s="35">
        <f t="shared" si="79"/>
        <v>8837.86</v>
      </c>
      <c r="S110" s="35">
        <f t="shared" si="80"/>
        <v>0</v>
      </c>
    </row>
    <row r="111" spans="1:19">
      <c r="B111" s="28">
        <v>122012</v>
      </c>
      <c r="C111" s="59">
        <v>4061</v>
      </c>
      <c r="D111" s="59" t="s">
        <v>571</v>
      </c>
      <c r="E111" s="59">
        <v>2015</v>
      </c>
      <c r="F111" s="59">
        <v>2</v>
      </c>
      <c r="G111" s="30">
        <v>0</v>
      </c>
      <c r="H111" s="59" t="s">
        <v>78</v>
      </c>
      <c r="I111" s="59">
        <v>3</v>
      </c>
      <c r="J111" s="59">
        <f t="shared" si="73"/>
        <v>2018</v>
      </c>
      <c r="K111" s="26">
        <f t="shared" si="74"/>
        <v>2018.1666666666667</v>
      </c>
      <c r="L111" s="35">
        <v>5574.98</v>
      </c>
      <c r="M111" s="35">
        <f t="shared" si="81"/>
        <v>5574.98</v>
      </c>
      <c r="N111" s="35">
        <f t="shared" si="75"/>
        <v>154.86055555555555</v>
      </c>
      <c r="O111" s="35">
        <f t="shared" si="76"/>
        <v>1858.3266666666666</v>
      </c>
      <c r="P111" s="35">
        <f t="shared" si="77"/>
        <v>0</v>
      </c>
      <c r="Q111" s="35">
        <f t="shared" si="78"/>
        <v>5574.98</v>
      </c>
      <c r="R111" s="35">
        <f t="shared" si="79"/>
        <v>5574.98</v>
      </c>
      <c r="S111" s="35">
        <f t="shared" si="80"/>
        <v>0</v>
      </c>
    </row>
    <row r="112" spans="1:19">
      <c r="B112" s="28" t="s">
        <v>593</v>
      </c>
      <c r="D112" s="59" t="s">
        <v>592</v>
      </c>
      <c r="E112" s="59">
        <v>2016</v>
      </c>
      <c r="F112" s="59">
        <v>4</v>
      </c>
      <c r="G112" s="30">
        <v>0</v>
      </c>
      <c r="H112" s="59" t="s">
        <v>78</v>
      </c>
      <c r="I112" s="59">
        <v>3</v>
      </c>
      <c r="J112" s="59">
        <f t="shared" si="73"/>
        <v>2019</v>
      </c>
      <c r="K112" s="26">
        <f t="shared" si="74"/>
        <v>2019.3333333333333</v>
      </c>
      <c r="L112" s="35">
        <f>((14612.94+16641.82+675)/75)*2</f>
        <v>851.46026666666671</v>
      </c>
      <c r="M112" s="35">
        <f t="shared" si="81"/>
        <v>851.46026666666671</v>
      </c>
      <c r="N112" s="35">
        <f t="shared" si="75"/>
        <v>23.651674074074077</v>
      </c>
      <c r="O112" s="35">
        <f t="shared" si="76"/>
        <v>283.8200888888889</v>
      </c>
      <c r="P112" s="35">
        <f t="shared" si="77"/>
        <v>0</v>
      </c>
      <c r="Q112" s="35">
        <f t="shared" si="78"/>
        <v>851.46026666666671</v>
      </c>
      <c r="R112" s="35">
        <f t="shared" si="79"/>
        <v>851.46026666666671</v>
      </c>
      <c r="S112" s="35">
        <f t="shared" si="80"/>
        <v>0</v>
      </c>
    </row>
    <row r="113" spans="1:19">
      <c r="B113" s="28">
        <v>169041</v>
      </c>
      <c r="C113" s="59">
        <v>4076</v>
      </c>
      <c r="D113" s="59" t="s">
        <v>597</v>
      </c>
      <c r="E113" s="59">
        <v>2016</v>
      </c>
      <c r="F113" s="59">
        <v>10</v>
      </c>
      <c r="G113" s="30">
        <v>0</v>
      </c>
      <c r="H113" s="59" t="s">
        <v>78</v>
      </c>
      <c r="I113" s="59">
        <v>10</v>
      </c>
      <c r="J113" s="59">
        <f t="shared" si="73"/>
        <v>2026</v>
      </c>
      <c r="K113" s="26">
        <f t="shared" si="74"/>
        <v>2026.8333333333333</v>
      </c>
      <c r="L113" s="35">
        <v>231607.35</v>
      </c>
      <c r="M113" s="35">
        <f t="shared" si="81"/>
        <v>231607.35</v>
      </c>
      <c r="N113" s="35">
        <f t="shared" si="75"/>
        <v>1930.06125</v>
      </c>
      <c r="O113" s="35">
        <f t="shared" si="76"/>
        <v>23160.735000000001</v>
      </c>
      <c r="P113" s="35">
        <f t="shared" si="77"/>
        <v>23160.735000000001</v>
      </c>
      <c r="Q113" s="35">
        <f t="shared" si="78"/>
        <v>115803.675</v>
      </c>
      <c r="R113" s="35">
        <f t="shared" si="79"/>
        <v>138964.41</v>
      </c>
      <c r="S113" s="35">
        <f t="shared" si="80"/>
        <v>92642.94</v>
      </c>
    </row>
    <row r="114" spans="1:19">
      <c r="B114" s="28">
        <v>186157</v>
      </c>
      <c r="C114" s="59">
        <v>4046</v>
      </c>
      <c r="D114" s="59" t="s">
        <v>631</v>
      </c>
      <c r="E114" s="59">
        <v>2017</v>
      </c>
      <c r="F114" s="59">
        <v>9</v>
      </c>
      <c r="G114" s="30">
        <v>0</v>
      </c>
      <c r="H114" s="59" t="s">
        <v>78</v>
      </c>
      <c r="I114" s="59">
        <v>3</v>
      </c>
      <c r="J114" s="59">
        <f t="shared" si="73"/>
        <v>2020</v>
      </c>
      <c r="K114" s="26">
        <f t="shared" si="74"/>
        <v>2020.75</v>
      </c>
      <c r="L114" s="35">
        <v>59424.88</v>
      </c>
      <c r="M114" s="35">
        <f t="shared" si="81"/>
        <v>59424.88</v>
      </c>
      <c r="N114" s="35">
        <f t="shared" si="75"/>
        <v>1650.691111111111</v>
      </c>
      <c r="O114" s="35">
        <f t="shared" si="76"/>
        <v>19808.293333333331</v>
      </c>
      <c r="P114" s="35">
        <f t="shared" si="77"/>
        <v>0</v>
      </c>
      <c r="Q114" s="35">
        <f t="shared" si="78"/>
        <v>59424.88</v>
      </c>
      <c r="R114" s="35">
        <f t="shared" si="79"/>
        <v>59424.88</v>
      </c>
      <c r="S114" s="35">
        <f t="shared" si="80"/>
        <v>0</v>
      </c>
    </row>
    <row r="115" spans="1:19">
      <c r="B115" s="28">
        <v>186158</v>
      </c>
      <c r="C115" s="59">
        <v>4047</v>
      </c>
      <c r="D115" s="59" t="s">
        <v>631</v>
      </c>
      <c r="E115" s="59">
        <v>2017</v>
      </c>
      <c r="F115" s="59">
        <v>9</v>
      </c>
      <c r="G115" s="30">
        <v>0</v>
      </c>
      <c r="H115" s="59" t="s">
        <v>78</v>
      </c>
      <c r="I115" s="59">
        <v>3</v>
      </c>
      <c r="J115" s="59">
        <f t="shared" si="73"/>
        <v>2020</v>
      </c>
      <c r="K115" s="26">
        <f t="shared" si="74"/>
        <v>2020.75</v>
      </c>
      <c r="L115" s="35">
        <v>59424.88</v>
      </c>
      <c r="M115" s="35">
        <f t="shared" si="81"/>
        <v>59424.88</v>
      </c>
      <c r="N115" s="35">
        <f t="shared" si="75"/>
        <v>1650.691111111111</v>
      </c>
      <c r="O115" s="35">
        <f t="shared" si="76"/>
        <v>19808.293333333331</v>
      </c>
      <c r="P115" s="35">
        <f t="shared" si="77"/>
        <v>0</v>
      </c>
      <c r="Q115" s="35">
        <f t="shared" si="78"/>
        <v>59424.88</v>
      </c>
      <c r="R115" s="35">
        <f t="shared" si="79"/>
        <v>59424.88</v>
      </c>
      <c r="S115" s="35">
        <f t="shared" si="80"/>
        <v>0</v>
      </c>
    </row>
    <row r="116" spans="1:19">
      <c r="B116" s="28" t="s">
        <v>714</v>
      </c>
      <c r="C116" s="59">
        <v>4059</v>
      </c>
      <c r="D116" s="59" t="s">
        <v>715</v>
      </c>
      <c r="E116" s="59">
        <v>2018</v>
      </c>
      <c r="F116" s="59">
        <v>1</v>
      </c>
      <c r="G116" s="30">
        <v>0</v>
      </c>
      <c r="H116" s="59" t="s">
        <v>78</v>
      </c>
      <c r="I116" s="59">
        <v>3</v>
      </c>
      <c r="J116" s="59">
        <f t="shared" si="73"/>
        <v>2021</v>
      </c>
      <c r="K116" s="26">
        <f t="shared" si="74"/>
        <v>2021.0833333333333</v>
      </c>
      <c r="L116" s="35">
        <v>60725.69</v>
      </c>
      <c r="M116" s="35">
        <f t="shared" si="81"/>
        <v>60725.69</v>
      </c>
      <c r="N116" s="35">
        <f t="shared" si="75"/>
        <v>1686.8247222222224</v>
      </c>
      <c r="O116" s="35">
        <f t="shared" ref="O116:O119" si="82">+N116*12</f>
        <v>20241.896666666667</v>
      </c>
      <c r="P116" s="35">
        <f t="shared" si="77"/>
        <v>0</v>
      </c>
      <c r="Q116" s="35">
        <f t="shared" si="78"/>
        <v>60725.69</v>
      </c>
      <c r="R116" s="35">
        <f t="shared" si="79"/>
        <v>60725.69</v>
      </c>
      <c r="S116" s="35">
        <f t="shared" si="80"/>
        <v>0</v>
      </c>
    </row>
    <row r="117" spans="1:19">
      <c r="B117" s="28">
        <v>207237</v>
      </c>
      <c r="C117" s="59">
        <v>4082</v>
      </c>
      <c r="D117" s="33" t="s">
        <v>747</v>
      </c>
      <c r="E117" s="59">
        <v>2018</v>
      </c>
      <c r="F117" s="59">
        <v>12</v>
      </c>
      <c r="G117" s="30">
        <v>0</v>
      </c>
      <c r="H117" s="33" t="s">
        <v>78</v>
      </c>
      <c r="I117" s="33">
        <v>10</v>
      </c>
      <c r="J117" s="59">
        <f t="shared" si="73"/>
        <v>2028</v>
      </c>
      <c r="K117" s="26">
        <f t="shared" si="74"/>
        <v>2029</v>
      </c>
      <c r="L117" s="35">
        <v>250296.54</v>
      </c>
      <c r="M117" s="35">
        <f t="shared" si="81"/>
        <v>250296.54</v>
      </c>
      <c r="N117" s="35">
        <f t="shared" si="75"/>
        <v>2085.8045000000002</v>
      </c>
      <c r="O117" s="35">
        <f t="shared" si="82"/>
        <v>25029.654000000002</v>
      </c>
      <c r="P117" s="35">
        <f t="shared" ref="P117:P120" si="83">+IF(K117&lt;=$M$5,0,IF(J117&gt;$M$4,O117,N117*F117))</f>
        <v>25029.654000000002</v>
      </c>
      <c r="Q117" s="35">
        <f t="shared" si="78"/>
        <v>75088.962</v>
      </c>
      <c r="R117" s="35">
        <f t="shared" si="79"/>
        <v>100118.61600000001</v>
      </c>
      <c r="S117" s="35">
        <f t="shared" si="80"/>
        <v>150177.924</v>
      </c>
    </row>
    <row r="118" spans="1:19" s="71" customFormat="1">
      <c r="A118" s="130"/>
      <c r="B118" s="131"/>
      <c r="C118" s="130"/>
      <c r="D118" s="130" t="s">
        <v>793</v>
      </c>
      <c r="E118" s="130">
        <v>2019</v>
      </c>
      <c r="F118" s="130">
        <v>8</v>
      </c>
      <c r="G118" s="132">
        <v>0</v>
      </c>
      <c r="H118" s="130" t="s">
        <v>78</v>
      </c>
      <c r="I118" s="130">
        <v>3</v>
      </c>
      <c r="J118" s="130">
        <f t="shared" si="73"/>
        <v>2022</v>
      </c>
      <c r="K118" s="133">
        <f t="shared" si="74"/>
        <v>2022.6666666666667</v>
      </c>
      <c r="L118" s="134">
        <f>M235+M237+M242</f>
        <v>0</v>
      </c>
      <c r="M118" s="136">
        <f t="shared" ref="M118" si="84">L118-L118*G118</f>
        <v>0</v>
      </c>
      <c r="N118" s="136">
        <f t="shared" ref="N118" si="85">M118/I118/12</f>
        <v>0</v>
      </c>
      <c r="O118" s="136">
        <f t="shared" si="82"/>
        <v>0</v>
      </c>
      <c r="P118" s="469">
        <f>+IF(K118&lt;=$M$5,0,IF(J118=$M$4,N118*F118,O118))/3</f>
        <v>0</v>
      </c>
      <c r="Q118" s="134">
        <f t="shared" si="78"/>
        <v>0</v>
      </c>
      <c r="R118" s="134">
        <f t="shared" si="79"/>
        <v>0</v>
      </c>
      <c r="S118" s="134">
        <v>0</v>
      </c>
    </row>
    <row r="119" spans="1:19" s="56" customFormat="1">
      <c r="B119" s="28">
        <v>214065</v>
      </c>
      <c r="C119" s="56">
        <v>4083</v>
      </c>
      <c r="D119" s="56" t="s">
        <v>803</v>
      </c>
      <c r="E119" s="56">
        <v>2019</v>
      </c>
      <c r="F119" s="56">
        <v>5</v>
      </c>
      <c r="G119" s="38">
        <v>0</v>
      </c>
      <c r="H119" s="56" t="s">
        <v>78</v>
      </c>
      <c r="I119" s="56">
        <v>10</v>
      </c>
      <c r="J119" s="56">
        <f t="shared" ref="J119" si="86">E119+I119</f>
        <v>2029</v>
      </c>
      <c r="K119" s="62">
        <f t="shared" ref="K119" si="87">+J119+(F119/12)</f>
        <v>2029.4166666666667</v>
      </c>
      <c r="L119" s="63">
        <v>264454</v>
      </c>
      <c r="M119" s="63">
        <f t="shared" ref="M119" si="88">L119-L119*G119</f>
        <v>264454</v>
      </c>
      <c r="N119" s="63">
        <f t="shared" ref="N119" si="89">M119/I119/12</f>
        <v>2203.7833333333333</v>
      </c>
      <c r="O119" s="63">
        <f t="shared" si="82"/>
        <v>26445.4</v>
      </c>
      <c r="P119" s="63">
        <f t="shared" si="83"/>
        <v>26445.4</v>
      </c>
      <c r="Q119" s="63">
        <f t="shared" ref="Q119" si="90">+IF(P119=0,M119,IF($M$3-E119&lt;1,0,(($M$3-E119)*O119)))</f>
        <v>52890.8</v>
      </c>
      <c r="R119" s="63">
        <f t="shared" ref="R119" si="91">+IF(P119=0,Q119,Q119+P119)</f>
        <v>79336.200000000012</v>
      </c>
      <c r="S119" s="63">
        <f t="shared" ref="S119" si="92">+L119-R119</f>
        <v>185117.8</v>
      </c>
    </row>
    <row r="120" spans="1:19" s="56" customFormat="1">
      <c r="B120" s="64" t="s">
        <v>818</v>
      </c>
      <c r="C120" s="56">
        <v>4068</v>
      </c>
      <c r="D120" s="56" t="s">
        <v>819</v>
      </c>
      <c r="E120" s="56">
        <v>2019</v>
      </c>
      <c r="F120" s="56">
        <v>7</v>
      </c>
      <c r="G120" s="38">
        <v>0</v>
      </c>
      <c r="H120" s="56" t="s">
        <v>78</v>
      </c>
      <c r="I120" s="56">
        <v>3</v>
      </c>
      <c r="J120" s="56">
        <f t="shared" ref="J120" si="93">E120+I120</f>
        <v>2022</v>
      </c>
      <c r="K120" s="62">
        <f t="shared" ref="K120" si="94">+J120+(F120/12)</f>
        <v>2022.5833333333333</v>
      </c>
      <c r="L120" s="63">
        <f>35401.68+2748.77</f>
        <v>38150.449999999997</v>
      </c>
      <c r="M120" s="63">
        <f t="shared" ref="M120" si="95">L120-L120*G120</f>
        <v>38150.449999999997</v>
      </c>
      <c r="N120" s="63">
        <f t="shared" ref="N120" si="96">M120/I120/12</f>
        <v>1059.7347222222222</v>
      </c>
      <c r="O120" s="63">
        <f t="shared" ref="O120" si="97">+N120*12</f>
        <v>12716.816666666666</v>
      </c>
      <c r="P120" s="63">
        <f t="shared" si="83"/>
        <v>7418.1430555555553</v>
      </c>
      <c r="Q120" s="63">
        <f t="shared" ref="Q120" si="98">+IF(P120=0,M120,IF($M$3-E120&lt;1,0,(($M$3-E120)*O120)))</f>
        <v>25433.633333333331</v>
      </c>
      <c r="R120" s="63">
        <f t="shared" ref="R120" si="99">+IF(P120=0,Q120,Q120+P120)</f>
        <v>32851.776388888888</v>
      </c>
      <c r="S120" s="63">
        <f t="shared" ref="S120" si="100">+L120-R120</f>
        <v>5298.6736111111095</v>
      </c>
    </row>
    <row r="121" spans="1:19" s="56" customFormat="1">
      <c r="B121" s="64">
        <v>219762</v>
      </c>
      <c r="C121" s="56">
        <v>4084</v>
      </c>
      <c r="D121" s="56" t="s">
        <v>835</v>
      </c>
      <c r="E121" s="56">
        <v>2019</v>
      </c>
      <c r="F121" s="56">
        <v>9</v>
      </c>
      <c r="G121" s="38">
        <v>0</v>
      </c>
      <c r="H121" s="56" t="s">
        <v>78</v>
      </c>
      <c r="I121" s="56">
        <v>10</v>
      </c>
      <c r="J121" s="56">
        <f t="shared" ref="J121" si="101">E121+I121</f>
        <v>2029</v>
      </c>
      <c r="K121" s="62">
        <f t="shared" ref="K121" si="102">+J121+(F121/12)</f>
        <v>2029.75</v>
      </c>
      <c r="L121" s="63">
        <f>255725.48+220.79+4598.5+791.55+633.95</f>
        <v>261970.27000000002</v>
      </c>
      <c r="M121" s="63">
        <f t="shared" ref="M121" si="103">L121-L121*G121</f>
        <v>261970.27000000002</v>
      </c>
      <c r="N121" s="63">
        <f t="shared" ref="N121" si="104">M121/I121/12</f>
        <v>2183.0855833333335</v>
      </c>
      <c r="O121" s="63">
        <f t="shared" ref="O121" si="105">+N121*12</f>
        <v>26197.027000000002</v>
      </c>
      <c r="P121" s="63">
        <f t="shared" ref="P121" si="106">+IF(K121&lt;=$M$5,0,IF(J121&gt;$M$4,O121,N121*F121))</f>
        <v>26197.027000000002</v>
      </c>
      <c r="Q121" s="63">
        <f t="shared" ref="Q121" si="107">+IF(P121=0,M121,IF($M$3-E121&lt;1,0,(($M$3-E121)*O121)))</f>
        <v>52394.054000000004</v>
      </c>
      <c r="R121" s="63">
        <f t="shared" ref="R121" si="108">+IF(P121=0,Q121,Q121+P121)</f>
        <v>78591.081000000006</v>
      </c>
      <c r="S121" s="63">
        <f t="shared" ref="S121" si="109">+L121-R121</f>
        <v>183379.18900000001</v>
      </c>
    </row>
    <row r="122" spans="1:19" s="56" customFormat="1">
      <c r="B122" s="64">
        <v>219763</v>
      </c>
      <c r="C122" s="56">
        <v>4085</v>
      </c>
      <c r="D122" s="56" t="s">
        <v>835</v>
      </c>
      <c r="E122" s="56">
        <v>2019</v>
      </c>
      <c r="F122" s="56">
        <v>11</v>
      </c>
      <c r="G122" s="38">
        <v>0</v>
      </c>
      <c r="H122" s="56" t="s">
        <v>78</v>
      </c>
      <c r="I122" s="56">
        <v>10</v>
      </c>
      <c r="J122" s="56">
        <f t="shared" ref="J122:J128" si="110">E122+I122</f>
        <v>2029</v>
      </c>
      <c r="K122" s="62">
        <f t="shared" ref="K122:K128" si="111">+J122+(F122/12)</f>
        <v>2029.9166666666667</v>
      </c>
      <c r="L122" s="63">
        <f>184414.76+71276.72+791.55+220.79+633.95+3988.84</f>
        <v>261326.61000000002</v>
      </c>
      <c r="M122" s="63">
        <f t="shared" ref="M122" si="112">L122-L122*G122</f>
        <v>261326.61000000002</v>
      </c>
      <c r="N122" s="63">
        <f t="shared" ref="N122" si="113">M122/I122/12</f>
        <v>2177.7217500000002</v>
      </c>
      <c r="O122" s="63">
        <f t="shared" ref="O122" si="114">+N122*12</f>
        <v>26132.661</v>
      </c>
      <c r="P122" s="63">
        <f t="shared" ref="P122" si="115">+IF(K122&lt;=$M$5,0,IF(J122&gt;$M$4,O122,N122*F122))</f>
        <v>26132.661</v>
      </c>
      <c r="Q122" s="63">
        <f t="shared" ref="Q122" si="116">+IF(P122=0,M122,IF($M$3-E122&lt;1,0,(($M$3-E122)*O122)))</f>
        <v>52265.322</v>
      </c>
      <c r="R122" s="63">
        <f t="shared" ref="R122" si="117">+IF(P122=0,Q122,Q122+P122)</f>
        <v>78397.983000000007</v>
      </c>
      <c r="S122" s="63">
        <f t="shared" ref="S122" si="118">+L122-R122</f>
        <v>182928.62700000001</v>
      </c>
    </row>
    <row r="123" spans="1:19" s="56" customFormat="1">
      <c r="B123" s="64" t="s">
        <v>841</v>
      </c>
      <c r="C123" s="56">
        <v>4089</v>
      </c>
      <c r="D123" s="56" t="s">
        <v>840</v>
      </c>
      <c r="E123" s="56">
        <v>2020</v>
      </c>
      <c r="F123" s="56">
        <v>9</v>
      </c>
      <c r="G123" s="38">
        <v>0</v>
      </c>
      <c r="H123" s="56" t="s">
        <v>78</v>
      </c>
      <c r="I123" s="56">
        <v>10</v>
      </c>
      <c r="J123" s="56">
        <f t="shared" si="110"/>
        <v>2030</v>
      </c>
      <c r="K123" s="62">
        <f t="shared" si="111"/>
        <v>2030.75</v>
      </c>
      <c r="L123" s="63">
        <f>269291.76+427.45+1009.58</f>
        <v>270728.79000000004</v>
      </c>
      <c r="M123" s="63">
        <f t="shared" ref="M123" si="119">L123-L123*G123</f>
        <v>270728.79000000004</v>
      </c>
      <c r="N123" s="63">
        <f t="shared" ref="N123" si="120">M123/I123/12</f>
        <v>2256.0732500000004</v>
      </c>
      <c r="O123" s="63">
        <f t="shared" ref="O123" si="121">+N123*12</f>
        <v>27072.879000000004</v>
      </c>
      <c r="P123" s="63">
        <f t="shared" ref="P123" si="122">+IF(K123&lt;=$M$5,0,IF(J123&gt;$M$4,O123,N123*F123))</f>
        <v>27072.879000000004</v>
      </c>
      <c r="Q123" s="63">
        <f t="shared" ref="Q123" si="123">+IF(P123=0,M123,IF($M$3-E123&lt;1,0,(($M$3-E123)*O123)))</f>
        <v>27072.879000000004</v>
      </c>
      <c r="R123" s="63">
        <f t="shared" ref="R123" si="124">+IF(P123=0,Q123,Q123+P123)</f>
        <v>54145.758000000009</v>
      </c>
      <c r="S123" s="63">
        <f t="shared" ref="S123" si="125">+L123-R123</f>
        <v>216583.03200000004</v>
      </c>
    </row>
    <row r="124" spans="1:19" s="56" customFormat="1" ht="15">
      <c r="B124" s="64">
        <v>236404</v>
      </c>
      <c r="C124" s="56">
        <v>4523</v>
      </c>
      <c r="D124" s="69" t="s">
        <v>842</v>
      </c>
      <c r="E124" s="56">
        <v>2020</v>
      </c>
      <c r="F124" s="56">
        <v>8</v>
      </c>
      <c r="G124" s="38">
        <v>0</v>
      </c>
      <c r="H124" s="56" t="s">
        <v>78</v>
      </c>
      <c r="I124" s="56">
        <v>10</v>
      </c>
      <c r="J124" s="56">
        <f>E124+I124</f>
        <v>2030</v>
      </c>
      <c r="K124" s="62">
        <f>+J124+(F124/12)</f>
        <v>2030.6666666666667</v>
      </c>
      <c r="L124" s="63">
        <v>154004.04</v>
      </c>
      <c r="M124" s="63">
        <f>L124-L124*G124</f>
        <v>154004.04</v>
      </c>
      <c r="N124" s="63">
        <f>M124/I124/12</f>
        <v>1283.367</v>
      </c>
      <c r="O124" s="63">
        <f>+N124*12</f>
        <v>15400.403999999999</v>
      </c>
      <c r="P124" s="63">
        <f>+IF(K124&lt;=$M$5,0,IF(J124=$M$4,N124*F124,O124))</f>
        <v>15400.403999999999</v>
      </c>
      <c r="Q124" s="63">
        <f>+IF(P124=0,M124,IF($M$3-E124&lt;1,0,(($M$3-E124)*O124)))</f>
        <v>15400.403999999999</v>
      </c>
      <c r="R124" s="63">
        <f>+IF(P124=0,Q124,Q124+P124)</f>
        <v>30800.807999999997</v>
      </c>
      <c r="S124" s="63">
        <f>+L124-R124</f>
        <v>123203.23200000002</v>
      </c>
    </row>
    <row r="125" spans="1:19" s="56" customFormat="1" ht="15">
      <c r="B125" s="64" t="s">
        <v>843</v>
      </c>
      <c r="C125" s="56">
        <v>4523</v>
      </c>
      <c r="D125" s="69" t="s">
        <v>844</v>
      </c>
      <c r="E125" s="56">
        <v>2020</v>
      </c>
      <c r="F125" s="56">
        <v>8</v>
      </c>
      <c r="G125" s="38">
        <v>0</v>
      </c>
      <c r="H125" s="56" t="s">
        <v>78</v>
      </c>
      <c r="I125" s="56">
        <v>5</v>
      </c>
      <c r="J125" s="56">
        <f>E125+I125</f>
        <v>2025</v>
      </c>
      <c r="K125" s="62">
        <f>+J125+(F125/12)</f>
        <v>2025.6666666666667</v>
      </c>
      <c r="L125" s="63">
        <v>342.97</v>
      </c>
      <c r="M125" s="63">
        <f t="shared" ref="M125" si="126">L125-L125*G125</f>
        <v>342.97</v>
      </c>
      <c r="N125" s="63">
        <f t="shared" ref="N125" si="127">M125/I125/12</f>
        <v>5.7161666666666671</v>
      </c>
      <c r="O125" s="63">
        <f t="shared" ref="O125" si="128">+N125*12</f>
        <v>68.594000000000008</v>
      </c>
      <c r="P125" s="63">
        <f t="shared" ref="P125" si="129">+IF(K125&lt;=$M$5,0,IF(J125=$M$4,N125*F125,O125))</f>
        <v>68.594000000000008</v>
      </c>
      <c r="Q125" s="63">
        <f t="shared" ref="Q125" si="130">+IF(P125=0,M125,IF($M$3-E125&lt;1,0,(($M$3-E125)*O125)))</f>
        <v>68.594000000000008</v>
      </c>
      <c r="R125" s="63">
        <f t="shared" ref="R125" si="131">+IF(P125=0,Q125,Q125+P125)</f>
        <v>137.18800000000002</v>
      </c>
      <c r="S125" s="63">
        <f t="shared" ref="S125" si="132">+L125-R125</f>
        <v>205.78200000000001</v>
      </c>
    </row>
    <row r="126" spans="1:19" s="56" customFormat="1" ht="15">
      <c r="B126" s="64" t="s">
        <v>876</v>
      </c>
      <c r="C126" s="56">
        <v>4523</v>
      </c>
      <c r="D126" s="69" t="s">
        <v>877</v>
      </c>
      <c r="E126" s="56">
        <v>2020</v>
      </c>
      <c r="F126" s="56">
        <v>9</v>
      </c>
      <c r="G126" s="38">
        <v>0</v>
      </c>
      <c r="H126" s="56" t="s">
        <v>78</v>
      </c>
      <c r="I126" s="56">
        <v>10</v>
      </c>
      <c r="J126" s="56">
        <f>E126+I126</f>
        <v>2030</v>
      </c>
      <c r="K126" s="62">
        <f>+J126+(F126/12)</f>
        <v>2030.75</v>
      </c>
      <c r="L126" s="63">
        <v>268.02999999999997</v>
      </c>
      <c r="M126" s="63">
        <f>L126-L126*G126</f>
        <v>268.02999999999997</v>
      </c>
      <c r="N126" s="63">
        <f>M126/I126/12</f>
        <v>2.2335833333333333</v>
      </c>
      <c r="O126" s="63">
        <f>+N126*12</f>
        <v>26.802999999999997</v>
      </c>
      <c r="P126" s="63">
        <f>+IF(K126&lt;=$M$5,0,IF(J126=$M$4,N126*F126,O126))</f>
        <v>26.802999999999997</v>
      </c>
      <c r="Q126" s="63">
        <f>+IF(P126=0,M126,IF($M$3-E126&lt;1,0,(($M$3-E126)*O126)))</f>
        <v>26.802999999999997</v>
      </c>
      <c r="R126" s="63">
        <f>+IF(P126=0,Q126,Q126+P126)</f>
        <v>53.605999999999995</v>
      </c>
      <c r="S126" s="63">
        <f>+L126-R126</f>
        <v>214.42399999999998</v>
      </c>
    </row>
    <row r="127" spans="1:19" s="56" customFormat="1" ht="15">
      <c r="B127" s="64" t="s">
        <v>878</v>
      </c>
      <c r="C127" s="56">
        <v>4523</v>
      </c>
      <c r="D127" s="69" t="s">
        <v>879</v>
      </c>
      <c r="E127" s="56">
        <v>2020</v>
      </c>
      <c r="F127" s="56">
        <v>9</v>
      </c>
      <c r="G127" s="38">
        <v>0</v>
      </c>
      <c r="H127" s="56" t="s">
        <v>78</v>
      </c>
      <c r="I127" s="56">
        <v>10</v>
      </c>
      <c r="J127" s="56">
        <f t="shared" ref="J127" si="133">E127+I127</f>
        <v>2030</v>
      </c>
      <c r="K127" s="62">
        <f t="shared" ref="K127" si="134">+J127+(F127/12)</f>
        <v>2030.75</v>
      </c>
      <c r="L127" s="63">
        <v>537.99</v>
      </c>
      <c r="M127" s="63">
        <f t="shared" ref="M127" si="135">L127-L127*G127</f>
        <v>537.99</v>
      </c>
      <c r="N127" s="63">
        <f t="shared" ref="N127" si="136">M127/I127/12</f>
        <v>4.48325</v>
      </c>
      <c r="O127" s="63">
        <f t="shared" ref="O127" si="137">+N127*12</f>
        <v>53.798999999999999</v>
      </c>
      <c r="P127" s="63">
        <f t="shared" ref="P127" si="138">+IF(K127&lt;=$M$5,0,IF(J127=$M$4,N127*F127,O127))</f>
        <v>53.798999999999999</v>
      </c>
      <c r="Q127" s="63">
        <f t="shared" ref="Q127" si="139">+IF(P127=0,M127,IF($M$3-E127&lt;1,0,(($M$3-E127)*O127)))</f>
        <v>53.798999999999999</v>
      </c>
      <c r="R127" s="63">
        <f t="shared" ref="R127" si="140">+IF(P127=0,Q127,Q127+P127)</f>
        <v>107.598</v>
      </c>
      <c r="S127" s="63">
        <f t="shared" ref="S127" si="141">+L127-R127</f>
        <v>430.392</v>
      </c>
    </row>
    <row r="128" spans="1:19" s="56" customFormat="1">
      <c r="B128" s="64" t="s">
        <v>875</v>
      </c>
      <c r="C128" s="56">
        <v>4089</v>
      </c>
      <c r="D128" s="56" t="s">
        <v>729</v>
      </c>
      <c r="E128" s="56">
        <v>2020</v>
      </c>
      <c r="F128" s="56">
        <v>8</v>
      </c>
      <c r="G128" s="38">
        <v>0</v>
      </c>
      <c r="H128" s="56" t="s">
        <v>78</v>
      </c>
      <c r="I128" s="56">
        <v>10</v>
      </c>
      <c r="J128" s="56">
        <f t="shared" si="110"/>
        <v>2030</v>
      </c>
      <c r="K128" s="62">
        <f t="shared" si="111"/>
        <v>2030.6666666666667</v>
      </c>
      <c r="L128" s="63">
        <v>220.99</v>
      </c>
      <c r="M128" s="63">
        <f t="shared" ref="M128" si="142">L128-L128*G128</f>
        <v>220.99</v>
      </c>
      <c r="N128" s="63">
        <f t="shared" ref="N128" si="143">M128/I128/12</f>
        <v>1.8415833333333333</v>
      </c>
      <c r="O128" s="63">
        <f t="shared" ref="O128" si="144">+N128*12</f>
        <v>22.099</v>
      </c>
      <c r="P128" s="63">
        <f t="shared" ref="P128" si="145">+IF(K128&lt;=$M$5,0,IF(J128&gt;$M$4,O128,N128*F128))</f>
        <v>22.099</v>
      </c>
      <c r="Q128" s="63">
        <f t="shared" ref="Q128" si="146">+IF(P128=0,M128,IF($M$3-E128&lt;1,0,(($M$3-E128)*O128)))</f>
        <v>22.099</v>
      </c>
      <c r="R128" s="63">
        <f t="shared" ref="R128" si="147">+IF(P128=0,Q128,Q128+P128)</f>
        <v>44.198</v>
      </c>
      <c r="S128" s="63">
        <f t="shared" ref="S128" si="148">+L128-R128</f>
        <v>176.792</v>
      </c>
    </row>
    <row r="129" spans="1:19">
      <c r="L129" s="35"/>
      <c r="M129" s="35"/>
      <c r="N129" s="35"/>
      <c r="O129" s="35"/>
      <c r="P129" s="35"/>
      <c r="Q129" s="35"/>
      <c r="R129" s="35"/>
      <c r="S129" s="35"/>
    </row>
    <row r="130" spans="1:19">
      <c r="C130" s="51">
        <v>11</v>
      </c>
      <c r="D130" s="51" t="s">
        <v>146</v>
      </c>
      <c r="L130" s="85">
        <f t="shared" ref="L130:R130" si="149">SUM(L85:L129)</f>
        <v>2760774.3302666666</v>
      </c>
      <c r="M130" s="85">
        <f t="shared" si="149"/>
        <v>2760774.3302666666</v>
      </c>
      <c r="N130" s="85">
        <f t="shared" si="149"/>
        <v>33834.428646296306</v>
      </c>
      <c r="O130" s="85">
        <f t="shared" si="149"/>
        <v>406013.14375555556</v>
      </c>
      <c r="P130" s="85">
        <f>SUM(P85:P129)</f>
        <v>188489.46087037041</v>
      </c>
      <c r="Q130" s="85">
        <f t="shared" si="149"/>
        <v>1391811.6419333334</v>
      </c>
      <c r="R130" s="85">
        <f t="shared" si="149"/>
        <v>1580301.1028037034</v>
      </c>
      <c r="S130" s="85">
        <f>SUM(S85:S129)</f>
        <v>1180473.227462963</v>
      </c>
    </row>
    <row r="131" spans="1:19">
      <c r="K131" s="87"/>
      <c r="L131" s="35"/>
      <c r="M131" s="35"/>
      <c r="N131" s="35"/>
      <c r="O131" s="35"/>
      <c r="P131" s="35"/>
      <c r="Q131" s="35"/>
      <c r="R131" s="35"/>
      <c r="S131" s="35"/>
    </row>
    <row r="132" spans="1:19">
      <c r="K132" s="87"/>
      <c r="L132" s="35"/>
      <c r="M132" s="35"/>
      <c r="N132" s="35"/>
      <c r="O132" s="35"/>
      <c r="P132" s="35"/>
      <c r="Q132" s="35"/>
      <c r="R132" s="35"/>
      <c r="S132" s="35"/>
    </row>
    <row r="133" spans="1:19">
      <c r="D133" s="51" t="s">
        <v>386</v>
      </c>
      <c r="L133" s="35"/>
      <c r="M133" s="35"/>
      <c r="N133" s="35"/>
      <c r="O133" s="35"/>
      <c r="P133" s="35"/>
      <c r="Q133" s="35"/>
      <c r="R133" s="35"/>
      <c r="S133" s="35"/>
    </row>
    <row r="134" spans="1:19">
      <c r="A134" s="59" t="s">
        <v>284</v>
      </c>
      <c r="C134" s="59">
        <v>3604</v>
      </c>
      <c r="D134" s="59" t="s">
        <v>162</v>
      </c>
      <c r="E134" s="59">
        <v>2007</v>
      </c>
      <c r="F134" s="59">
        <v>4</v>
      </c>
      <c r="G134" s="30">
        <v>0</v>
      </c>
      <c r="H134" s="59" t="s">
        <v>78</v>
      </c>
      <c r="I134" s="59">
        <v>7</v>
      </c>
      <c r="J134" s="59">
        <f t="shared" ref="J134:J155" si="150">E134+I134</f>
        <v>2014</v>
      </c>
      <c r="K134" s="26">
        <f t="shared" ref="K134:K169" si="151">+J134+(F134/12)</f>
        <v>2014.3333333333333</v>
      </c>
      <c r="L134" s="35">
        <f>'Orig Trucks 2183'!P132</f>
        <v>155764.03200000001</v>
      </c>
      <c r="M134" s="35">
        <f>L134-L134*G134</f>
        <v>155764.03200000001</v>
      </c>
      <c r="N134" s="35">
        <f t="shared" ref="N134:N154" si="152">M134/I134/12</f>
        <v>1854.3337142857144</v>
      </c>
      <c r="O134" s="35">
        <f t="shared" ref="O134:O153" si="153">+N134*12</f>
        <v>22252.004571428573</v>
      </c>
      <c r="P134" s="35">
        <f t="shared" ref="P134:P153" si="154">+IF(K134&lt;=$M$5,0,IF(J134&gt;$M$4,O134,N134*F134))</f>
        <v>0</v>
      </c>
      <c r="Q134" s="35">
        <f t="shared" ref="Q134:Q154" si="155">+IF(P134=0,M134,IF($M$3-E134&lt;1,0,(($M$3-E134)*O134)))</f>
        <v>155764.03200000001</v>
      </c>
      <c r="R134" s="35">
        <f t="shared" ref="R134:R154" si="156">+IF(P134=0,Q134,Q134+P134)</f>
        <v>155764.03200000001</v>
      </c>
      <c r="S134" s="35">
        <f t="shared" ref="S134:S154" si="157">+L134-R134</f>
        <v>0</v>
      </c>
    </row>
    <row r="135" spans="1:19">
      <c r="A135" s="130"/>
      <c r="B135" s="130"/>
      <c r="C135" s="131">
        <v>3604</v>
      </c>
      <c r="D135" s="130" t="s">
        <v>694</v>
      </c>
      <c r="E135" s="130">
        <v>2019</v>
      </c>
      <c r="F135" s="130">
        <v>8</v>
      </c>
      <c r="G135" s="132">
        <v>0</v>
      </c>
      <c r="H135" s="130" t="s">
        <v>78</v>
      </c>
      <c r="I135" s="130">
        <f>+IF(J134-$M$4&gt;=3,J134-$M$4,3)</f>
        <v>3</v>
      </c>
      <c r="J135" s="130">
        <f t="shared" si="150"/>
        <v>2022</v>
      </c>
      <c r="K135" s="133">
        <f t="shared" si="151"/>
        <v>2022.6666666666667</v>
      </c>
      <c r="L135" s="134">
        <f>'Orig Trucks 2183'!N132-'Trucks 2183'!L134</f>
        <v>38941.008000000002</v>
      </c>
      <c r="M135" s="134">
        <f>L135-(L135*G135)</f>
        <v>38941.008000000002</v>
      </c>
      <c r="N135" s="134">
        <f t="shared" si="152"/>
        <v>1081.6946666666668</v>
      </c>
      <c r="O135" s="134">
        <f>+N135*12</f>
        <v>12980.336000000001</v>
      </c>
      <c r="P135" s="469">
        <f>+IF(K135&lt;=$M$5,0,IF(J135=$M$4,N135*F135,O135))/3</f>
        <v>2884.5191111111112</v>
      </c>
      <c r="Q135" s="134">
        <f t="shared" si="155"/>
        <v>25960.672000000002</v>
      </c>
      <c r="R135" s="134">
        <f t="shared" si="156"/>
        <v>28845.191111111115</v>
      </c>
      <c r="S135" s="134">
        <f t="shared" si="157"/>
        <v>10095.816888888887</v>
      </c>
    </row>
    <row r="136" spans="1:19">
      <c r="A136" s="59" t="s">
        <v>284</v>
      </c>
      <c r="C136" s="59">
        <v>3605</v>
      </c>
      <c r="D136" s="59" t="s">
        <v>381</v>
      </c>
      <c r="E136" s="59">
        <v>2007</v>
      </c>
      <c r="F136" s="59">
        <v>7</v>
      </c>
      <c r="G136" s="30">
        <v>0</v>
      </c>
      <c r="H136" s="59" t="s">
        <v>78</v>
      </c>
      <c r="I136" s="59">
        <v>7</v>
      </c>
      <c r="J136" s="59">
        <f>E136+I136</f>
        <v>2014</v>
      </c>
      <c r="K136" s="26">
        <f>+J136+(F136/12)</f>
        <v>2014.5833333333333</v>
      </c>
      <c r="L136" s="35">
        <f>'Orig Trucks 2183'!P158</f>
        <v>155764.03200000001</v>
      </c>
      <c r="M136" s="35">
        <f>L136-L136*G136</f>
        <v>155764.03200000001</v>
      </c>
      <c r="N136" s="35">
        <f>M136/I136/12</f>
        <v>1854.3337142857144</v>
      </c>
      <c r="O136" s="35">
        <f>+N136*12</f>
        <v>22252.004571428573</v>
      </c>
      <c r="P136" s="35">
        <f>+IF(K136&lt;=$M$5,0,IF(J136&gt;$M$4,O136,N136*F136))</f>
        <v>0</v>
      </c>
      <c r="Q136" s="35">
        <f>+IF(P136=0,M136,IF($M$3-E136&lt;1,0,(($M$3-E136)*O136)))</f>
        <v>155764.03200000001</v>
      </c>
      <c r="R136" s="35">
        <f>+IF(P136=0,Q136,Q136+P136)</f>
        <v>155764.03200000001</v>
      </c>
      <c r="S136" s="35">
        <f>+L136-R136</f>
        <v>0</v>
      </c>
    </row>
    <row r="137" spans="1:19">
      <c r="A137" s="130"/>
      <c r="B137" s="130"/>
      <c r="C137" s="131">
        <v>3605</v>
      </c>
      <c r="D137" s="130" t="s">
        <v>699</v>
      </c>
      <c r="E137" s="130">
        <v>2019</v>
      </c>
      <c r="F137" s="130">
        <v>8</v>
      </c>
      <c r="G137" s="132">
        <v>0</v>
      </c>
      <c r="H137" s="130" t="s">
        <v>78</v>
      </c>
      <c r="I137" s="130">
        <f>+IF(J136-$M$4&gt;=3,J136-$M$4,3)</f>
        <v>3</v>
      </c>
      <c r="J137" s="130">
        <f>E137+I137</f>
        <v>2022</v>
      </c>
      <c r="K137" s="133">
        <f>+J137+(F137/12)</f>
        <v>2022.6666666666667</v>
      </c>
      <c r="L137" s="134">
        <f>'Orig Trucks 2183'!N158-'Trucks 2183'!L136</f>
        <v>38941.008000000002</v>
      </c>
      <c r="M137" s="134">
        <f>L137-(L137*G137)</f>
        <v>38941.008000000002</v>
      </c>
      <c r="N137" s="134">
        <f>M137/I137/12</f>
        <v>1081.6946666666668</v>
      </c>
      <c r="O137" s="134">
        <f>+N137*12</f>
        <v>12980.336000000001</v>
      </c>
      <c r="P137" s="469">
        <f>+IF(K137&lt;=$M$5,0,IF(J137=$M$4,N137*F137,O137))/3</f>
        <v>2884.5191111111112</v>
      </c>
      <c r="Q137" s="134">
        <f>+IF(P137=0,M137,IF($M$3-E137&lt;1,0,(($M$3-E137)*O137)))</f>
        <v>25960.672000000002</v>
      </c>
      <c r="R137" s="134">
        <f>+IF(P137=0,Q137,Q137+P137)</f>
        <v>28845.191111111115</v>
      </c>
      <c r="S137" s="134">
        <f>+L137-R137</f>
        <v>10095.816888888887</v>
      </c>
    </row>
    <row r="138" spans="1:19">
      <c r="A138" s="59" t="s">
        <v>284</v>
      </c>
      <c r="C138" s="59">
        <v>3615</v>
      </c>
      <c r="D138" s="59" t="s">
        <v>162</v>
      </c>
      <c r="E138" s="59">
        <v>2007</v>
      </c>
      <c r="F138" s="59">
        <v>8</v>
      </c>
      <c r="G138" s="30">
        <v>0</v>
      </c>
      <c r="H138" s="59" t="s">
        <v>78</v>
      </c>
      <c r="I138" s="59">
        <v>7</v>
      </c>
      <c r="J138" s="59">
        <f t="shared" si="150"/>
        <v>2014</v>
      </c>
      <c r="K138" s="26">
        <f t="shared" si="151"/>
        <v>2014.6666666666667</v>
      </c>
      <c r="L138" s="35">
        <f>'Orig Trucks 2183'!P134</f>
        <v>155764.03200000001</v>
      </c>
      <c r="M138" s="35">
        <f>L138-L138*G138</f>
        <v>155764.03200000001</v>
      </c>
      <c r="N138" s="35">
        <f t="shared" si="152"/>
        <v>1854.3337142857144</v>
      </c>
      <c r="O138" s="35">
        <f t="shared" si="153"/>
        <v>22252.004571428573</v>
      </c>
      <c r="P138" s="35">
        <f t="shared" si="154"/>
        <v>0</v>
      </c>
      <c r="Q138" s="35">
        <f t="shared" si="155"/>
        <v>155764.03200000001</v>
      </c>
      <c r="R138" s="35">
        <f t="shared" si="156"/>
        <v>155764.03200000001</v>
      </c>
      <c r="S138" s="35">
        <f t="shared" si="157"/>
        <v>0</v>
      </c>
    </row>
    <row r="139" spans="1:19">
      <c r="A139" s="130"/>
      <c r="B139" s="130"/>
      <c r="C139" s="131">
        <v>3615</v>
      </c>
      <c r="D139" s="130" t="s">
        <v>695</v>
      </c>
      <c r="E139" s="130">
        <v>2019</v>
      </c>
      <c r="F139" s="130">
        <v>8</v>
      </c>
      <c r="G139" s="132">
        <v>0</v>
      </c>
      <c r="H139" s="130" t="s">
        <v>78</v>
      </c>
      <c r="I139" s="130">
        <f>+IF(J138-$M$4&gt;=3,J138-$M$4,3)</f>
        <v>3</v>
      </c>
      <c r="J139" s="130">
        <f t="shared" si="150"/>
        <v>2022</v>
      </c>
      <c r="K139" s="133">
        <f t="shared" si="151"/>
        <v>2022.6666666666667</v>
      </c>
      <c r="L139" s="134">
        <f>'Orig Trucks 2183'!N134-'Trucks 2183'!L138</f>
        <v>38941.008000000002</v>
      </c>
      <c r="M139" s="134">
        <f>L139-(L139*G139)</f>
        <v>38941.008000000002</v>
      </c>
      <c r="N139" s="134">
        <f t="shared" si="152"/>
        <v>1081.6946666666668</v>
      </c>
      <c r="O139" s="134">
        <f>+N139*12</f>
        <v>12980.336000000001</v>
      </c>
      <c r="P139" s="469">
        <f>+IF(K139&lt;=$M$5,0,IF(J139=$M$4,N139*F139,O139))/3</f>
        <v>2884.5191111111112</v>
      </c>
      <c r="Q139" s="134">
        <f t="shared" si="155"/>
        <v>25960.672000000002</v>
      </c>
      <c r="R139" s="134">
        <f t="shared" si="156"/>
        <v>28845.191111111115</v>
      </c>
      <c r="S139" s="134">
        <f t="shared" si="157"/>
        <v>10095.816888888887</v>
      </c>
    </row>
    <row r="140" spans="1:19">
      <c r="A140" s="59" t="s">
        <v>311</v>
      </c>
      <c r="C140" s="59">
        <v>68612</v>
      </c>
      <c r="D140" s="59" t="s">
        <v>325</v>
      </c>
      <c r="E140" s="59">
        <v>2009</v>
      </c>
      <c r="F140" s="59">
        <v>7</v>
      </c>
      <c r="G140" s="30">
        <v>0</v>
      </c>
      <c r="H140" s="59" t="s">
        <v>78</v>
      </c>
      <c r="I140" s="59">
        <v>5</v>
      </c>
      <c r="J140" s="59">
        <f t="shared" si="150"/>
        <v>2014</v>
      </c>
      <c r="K140" s="26">
        <f t="shared" si="151"/>
        <v>2014.5833333333333</v>
      </c>
      <c r="L140" s="35">
        <f>'Orig Trucks 2183'!P137</f>
        <v>9643.3502000000008</v>
      </c>
      <c r="M140" s="35">
        <f>L140-L140*G140</f>
        <v>9643.3502000000008</v>
      </c>
      <c r="N140" s="35">
        <f t="shared" si="152"/>
        <v>160.72250333333335</v>
      </c>
      <c r="O140" s="35">
        <f t="shared" si="153"/>
        <v>1928.6700400000002</v>
      </c>
      <c r="P140" s="35">
        <f t="shared" si="154"/>
        <v>0</v>
      </c>
      <c r="Q140" s="35">
        <f t="shared" si="155"/>
        <v>9643.3502000000008</v>
      </c>
      <c r="R140" s="35">
        <f t="shared" si="156"/>
        <v>9643.3502000000008</v>
      </c>
      <c r="S140" s="35">
        <f t="shared" si="157"/>
        <v>0</v>
      </c>
    </row>
    <row r="141" spans="1:19">
      <c r="A141" s="130"/>
      <c r="B141" s="130"/>
      <c r="C141" s="131">
        <v>68612</v>
      </c>
      <c r="D141" s="130" t="s">
        <v>696</v>
      </c>
      <c r="E141" s="130">
        <v>2019</v>
      </c>
      <c r="F141" s="130">
        <v>8</v>
      </c>
      <c r="G141" s="132">
        <v>0</v>
      </c>
      <c r="H141" s="130" t="s">
        <v>78</v>
      </c>
      <c r="I141" s="130">
        <f>+IF(J140-$M$4&gt;=3,J140-$M$4,3)</f>
        <v>3</v>
      </c>
      <c r="J141" s="130">
        <f t="shared" si="150"/>
        <v>2022</v>
      </c>
      <c r="K141" s="133">
        <f t="shared" si="151"/>
        <v>2022.6666666666667</v>
      </c>
      <c r="L141" s="134">
        <f>'Orig Trucks 2183'!N137-'Trucks 2183'!L140</f>
        <v>4749.7097999999987</v>
      </c>
      <c r="M141" s="134">
        <f>L141-(L141*G141)</f>
        <v>4749.7097999999987</v>
      </c>
      <c r="N141" s="134">
        <f t="shared" si="152"/>
        <v>131.93638333333328</v>
      </c>
      <c r="O141" s="134">
        <f>+N141*12</f>
        <v>1583.2365999999993</v>
      </c>
      <c r="P141" s="469">
        <f>+IF(K141&lt;=$M$5,0,IF(J141=$M$4,N141*F141,O141))/3</f>
        <v>351.8303555555554</v>
      </c>
      <c r="Q141" s="134">
        <f t="shared" si="155"/>
        <v>3166.4731999999985</v>
      </c>
      <c r="R141" s="134">
        <f t="shared" si="156"/>
        <v>3518.3035555555539</v>
      </c>
      <c r="S141" s="134">
        <f t="shared" si="157"/>
        <v>1231.4062444444448</v>
      </c>
    </row>
    <row r="142" spans="1:19">
      <c r="B142" s="28">
        <v>88721</v>
      </c>
      <c r="D142" s="59" t="s">
        <v>438</v>
      </c>
      <c r="E142" s="59">
        <v>2011</v>
      </c>
      <c r="F142" s="59">
        <v>12</v>
      </c>
      <c r="G142" s="30">
        <v>0</v>
      </c>
      <c r="H142" s="59" t="s">
        <v>78</v>
      </c>
      <c r="I142" s="59">
        <v>5</v>
      </c>
      <c r="J142" s="59">
        <f t="shared" si="150"/>
        <v>2016</v>
      </c>
      <c r="K142" s="26">
        <f t="shared" si="151"/>
        <v>2017</v>
      </c>
      <c r="L142" s="35">
        <f>487.65*18</f>
        <v>8777.6999999999989</v>
      </c>
      <c r="M142" s="35">
        <f t="shared" ref="M142:M154" si="158">L142-L142*G142</f>
        <v>8777.6999999999989</v>
      </c>
      <c r="N142" s="35">
        <f t="shared" si="152"/>
        <v>146.29499999999999</v>
      </c>
      <c r="O142" s="35">
        <f t="shared" si="153"/>
        <v>1755.54</v>
      </c>
      <c r="P142" s="35">
        <f t="shared" si="154"/>
        <v>0</v>
      </c>
      <c r="Q142" s="35">
        <f t="shared" si="155"/>
        <v>8777.6999999999989</v>
      </c>
      <c r="R142" s="35">
        <f t="shared" si="156"/>
        <v>8777.6999999999989</v>
      </c>
      <c r="S142" s="35">
        <f t="shared" si="157"/>
        <v>0</v>
      </c>
    </row>
    <row r="143" spans="1:19">
      <c r="A143" s="59" t="s">
        <v>462</v>
      </c>
      <c r="B143" s="28" t="s">
        <v>463</v>
      </c>
      <c r="C143" s="59">
        <v>3632</v>
      </c>
      <c r="D143" s="59" t="s">
        <v>441</v>
      </c>
      <c r="E143" s="59">
        <v>2012</v>
      </c>
      <c r="F143" s="59">
        <v>8</v>
      </c>
      <c r="G143" s="30">
        <v>0</v>
      </c>
      <c r="H143" s="59" t="s">
        <v>78</v>
      </c>
      <c r="I143" s="59">
        <v>9</v>
      </c>
      <c r="J143" s="59">
        <f>E143+I143</f>
        <v>2021</v>
      </c>
      <c r="K143" s="26">
        <f>+J143+(F143/12)</f>
        <v>2021.6666666666667</v>
      </c>
      <c r="L143" s="35">
        <f>297122+8555+23411</f>
        <v>329088</v>
      </c>
      <c r="M143" s="35">
        <f>L143-L143*G143</f>
        <v>329088</v>
      </c>
      <c r="N143" s="35">
        <f>M143/I143/12</f>
        <v>3047.1111111111113</v>
      </c>
      <c r="O143" s="35">
        <f>+N143*12</f>
        <v>36565.333333333336</v>
      </c>
      <c r="P143" s="35">
        <f>+IF(K143&lt;=$M$5,0,IF(J143=$M$4,N143*F143,O143))</f>
        <v>0</v>
      </c>
      <c r="Q143" s="35">
        <f>+IF(P143=0,M143,IF($M$3-E143&lt;1,0,(($M$3-E143)*O143)))</f>
        <v>329088</v>
      </c>
      <c r="R143" s="35">
        <f>+IF(P143=0,Q143,Q143+P143)</f>
        <v>329088</v>
      </c>
      <c r="S143" s="35">
        <f>+L143-R143</f>
        <v>0</v>
      </c>
    </row>
    <row r="144" spans="1:19">
      <c r="B144" s="28">
        <v>109992</v>
      </c>
      <c r="C144" s="59">
        <v>3603</v>
      </c>
      <c r="D144" s="59" t="s">
        <v>490</v>
      </c>
      <c r="E144" s="59">
        <v>2013</v>
      </c>
      <c r="F144" s="59">
        <v>12</v>
      </c>
      <c r="G144" s="30">
        <v>0</v>
      </c>
      <c r="H144" s="59" t="s">
        <v>78</v>
      </c>
      <c r="I144" s="59">
        <v>3</v>
      </c>
      <c r="J144" s="59">
        <f>E144+I144</f>
        <v>2016</v>
      </c>
      <c r="K144" s="26">
        <f>+J144+(F144/12)</f>
        <v>2017</v>
      </c>
      <c r="L144" s="35">
        <v>24943.74</v>
      </c>
      <c r="M144" s="35">
        <f>L144-L144*G144</f>
        <v>24943.74</v>
      </c>
      <c r="N144" s="35">
        <f>M144/I144/12</f>
        <v>692.88166666666666</v>
      </c>
      <c r="O144" s="35">
        <f>+N144*12</f>
        <v>8314.58</v>
      </c>
      <c r="P144" s="35">
        <f>+IF(K144&lt;=$M$5,0,IF(J144=$M$4,N144*F144,O144))</f>
        <v>0</v>
      </c>
      <c r="Q144" s="35">
        <f>+IF(P144=0,M144,IF($M$3-E144&lt;1,0,(($M$3-E144)*O144)))</f>
        <v>24943.74</v>
      </c>
      <c r="R144" s="35">
        <f>+IF(P144=0,Q144,Q144+P144)</f>
        <v>24943.74</v>
      </c>
      <c r="S144" s="35">
        <f>+L144-R144</f>
        <v>0</v>
      </c>
    </row>
    <row r="145" spans="1:19">
      <c r="B145" s="28">
        <v>108086</v>
      </c>
      <c r="C145" s="59">
        <v>3604</v>
      </c>
      <c r="D145" s="59" t="s">
        <v>487</v>
      </c>
      <c r="E145" s="59">
        <v>2013</v>
      </c>
      <c r="F145" s="59">
        <v>10</v>
      </c>
      <c r="G145" s="30">
        <v>0</v>
      </c>
      <c r="H145" s="59" t="s">
        <v>78</v>
      </c>
      <c r="I145" s="59">
        <v>3</v>
      </c>
      <c r="J145" s="59">
        <f t="shared" si="150"/>
        <v>2016</v>
      </c>
      <c r="K145" s="26">
        <f t="shared" si="151"/>
        <v>2016.8333333333333</v>
      </c>
      <c r="L145" s="35">
        <v>23561.96</v>
      </c>
      <c r="M145" s="35">
        <f t="shared" si="158"/>
        <v>23561.96</v>
      </c>
      <c r="N145" s="35">
        <f t="shared" si="152"/>
        <v>654.49888888888893</v>
      </c>
      <c r="O145" s="35">
        <f t="shared" si="153"/>
        <v>7853.9866666666676</v>
      </c>
      <c r="P145" s="35">
        <f t="shared" si="154"/>
        <v>0</v>
      </c>
      <c r="Q145" s="35">
        <f t="shared" si="155"/>
        <v>23561.96</v>
      </c>
      <c r="R145" s="35">
        <f t="shared" si="156"/>
        <v>23561.96</v>
      </c>
      <c r="S145" s="35">
        <f t="shared" si="157"/>
        <v>0</v>
      </c>
    </row>
    <row r="146" spans="1:19">
      <c r="A146" s="59" t="s">
        <v>462</v>
      </c>
      <c r="B146" s="28">
        <v>109518</v>
      </c>
      <c r="C146" s="59">
        <v>3540</v>
      </c>
      <c r="D146" s="59" t="s">
        <v>492</v>
      </c>
      <c r="E146" s="59">
        <v>2013</v>
      </c>
      <c r="F146" s="59">
        <v>12</v>
      </c>
      <c r="G146" s="30">
        <v>0</v>
      </c>
      <c r="H146" s="59" t="s">
        <v>78</v>
      </c>
      <c r="I146" s="59">
        <v>9</v>
      </c>
      <c r="J146" s="59">
        <f>E146+I146</f>
        <v>2022</v>
      </c>
      <c r="K146" s="26">
        <f>+J146+(F146/12)</f>
        <v>2023</v>
      </c>
      <c r="L146" s="35">
        <v>334095.67</v>
      </c>
      <c r="M146" s="35">
        <f>L146-L146*G146</f>
        <v>334095.67</v>
      </c>
      <c r="N146" s="35">
        <f>M146/I146/12</f>
        <v>3093.4784259259254</v>
      </c>
      <c r="O146" s="35">
        <f>+N146*12</f>
        <v>37121.741111111107</v>
      </c>
      <c r="P146" s="35">
        <f>+IF(K146&lt;=$M$5,0,IF(J146=$M$4,N146*F146,O146))</f>
        <v>37121.741111111107</v>
      </c>
      <c r="Q146" s="35">
        <f>+IF(P146=0,M146,IF($M$3-E146&lt;1,0,(($M$3-E146)*O146)))</f>
        <v>296973.92888888885</v>
      </c>
      <c r="R146" s="35">
        <f>+IF(P146=0,Q146,Q146+P146)</f>
        <v>334095.67</v>
      </c>
      <c r="S146" s="35">
        <f>+L146-R146</f>
        <v>0</v>
      </c>
    </row>
    <row r="147" spans="1:19">
      <c r="A147" s="59" t="s">
        <v>462</v>
      </c>
      <c r="B147" s="28">
        <v>109519</v>
      </c>
      <c r="C147" s="59">
        <v>3541</v>
      </c>
      <c r="D147" s="59" t="s">
        <v>491</v>
      </c>
      <c r="E147" s="59">
        <v>2013</v>
      </c>
      <c r="F147" s="59">
        <v>12</v>
      </c>
      <c r="G147" s="30">
        <v>0</v>
      </c>
      <c r="H147" s="59" t="s">
        <v>78</v>
      </c>
      <c r="I147" s="59">
        <v>10</v>
      </c>
      <c r="J147" s="59">
        <f>E147+I147</f>
        <v>2023</v>
      </c>
      <c r="K147" s="26">
        <f>+J147+(F147/12)</f>
        <v>2024</v>
      </c>
      <c r="L147" s="35">
        <v>332641.82</v>
      </c>
      <c r="M147" s="35">
        <f>L147-L147*G147</f>
        <v>332641.82</v>
      </c>
      <c r="N147" s="35">
        <f>M147/I147/12</f>
        <v>2772.0151666666666</v>
      </c>
      <c r="O147" s="35">
        <f>+N147*12</f>
        <v>33264.182000000001</v>
      </c>
      <c r="P147" s="35">
        <f>+IF(K147&lt;=$M$5,0,IF(J147=$M$4,N147*F147,O147))</f>
        <v>33264.182000000001</v>
      </c>
      <c r="Q147" s="35">
        <f>+IF(P147=0,M147,IF($M$3-E147&lt;1,0,(($M$3-E147)*O147)))</f>
        <v>266113.45600000001</v>
      </c>
      <c r="R147" s="35">
        <f>+IF(P147=0,Q147,Q147+P147)</f>
        <v>299377.63800000004</v>
      </c>
      <c r="S147" s="35">
        <f>+L147-R147</f>
        <v>33264.181999999972</v>
      </c>
    </row>
    <row r="148" spans="1:19">
      <c r="A148" s="59" t="s">
        <v>462</v>
      </c>
      <c r="B148" s="28" t="s">
        <v>499</v>
      </c>
      <c r="C148" s="59">
        <v>3542</v>
      </c>
      <c r="D148" s="59" t="s">
        <v>491</v>
      </c>
      <c r="E148" s="59">
        <v>2013</v>
      </c>
      <c r="F148" s="59">
        <v>12</v>
      </c>
      <c r="G148" s="30">
        <v>0</v>
      </c>
      <c r="H148" s="59" t="s">
        <v>78</v>
      </c>
      <c r="I148" s="59">
        <v>10</v>
      </c>
      <c r="J148" s="59">
        <f>E148+I148</f>
        <v>2023</v>
      </c>
      <c r="K148" s="26">
        <f>+J148+(F148/12)</f>
        <v>2024</v>
      </c>
      <c r="L148" s="35">
        <f>323070.82+904.93</f>
        <v>323975.75</v>
      </c>
      <c r="M148" s="35">
        <f>L148-L148*G148</f>
        <v>323975.75</v>
      </c>
      <c r="N148" s="35">
        <f>M148/I148/12</f>
        <v>2699.7979166666669</v>
      </c>
      <c r="O148" s="35">
        <f>+N148*12</f>
        <v>32397.575000000004</v>
      </c>
      <c r="P148" s="35">
        <f>+IF(K148&lt;=$M$5,0,IF(J148=$M$4,N148*F148,O148))</f>
        <v>32397.575000000004</v>
      </c>
      <c r="Q148" s="35">
        <f>+IF(P148=0,M148,IF($M$3-E148&lt;1,0,(($M$3-E148)*O148)))</f>
        <v>259180.60000000003</v>
      </c>
      <c r="R148" s="35">
        <f>+IF(P148=0,Q148,Q148+P148)</f>
        <v>291578.17500000005</v>
      </c>
      <c r="S148" s="35">
        <f>+L148-R148</f>
        <v>32397.574999999953</v>
      </c>
    </row>
    <row r="149" spans="1:19">
      <c r="B149" s="28">
        <v>124606</v>
      </c>
      <c r="C149" s="59">
        <v>3603</v>
      </c>
      <c r="D149" s="59" t="s">
        <v>570</v>
      </c>
      <c r="E149" s="59">
        <v>2015</v>
      </c>
      <c r="F149" s="59">
        <v>6</v>
      </c>
      <c r="G149" s="30">
        <v>0</v>
      </c>
      <c r="H149" s="59" t="s">
        <v>78</v>
      </c>
      <c r="I149" s="59">
        <v>3</v>
      </c>
      <c r="J149" s="59">
        <f>E149+I149</f>
        <v>2018</v>
      </c>
      <c r="K149" s="26">
        <f>+J149+(F149/12)</f>
        <v>2018.5</v>
      </c>
      <c r="L149" s="35">
        <v>10023.450000000001</v>
      </c>
      <c r="M149" s="35">
        <f>L149-L149*G149</f>
        <v>10023.450000000001</v>
      </c>
      <c r="N149" s="35">
        <f>M149/I149/12</f>
        <v>278.42916666666667</v>
      </c>
      <c r="O149" s="35">
        <f>+N149*12</f>
        <v>3341.15</v>
      </c>
      <c r="P149" s="35">
        <f>+IF(K149&lt;=$M$5,0,IF(J149=$M$4,N149*F149,O149))</f>
        <v>0</v>
      </c>
      <c r="Q149" s="35">
        <f>+IF(P149=0,M149,IF($M$3-E149&lt;1,0,(($M$3-E149)*O149)))</f>
        <v>10023.450000000001</v>
      </c>
      <c r="R149" s="35">
        <f>+IF(P149=0,Q149,Q149+P149)</f>
        <v>10023.450000000001</v>
      </c>
      <c r="S149" s="35">
        <f>+L149-R149</f>
        <v>0</v>
      </c>
    </row>
    <row r="150" spans="1:19">
      <c r="B150" s="28" t="s">
        <v>593</v>
      </c>
      <c r="D150" s="59" t="s">
        <v>589</v>
      </c>
      <c r="E150" s="59">
        <v>2016</v>
      </c>
      <c r="F150" s="59">
        <v>4</v>
      </c>
      <c r="G150" s="30">
        <v>0</v>
      </c>
      <c r="H150" s="59" t="s">
        <v>78</v>
      </c>
      <c r="I150" s="59">
        <v>3</v>
      </c>
      <c r="J150" s="59">
        <f t="shared" si="150"/>
        <v>2019</v>
      </c>
      <c r="K150" s="26">
        <f t="shared" si="151"/>
        <v>2019.3333333333333</v>
      </c>
      <c r="L150" s="35">
        <f>((14612.94+16641.82+675)/75)*14</f>
        <v>5960.2218666666668</v>
      </c>
      <c r="M150" s="35">
        <f t="shared" si="158"/>
        <v>5960.2218666666668</v>
      </c>
      <c r="N150" s="35">
        <f t="shared" si="152"/>
        <v>165.56171851851852</v>
      </c>
      <c r="O150" s="35">
        <f t="shared" si="153"/>
        <v>1986.7406222222221</v>
      </c>
      <c r="P150" s="35">
        <f t="shared" si="154"/>
        <v>0</v>
      </c>
      <c r="Q150" s="35">
        <f t="shared" si="155"/>
        <v>5960.2218666666668</v>
      </c>
      <c r="R150" s="35">
        <f t="shared" si="156"/>
        <v>5960.2218666666668</v>
      </c>
      <c r="S150" s="35">
        <f t="shared" si="157"/>
        <v>0</v>
      </c>
    </row>
    <row r="151" spans="1:19">
      <c r="B151" s="28" t="s">
        <v>599</v>
      </c>
      <c r="C151" s="59">
        <v>5049</v>
      </c>
      <c r="D151" s="59" t="s">
        <v>600</v>
      </c>
      <c r="E151" s="59">
        <v>2016</v>
      </c>
      <c r="F151" s="59">
        <v>11</v>
      </c>
      <c r="G151" s="30">
        <v>0</v>
      </c>
      <c r="H151" s="59" t="s">
        <v>78</v>
      </c>
      <c r="I151" s="59">
        <v>10</v>
      </c>
      <c r="J151" s="59">
        <f t="shared" si="150"/>
        <v>2026</v>
      </c>
      <c r="K151" s="26">
        <f t="shared" si="151"/>
        <v>2026.9166666666667</v>
      </c>
      <c r="L151" s="35">
        <f>230356.84+152.33</f>
        <v>230509.16999999998</v>
      </c>
      <c r="M151" s="35">
        <f t="shared" si="158"/>
        <v>230509.16999999998</v>
      </c>
      <c r="N151" s="35">
        <f t="shared" si="152"/>
        <v>1920.9097499999998</v>
      </c>
      <c r="O151" s="35">
        <f t="shared" si="153"/>
        <v>23050.916999999998</v>
      </c>
      <c r="P151" s="35">
        <f t="shared" si="154"/>
        <v>23050.916999999998</v>
      </c>
      <c r="Q151" s="35">
        <f t="shared" si="155"/>
        <v>115254.58499999999</v>
      </c>
      <c r="R151" s="35">
        <f t="shared" si="156"/>
        <v>138305.50199999998</v>
      </c>
      <c r="S151" s="35">
        <f t="shared" si="157"/>
        <v>92203.668000000005</v>
      </c>
    </row>
    <row r="152" spans="1:19">
      <c r="B152" s="28">
        <v>170000</v>
      </c>
      <c r="C152" s="59">
        <v>5048</v>
      </c>
      <c r="D152" s="59" t="s">
        <v>598</v>
      </c>
      <c r="E152" s="59">
        <v>2016</v>
      </c>
      <c r="F152" s="59">
        <v>11</v>
      </c>
      <c r="G152" s="30">
        <v>0</v>
      </c>
      <c r="H152" s="59" t="s">
        <v>78</v>
      </c>
      <c r="I152" s="59">
        <v>10</v>
      </c>
      <c r="J152" s="59">
        <f t="shared" si="150"/>
        <v>2026</v>
      </c>
      <c r="K152" s="26">
        <f t="shared" si="151"/>
        <v>2026.9166666666667</v>
      </c>
      <c r="L152" s="35">
        <v>230356.84</v>
      </c>
      <c r="M152" s="35">
        <f t="shared" si="158"/>
        <v>230356.84</v>
      </c>
      <c r="N152" s="35">
        <f t="shared" si="152"/>
        <v>1919.6403333333335</v>
      </c>
      <c r="O152" s="35">
        <f t="shared" si="153"/>
        <v>23035.684000000001</v>
      </c>
      <c r="P152" s="35">
        <f t="shared" si="154"/>
        <v>23035.684000000001</v>
      </c>
      <c r="Q152" s="35">
        <f t="shared" si="155"/>
        <v>115178.42000000001</v>
      </c>
      <c r="R152" s="35">
        <f t="shared" si="156"/>
        <v>138214.10400000002</v>
      </c>
      <c r="S152" s="35">
        <f t="shared" si="157"/>
        <v>92142.735999999975</v>
      </c>
    </row>
    <row r="153" spans="1:19">
      <c r="B153" s="28" t="s">
        <v>601</v>
      </c>
      <c r="C153" s="59">
        <v>5047</v>
      </c>
      <c r="D153" s="59" t="s">
        <v>600</v>
      </c>
      <c r="E153" s="59">
        <v>2016</v>
      </c>
      <c r="F153" s="59">
        <v>11</v>
      </c>
      <c r="G153" s="30">
        <v>0</v>
      </c>
      <c r="H153" s="59" t="s">
        <v>78</v>
      </c>
      <c r="I153" s="59">
        <v>10</v>
      </c>
      <c r="J153" s="59">
        <f t="shared" si="150"/>
        <v>2026</v>
      </c>
      <c r="K153" s="26">
        <f t="shared" si="151"/>
        <v>2026.9166666666667</v>
      </c>
      <c r="L153" s="35">
        <f>230356.84+152.33</f>
        <v>230509.16999999998</v>
      </c>
      <c r="M153" s="35">
        <f t="shared" si="158"/>
        <v>230509.16999999998</v>
      </c>
      <c r="N153" s="35">
        <f t="shared" si="152"/>
        <v>1920.9097499999998</v>
      </c>
      <c r="O153" s="35">
        <f t="shared" si="153"/>
        <v>23050.916999999998</v>
      </c>
      <c r="P153" s="35">
        <f t="shared" si="154"/>
        <v>23050.916999999998</v>
      </c>
      <c r="Q153" s="35">
        <f t="shared" si="155"/>
        <v>115254.58499999999</v>
      </c>
      <c r="R153" s="35">
        <f t="shared" si="156"/>
        <v>138305.50199999998</v>
      </c>
      <c r="S153" s="35">
        <f t="shared" si="157"/>
        <v>92203.668000000005</v>
      </c>
    </row>
    <row r="154" spans="1:19">
      <c r="B154" s="28" t="s">
        <v>760</v>
      </c>
      <c r="C154" s="59">
        <v>5050</v>
      </c>
      <c r="D154" s="59" t="s">
        <v>726</v>
      </c>
      <c r="E154" s="59">
        <v>2018</v>
      </c>
      <c r="F154" s="59">
        <v>8</v>
      </c>
      <c r="G154" s="30">
        <v>0</v>
      </c>
      <c r="H154" s="59" t="s">
        <v>78</v>
      </c>
      <c r="I154" s="59">
        <v>10</v>
      </c>
      <c r="J154" s="59">
        <f t="shared" si="150"/>
        <v>2028</v>
      </c>
      <c r="K154" s="26">
        <f t="shared" si="151"/>
        <v>2028.6666666666667</v>
      </c>
      <c r="L154" s="35">
        <f>235481.69+811.22</f>
        <v>236292.91</v>
      </c>
      <c r="M154" s="35">
        <f t="shared" si="158"/>
        <v>236292.91</v>
      </c>
      <c r="N154" s="35">
        <f t="shared" si="152"/>
        <v>1969.1075833333334</v>
      </c>
      <c r="O154" s="35">
        <f t="shared" ref="O154:O160" si="159">+N154*12</f>
        <v>23629.291000000001</v>
      </c>
      <c r="P154" s="35">
        <f>+IF(K154&lt;=$M$5,0,IF(J154&gt;$M$4,O154,N154*F154))</f>
        <v>23629.291000000001</v>
      </c>
      <c r="Q154" s="35">
        <f t="shared" si="155"/>
        <v>70887.873000000007</v>
      </c>
      <c r="R154" s="35">
        <f t="shared" si="156"/>
        <v>94517.164000000004</v>
      </c>
      <c r="S154" s="35">
        <f t="shared" si="157"/>
        <v>141775.74599999998</v>
      </c>
    </row>
    <row r="155" spans="1:19">
      <c r="A155" s="59" t="s">
        <v>772</v>
      </c>
      <c r="C155" s="59">
        <v>5050</v>
      </c>
      <c r="D155" s="59" t="s">
        <v>767</v>
      </c>
      <c r="E155" s="59">
        <v>2018</v>
      </c>
      <c r="F155" s="59">
        <v>8</v>
      </c>
      <c r="G155" s="30">
        <v>0</v>
      </c>
      <c r="H155" s="59" t="s">
        <v>78</v>
      </c>
      <c r="I155" s="59">
        <v>5</v>
      </c>
      <c r="J155" s="59">
        <f t="shared" si="150"/>
        <v>2023</v>
      </c>
      <c r="K155" s="26">
        <f t="shared" si="151"/>
        <v>2023.6666666666667</v>
      </c>
      <c r="L155" s="35">
        <f>519.47+731.05</f>
        <v>1250.52</v>
      </c>
      <c r="M155" s="35">
        <f t="shared" ref="M155" si="160">L155-L155*G155</f>
        <v>1250.52</v>
      </c>
      <c r="N155" s="35">
        <f t="shared" ref="N155" si="161">M155/I155/12</f>
        <v>20.841999999999999</v>
      </c>
      <c r="O155" s="35">
        <f t="shared" si="159"/>
        <v>250.10399999999998</v>
      </c>
      <c r="P155" s="35">
        <f>+IF(K155&lt;=$M$5,0,IF(J155&gt;$M$4,O155,N155*F155))</f>
        <v>250.10399999999998</v>
      </c>
      <c r="Q155" s="35">
        <f t="shared" ref="Q155" si="162">+IF(P155=0,M155,IF($M$3-E155&lt;1,0,(($M$3-E155)*O155)))</f>
        <v>750.3119999999999</v>
      </c>
      <c r="R155" s="35">
        <f t="shared" ref="R155" si="163">+IF(P155=0,Q155,Q155+P155)</f>
        <v>1000.4159999999999</v>
      </c>
      <c r="S155" s="35">
        <f t="shared" ref="S155" si="164">+L155-R155</f>
        <v>250.10400000000004</v>
      </c>
    </row>
    <row r="156" spans="1:19">
      <c r="B156" s="28" t="s">
        <v>759</v>
      </c>
      <c r="C156" s="59">
        <v>3674</v>
      </c>
      <c r="D156" s="59" t="s">
        <v>723</v>
      </c>
      <c r="E156" s="59">
        <v>2018</v>
      </c>
      <c r="F156" s="59">
        <v>8</v>
      </c>
      <c r="G156" s="30">
        <v>0</v>
      </c>
      <c r="H156" s="59" t="s">
        <v>78</v>
      </c>
      <c r="I156" s="59">
        <v>10</v>
      </c>
      <c r="J156" s="59">
        <f>E156+I156</f>
        <v>2028</v>
      </c>
      <c r="K156" s="26">
        <f>+J156+(F156/12)</f>
        <v>2028.6666666666667</v>
      </c>
      <c r="L156" s="35">
        <f>339272.41+1523.41</f>
        <v>340795.81999999995</v>
      </c>
      <c r="M156" s="35">
        <f t="shared" ref="M156:M160" si="165">L156-L156*G156</f>
        <v>340795.81999999995</v>
      </c>
      <c r="N156" s="35">
        <f t="shared" ref="N156:N160" si="166">M156/I156/12</f>
        <v>2839.9651666666664</v>
      </c>
      <c r="O156" s="35">
        <f t="shared" si="159"/>
        <v>34079.581999999995</v>
      </c>
      <c r="P156" s="35">
        <f t="shared" ref="P156:P160" si="167">+IF(K156&lt;=$M$5,0,IF(J156=$M$4,N156*F156,O156))</f>
        <v>34079.581999999995</v>
      </c>
      <c r="Q156" s="35">
        <f>+IF(P156=0,M156,IF($M$3-E156&lt;1,0,(($M$3-E156)*O156)))</f>
        <v>102238.74599999998</v>
      </c>
      <c r="R156" s="35">
        <f>+IF(P156=0,Q156,Q156+P156)</f>
        <v>136318.32799999998</v>
      </c>
      <c r="S156" s="35">
        <f>+L156-R156</f>
        <v>204477.49199999997</v>
      </c>
    </row>
    <row r="157" spans="1:19">
      <c r="B157" s="28" t="s">
        <v>781</v>
      </c>
      <c r="C157" s="59">
        <v>3674</v>
      </c>
      <c r="D157" s="59" t="s">
        <v>782</v>
      </c>
      <c r="E157" s="59">
        <v>2018</v>
      </c>
      <c r="F157" s="59">
        <v>8</v>
      </c>
      <c r="G157" s="30">
        <v>0</v>
      </c>
      <c r="H157" s="59" t="s">
        <v>78</v>
      </c>
      <c r="I157" s="59">
        <v>5</v>
      </c>
      <c r="J157" s="59">
        <f>E157+I157</f>
        <v>2023</v>
      </c>
      <c r="K157" s="26">
        <f>+J157+(F157/12)</f>
        <v>2023.6666666666667</v>
      </c>
      <c r="L157" s="35">
        <f>731.05+519.47</f>
        <v>1250.52</v>
      </c>
      <c r="M157" s="35">
        <f t="shared" si="165"/>
        <v>1250.52</v>
      </c>
      <c r="N157" s="35">
        <f t="shared" si="166"/>
        <v>20.841999999999999</v>
      </c>
      <c r="O157" s="35">
        <f t="shared" si="159"/>
        <v>250.10399999999998</v>
      </c>
      <c r="P157" s="35">
        <f t="shared" si="167"/>
        <v>250.10399999999998</v>
      </c>
      <c r="Q157" s="35">
        <f>+IF(P157=0,M157,IF($M$3-E157&lt;1,0,(($M$3-E157)*O157)))</f>
        <v>750.3119999999999</v>
      </c>
      <c r="R157" s="35">
        <f>+IF(P157=0,Q157,Q157+P157)</f>
        <v>1000.4159999999999</v>
      </c>
      <c r="S157" s="35">
        <f>+L157-R157</f>
        <v>250.10400000000004</v>
      </c>
    </row>
    <row r="158" spans="1:19" s="71" customFormat="1">
      <c r="A158" s="130"/>
      <c r="B158" s="131"/>
      <c r="C158" s="130"/>
      <c r="D158" s="130" t="s">
        <v>793</v>
      </c>
      <c r="E158" s="130">
        <v>2019</v>
      </c>
      <c r="F158" s="130">
        <v>8</v>
      </c>
      <c r="G158" s="132">
        <v>0</v>
      </c>
      <c r="H158" s="130" t="s">
        <v>78</v>
      </c>
      <c r="I158" s="130">
        <v>3</v>
      </c>
      <c r="J158" s="130">
        <f t="shared" ref="J158:J160" si="168">E158+I158</f>
        <v>2022</v>
      </c>
      <c r="K158" s="133">
        <f t="shared" ref="K158:K160" si="169">+J158+(F158/12)</f>
        <v>2022.6666666666667</v>
      </c>
      <c r="L158" s="134">
        <f>M218+M220+M228+M232+M249</f>
        <v>37988.466</v>
      </c>
      <c r="M158" s="136">
        <f t="shared" si="165"/>
        <v>37988.466</v>
      </c>
      <c r="N158" s="136">
        <f t="shared" si="166"/>
        <v>1055.2351666666666</v>
      </c>
      <c r="O158" s="136">
        <f t="shared" si="159"/>
        <v>12662.822</v>
      </c>
      <c r="P158" s="469">
        <f>+IF(K158&lt;=$M$5,0,IF(J158=$M$4,N158*F158,O158))/3</f>
        <v>2813.9604444444444</v>
      </c>
      <c r="Q158" s="137">
        <f t="shared" ref="Q158" si="170">+IF(P158=0,M158,IF($M$3-E158&lt;1,0,(($M$3-E158)*O158)))</f>
        <v>25325.644</v>
      </c>
      <c r="R158" s="137">
        <f t="shared" ref="R158" si="171">+IF(P158=0,Q158,Q158+P158)</f>
        <v>28139.604444444445</v>
      </c>
      <c r="S158" s="137">
        <v>0</v>
      </c>
    </row>
    <row r="159" spans="1:19" s="56" customFormat="1">
      <c r="B159" s="64">
        <v>242814</v>
      </c>
      <c r="C159" s="56">
        <v>5051</v>
      </c>
      <c r="D159" s="56" t="s">
        <v>891</v>
      </c>
      <c r="E159" s="56">
        <v>2020</v>
      </c>
      <c r="F159" s="56">
        <v>11</v>
      </c>
      <c r="G159" s="38">
        <v>0</v>
      </c>
      <c r="H159" s="56" t="s">
        <v>78</v>
      </c>
      <c r="I159" s="56">
        <v>10</v>
      </c>
      <c r="J159" s="56">
        <f t="shared" si="168"/>
        <v>2030</v>
      </c>
      <c r="K159" s="62">
        <f t="shared" si="169"/>
        <v>2030.9166666666667</v>
      </c>
      <c r="L159" s="63">
        <v>247824.64000000001</v>
      </c>
      <c r="M159" s="35">
        <f t="shared" si="165"/>
        <v>247824.64000000001</v>
      </c>
      <c r="N159" s="35">
        <f t="shared" si="166"/>
        <v>2065.2053333333333</v>
      </c>
      <c r="O159" s="35">
        <f t="shared" si="159"/>
        <v>24782.464</v>
      </c>
      <c r="P159" s="35">
        <f t="shared" si="167"/>
        <v>24782.464</v>
      </c>
      <c r="Q159" s="63">
        <f t="shared" ref="Q159" si="172">+IF(P159=0,M159,IF($M$3-E159&lt;1,0,(($M$3-E159)*O159)))</f>
        <v>24782.464</v>
      </c>
      <c r="R159" s="63">
        <f t="shared" ref="R159" si="173">+IF(P159=0,Q159,Q159+P159)</f>
        <v>49564.928</v>
      </c>
      <c r="S159" s="63">
        <v>1</v>
      </c>
    </row>
    <row r="160" spans="1:19" s="56" customFormat="1">
      <c r="B160" s="64" t="s">
        <v>902</v>
      </c>
      <c r="C160" s="56">
        <v>5051</v>
      </c>
      <c r="D160" s="56" t="s">
        <v>888</v>
      </c>
      <c r="E160" s="56">
        <v>2020</v>
      </c>
      <c r="F160" s="56">
        <v>12</v>
      </c>
      <c r="G160" s="38">
        <v>0</v>
      </c>
      <c r="H160" s="56" t="s">
        <v>78</v>
      </c>
      <c r="I160" s="56">
        <v>5</v>
      </c>
      <c r="J160" s="56">
        <f t="shared" si="168"/>
        <v>2025</v>
      </c>
      <c r="K160" s="62">
        <f t="shared" si="169"/>
        <v>2026</v>
      </c>
      <c r="L160" s="63">
        <v>592.41999999999996</v>
      </c>
      <c r="M160" s="35">
        <f t="shared" si="165"/>
        <v>592.41999999999996</v>
      </c>
      <c r="N160" s="35">
        <f t="shared" si="166"/>
        <v>9.8736666666666668</v>
      </c>
      <c r="O160" s="35">
        <f t="shared" si="159"/>
        <v>118.48400000000001</v>
      </c>
      <c r="P160" s="35">
        <f t="shared" si="167"/>
        <v>118.48400000000001</v>
      </c>
      <c r="Q160" s="63">
        <f t="shared" ref="Q160" si="174">+IF(P160=0,M160,IF($M$3-E160&lt;1,0,(($M$3-E160)*O160)))</f>
        <v>118.48400000000001</v>
      </c>
      <c r="R160" s="63">
        <f t="shared" ref="R160" si="175">+IF(P160=0,Q160,Q160+P160)</f>
        <v>236.96800000000002</v>
      </c>
      <c r="S160" s="63">
        <v>2</v>
      </c>
    </row>
    <row r="161" spans="1:19">
      <c r="L161" s="35"/>
      <c r="M161" s="35"/>
      <c r="N161" s="35"/>
      <c r="O161" s="35"/>
      <c r="P161" s="35"/>
      <c r="Q161" s="63"/>
      <c r="R161" s="63"/>
      <c r="S161" s="63"/>
    </row>
    <row r="162" spans="1:19">
      <c r="C162" s="51">
        <v>18</v>
      </c>
      <c r="D162" s="51" t="s">
        <v>405</v>
      </c>
      <c r="L162" s="85">
        <f t="shared" ref="L162:S162" si="176">SUM(L134:L161)</f>
        <v>3548946.9678666666</v>
      </c>
      <c r="M162" s="85">
        <f t="shared" si="176"/>
        <v>3548946.9678666666</v>
      </c>
      <c r="N162" s="85">
        <f t="shared" si="176"/>
        <v>36393.343840634909</v>
      </c>
      <c r="O162" s="85">
        <f t="shared" si="176"/>
        <v>436720.12608761911</v>
      </c>
      <c r="P162" s="85">
        <f>SUM(P134:P161)</f>
        <v>266850.39324444439</v>
      </c>
      <c r="Q162" s="85">
        <f t="shared" si="176"/>
        <v>2353148.4171555554</v>
      </c>
      <c r="R162" s="85">
        <f t="shared" si="176"/>
        <v>2619998.8103999994</v>
      </c>
      <c r="S162" s="85">
        <f t="shared" si="176"/>
        <v>720487.13191111106</v>
      </c>
    </row>
    <row r="163" spans="1:19">
      <c r="K163" s="87"/>
      <c r="L163" s="35"/>
      <c r="M163" s="35"/>
      <c r="N163" s="35"/>
      <c r="O163" s="35"/>
      <c r="P163" s="35"/>
      <c r="Q163" s="35"/>
      <c r="R163" s="35"/>
      <c r="S163" s="35"/>
    </row>
    <row r="164" spans="1:19">
      <c r="L164" s="35"/>
      <c r="M164" s="35"/>
      <c r="N164" s="35"/>
      <c r="O164" s="35"/>
      <c r="P164" s="35"/>
      <c r="Q164" s="35"/>
      <c r="R164" s="35"/>
      <c r="S164" s="35"/>
    </row>
    <row r="165" spans="1:19">
      <c r="D165" s="51" t="s">
        <v>295</v>
      </c>
      <c r="L165" s="35"/>
      <c r="M165" s="35"/>
      <c r="N165" s="35"/>
      <c r="O165" s="35"/>
      <c r="P165" s="35"/>
      <c r="Q165" s="35"/>
      <c r="R165" s="35"/>
      <c r="S165" s="35"/>
    </row>
    <row r="166" spans="1:19">
      <c r="L166" s="35"/>
      <c r="M166" s="35"/>
      <c r="N166" s="35"/>
      <c r="O166" s="35"/>
      <c r="P166" s="35"/>
      <c r="Q166" s="35"/>
      <c r="R166" s="35"/>
      <c r="S166" s="35"/>
    </row>
    <row r="167" spans="1:19">
      <c r="A167" s="59" t="s">
        <v>462</v>
      </c>
      <c r="B167" s="28">
        <v>109517</v>
      </c>
      <c r="C167" s="59">
        <v>3539</v>
      </c>
      <c r="D167" s="59" t="s">
        <v>492</v>
      </c>
      <c r="E167" s="59">
        <v>2013</v>
      </c>
      <c r="F167" s="59">
        <v>12</v>
      </c>
      <c r="G167" s="30">
        <v>0</v>
      </c>
      <c r="H167" s="59" t="s">
        <v>78</v>
      </c>
      <c r="I167" s="59">
        <v>10</v>
      </c>
      <c r="J167" s="59">
        <f>E167+I167</f>
        <v>2023</v>
      </c>
      <c r="K167" s="26">
        <f>+J167+(F167/12)</f>
        <v>2024</v>
      </c>
      <c r="L167" s="35">
        <v>331758.37</v>
      </c>
      <c r="M167" s="35">
        <f>L167-L167*G167</f>
        <v>331758.37</v>
      </c>
      <c r="N167" s="35">
        <f>M167/I167/12</f>
        <v>2764.6530833333331</v>
      </c>
      <c r="O167" s="35">
        <f>+N167*12</f>
        <v>33175.837</v>
      </c>
      <c r="P167" s="35">
        <f>+IF(K167&lt;=$M$5,0,IF(J167=$M$4,N167*F167,O167))</f>
        <v>33175.837</v>
      </c>
      <c r="Q167" s="35">
        <f>+IF(P167=0,M167,IF($M$3-E167&lt;1,0,(($M$3-E167)*O167)))</f>
        <v>265406.696</v>
      </c>
      <c r="R167" s="35">
        <f>+IF(P167=0,Q167,Q167+P167)</f>
        <v>298582.533</v>
      </c>
      <c r="S167" s="35">
        <f>+L167-R167</f>
        <v>33175.837</v>
      </c>
    </row>
    <row r="168" spans="1:19">
      <c r="B168" s="28">
        <v>88721</v>
      </c>
      <c r="D168" s="59" t="s">
        <v>440</v>
      </c>
      <c r="E168" s="59">
        <v>2011</v>
      </c>
      <c r="F168" s="59">
        <v>12</v>
      </c>
      <c r="G168" s="30">
        <v>0</v>
      </c>
      <c r="H168" s="59" t="s">
        <v>78</v>
      </c>
      <c r="I168" s="59">
        <v>5</v>
      </c>
      <c r="J168" s="59">
        <f t="shared" ref="J168:J169" si="177">E168+I168</f>
        <v>2016</v>
      </c>
      <c r="K168" s="26">
        <f t="shared" si="151"/>
        <v>2017</v>
      </c>
      <c r="L168" s="35">
        <f>487.65*3</f>
        <v>1462.9499999999998</v>
      </c>
      <c r="M168" s="35">
        <f>L168-L168*G168</f>
        <v>1462.9499999999998</v>
      </c>
      <c r="N168" s="35">
        <f t="shared" ref="N168:N169" si="178">M168/I168/12</f>
        <v>24.382499999999997</v>
      </c>
      <c r="O168" s="35">
        <f t="shared" ref="O168:O169" si="179">+N168*12</f>
        <v>292.58999999999997</v>
      </c>
      <c r="P168" s="35">
        <f t="shared" ref="P168:P169" si="180">+IF(K168&lt;=$M$5,0,IF(J168&gt;$M$4,O168,N168*F168))</f>
        <v>0</v>
      </c>
      <c r="Q168" s="35">
        <f t="shared" ref="Q168:Q169" si="181">+IF(P168=0,M168,IF($M$3-E168&lt;1,0,(($M$3-E168)*O168)))</f>
        <v>1462.9499999999998</v>
      </c>
      <c r="R168" s="35">
        <f t="shared" ref="R168:R169" si="182">+IF(P168=0,Q168,Q168+P168)</f>
        <v>1462.9499999999998</v>
      </c>
      <c r="S168" s="35">
        <f t="shared" ref="S168:S169" si="183">+L168-R168</f>
        <v>0</v>
      </c>
    </row>
    <row r="169" spans="1:19">
      <c r="B169" s="28" t="s">
        <v>593</v>
      </c>
      <c r="D169" s="59" t="s">
        <v>590</v>
      </c>
      <c r="E169" s="59">
        <v>2016</v>
      </c>
      <c r="F169" s="59">
        <v>4</v>
      </c>
      <c r="G169" s="30">
        <v>0</v>
      </c>
      <c r="H169" s="59" t="s">
        <v>78</v>
      </c>
      <c r="I169" s="59">
        <v>3</v>
      </c>
      <c r="J169" s="59">
        <f t="shared" si="177"/>
        <v>2019</v>
      </c>
      <c r="K169" s="26">
        <f t="shared" si="151"/>
        <v>2019.3333333333333</v>
      </c>
      <c r="L169" s="35">
        <f>((14612.94+16641.82+675)/75)*3</f>
        <v>1277.1904</v>
      </c>
      <c r="M169" s="35">
        <f>L169-L169*G169</f>
        <v>1277.1904</v>
      </c>
      <c r="N169" s="35">
        <f t="shared" si="178"/>
        <v>35.477511111111106</v>
      </c>
      <c r="O169" s="35">
        <f t="shared" si="179"/>
        <v>425.73013333333324</v>
      </c>
      <c r="P169" s="35">
        <f t="shared" si="180"/>
        <v>0</v>
      </c>
      <c r="Q169" s="35">
        <f t="shared" si="181"/>
        <v>1277.1904</v>
      </c>
      <c r="R169" s="35">
        <f t="shared" si="182"/>
        <v>1277.1904</v>
      </c>
      <c r="S169" s="35">
        <f t="shared" si="183"/>
        <v>0</v>
      </c>
    </row>
    <row r="170" spans="1:19">
      <c r="A170" s="59" t="s">
        <v>284</v>
      </c>
      <c r="C170" s="59">
        <v>3621</v>
      </c>
      <c r="D170" s="59" t="s">
        <v>322</v>
      </c>
      <c r="E170" s="59">
        <v>2009</v>
      </c>
      <c r="F170" s="59">
        <v>1</v>
      </c>
      <c r="G170" s="30">
        <v>0</v>
      </c>
      <c r="H170" s="59" t="s">
        <v>78</v>
      </c>
      <c r="I170" s="59">
        <v>7</v>
      </c>
      <c r="J170" s="59">
        <f t="shared" ref="J170:J176" si="184">E170+I170</f>
        <v>2016</v>
      </c>
      <c r="K170" s="26">
        <f t="shared" ref="K170:K176" si="185">+J170+(F170/12)</f>
        <v>2016.0833333333333</v>
      </c>
      <c r="L170" s="35">
        <f>'Orig Trucks 2183'!P46</f>
        <v>177771.16</v>
      </c>
      <c r="M170" s="35">
        <f>L170-L170*G170</f>
        <v>177771.16</v>
      </c>
      <c r="N170" s="35">
        <f t="shared" ref="N170:N175" si="186">M170/I170/12</f>
        <v>2116.3233333333333</v>
      </c>
      <c r="O170" s="35">
        <f t="shared" ref="O170:O175" si="187">+N170*12</f>
        <v>25395.879999999997</v>
      </c>
      <c r="P170" s="35">
        <f t="shared" ref="P170:P174" si="188">+IF(K170&lt;=$M$5,0,IF(J170=$M$4,N170*F170,O170))</f>
        <v>0</v>
      </c>
      <c r="Q170" s="35">
        <f t="shared" ref="Q170:Q175" si="189">+IF(P170=0,M170,IF($M$3-E170&lt;1,0,(($M$3-E170)*O170)))</f>
        <v>177771.16</v>
      </c>
      <c r="R170" s="35">
        <f t="shared" ref="R170:R176" si="190">+IF(P170=0,Q170,Q170+P170)</f>
        <v>177771.16</v>
      </c>
      <c r="S170" s="35">
        <f t="shared" ref="S170:S175" si="191">+L170-R170</f>
        <v>0</v>
      </c>
    </row>
    <row r="171" spans="1:19">
      <c r="A171" s="130"/>
      <c r="B171" s="131"/>
      <c r="C171" s="131">
        <v>3621</v>
      </c>
      <c r="D171" s="130" t="s">
        <v>667</v>
      </c>
      <c r="E171" s="130">
        <v>2019</v>
      </c>
      <c r="F171" s="130">
        <v>8</v>
      </c>
      <c r="G171" s="132">
        <v>0</v>
      </c>
      <c r="H171" s="130" t="s">
        <v>78</v>
      </c>
      <c r="I171" s="130">
        <f>+IF(J170-$M$4&gt;=3,J170-$M$4,3)</f>
        <v>3</v>
      </c>
      <c r="J171" s="130">
        <f t="shared" si="184"/>
        <v>2022</v>
      </c>
      <c r="K171" s="133">
        <f t="shared" si="185"/>
        <v>2022.6666666666667</v>
      </c>
      <c r="L171" s="134">
        <f>'Orig Trucks 2183'!N46-'Trucks 2183'!L170</f>
        <v>44442.790000000008</v>
      </c>
      <c r="M171" s="134">
        <f>L171-(L171*G171)</f>
        <v>44442.790000000008</v>
      </c>
      <c r="N171" s="134">
        <f t="shared" si="186"/>
        <v>1234.5219444444447</v>
      </c>
      <c r="O171" s="134">
        <f t="shared" si="187"/>
        <v>14814.263333333336</v>
      </c>
      <c r="P171" s="469">
        <f>+IF(K171&lt;=$M$5,0,IF(J171=$M$4,N171*F171,O171))/3</f>
        <v>3292.0585185185191</v>
      </c>
      <c r="Q171" s="134">
        <f t="shared" si="189"/>
        <v>29628.526666666672</v>
      </c>
      <c r="R171" s="134">
        <f t="shared" si="190"/>
        <v>32920.585185185191</v>
      </c>
      <c r="S171" s="134">
        <f t="shared" si="191"/>
        <v>11522.204814814817</v>
      </c>
    </row>
    <row r="172" spans="1:19">
      <c r="A172" s="59" t="s">
        <v>284</v>
      </c>
      <c r="C172" s="59">
        <v>3622</v>
      </c>
      <c r="D172" s="59" t="s">
        <v>321</v>
      </c>
      <c r="E172" s="59">
        <v>2008</v>
      </c>
      <c r="F172" s="59">
        <v>10</v>
      </c>
      <c r="G172" s="30">
        <v>0</v>
      </c>
      <c r="H172" s="59" t="s">
        <v>78</v>
      </c>
      <c r="I172" s="59">
        <v>7</v>
      </c>
      <c r="J172" s="59">
        <f t="shared" si="184"/>
        <v>2015</v>
      </c>
      <c r="K172" s="26">
        <f t="shared" si="185"/>
        <v>2015.8333333333333</v>
      </c>
      <c r="L172" s="35">
        <f>'Orig Trucks 2183'!P44</f>
        <v>177771.16</v>
      </c>
      <c r="M172" s="35">
        <f>L172-L172*G172</f>
        <v>177771.16</v>
      </c>
      <c r="N172" s="35">
        <f t="shared" si="186"/>
        <v>2116.3233333333333</v>
      </c>
      <c r="O172" s="35">
        <f t="shared" si="187"/>
        <v>25395.879999999997</v>
      </c>
      <c r="P172" s="35">
        <f t="shared" si="188"/>
        <v>0</v>
      </c>
      <c r="Q172" s="35">
        <f t="shared" si="189"/>
        <v>177771.16</v>
      </c>
      <c r="R172" s="35">
        <f t="shared" si="190"/>
        <v>177771.16</v>
      </c>
      <c r="S172" s="35">
        <f t="shared" si="191"/>
        <v>0</v>
      </c>
    </row>
    <row r="173" spans="1:19">
      <c r="A173" s="130"/>
      <c r="B173" s="131"/>
      <c r="C173" s="131">
        <v>3622</v>
      </c>
      <c r="D173" s="130" t="s">
        <v>665</v>
      </c>
      <c r="E173" s="130">
        <v>2019</v>
      </c>
      <c r="F173" s="130">
        <v>8</v>
      </c>
      <c r="G173" s="132">
        <v>0</v>
      </c>
      <c r="H173" s="130" t="s">
        <v>78</v>
      </c>
      <c r="I173" s="130">
        <f>+IF(J172-$M$4&gt;=3,J172-$M$4,3)</f>
        <v>3</v>
      </c>
      <c r="J173" s="130">
        <f t="shared" si="184"/>
        <v>2022</v>
      </c>
      <c r="K173" s="133">
        <f t="shared" si="185"/>
        <v>2022.6666666666667</v>
      </c>
      <c r="L173" s="134">
        <f>'Orig Trucks 2183'!N44-'Trucks 2183'!L172</f>
        <v>44442.790000000008</v>
      </c>
      <c r="M173" s="134">
        <f>L173-(L173*G173)</f>
        <v>44442.790000000008</v>
      </c>
      <c r="N173" s="134">
        <f t="shared" si="186"/>
        <v>1234.5219444444447</v>
      </c>
      <c r="O173" s="134">
        <f t="shared" si="187"/>
        <v>14814.263333333336</v>
      </c>
      <c r="P173" s="469">
        <f>+IF(K173&lt;=$M$5,0,IF(J173=$M$4,N173*F173,O173))/3</f>
        <v>3292.0585185185191</v>
      </c>
      <c r="Q173" s="134">
        <f t="shared" si="189"/>
        <v>29628.526666666672</v>
      </c>
      <c r="R173" s="134">
        <f t="shared" si="190"/>
        <v>32920.585185185191</v>
      </c>
      <c r="S173" s="134">
        <f t="shared" si="191"/>
        <v>11522.204814814817</v>
      </c>
    </row>
    <row r="174" spans="1:19">
      <c r="B174" s="28">
        <v>88756</v>
      </c>
      <c r="C174" s="59">
        <v>3629</v>
      </c>
      <c r="D174" s="59" t="s">
        <v>441</v>
      </c>
      <c r="E174" s="59">
        <v>2011</v>
      </c>
      <c r="F174" s="59">
        <v>11</v>
      </c>
      <c r="G174" s="30">
        <v>0</v>
      </c>
      <c r="H174" s="59" t="s">
        <v>78</v>
      </c>
      <c r="I174" s="59">
        <v>7</v>
      </c>
      <c r="J174" s="59">
        <f t="shared" si="184"/>
        <v>2018</v>
      </c>
      <c r="K174" s="26">
        <f t="shared" si="185"/>
        <v>2018.9166666666667</v>
      </c>
      <c r="L174" s="35">
        <f>'Orig Trucks 2183'!P55</f>
        <v>231239.864</v>
      </c>
      <c r="M174" s="35">
        <f>L174-L174*G174</f>
        <v>231239.864</v>
      </c>
      <c r="N174" s="35">
        <f t="shared" si="186"/>
        <v>2752.8555238095237</v>
      </c>
      <c r="O174" s="35">
        <f t="shared" si="187"/>
        <v>33034.266285714286</v>
      </c>
      <c r="P174" s="35">
        <f t="shared" si="188"/>
        <v>0</v>
      </c>
      <c r="Q174" s="35">
        <f t="shared" si="189"/>
        <v>231239.864</v>
      </c>
      <c r="R174" s="35">
        <f t="shared" si="190"/>
        <v>231239.864</v>
      </c>
      <c r="S174" s="35">
        <f t="shared" si="191"/>
        <v>0</v>
      </c>
    </row>
    <row r="175" spans="1:19">
      <c r="A175" s="130"/>
      <c r="B175" s="131"/>
      <c r="C175" s="131">
        <v>3629</v>
      </c>
      <c r="D175" s="130" t="s">
        <v>671</v>
      </c>
      <c r="E175" s="130">
        <v>2019</v>
      </c>
      <c r="F175" s="130">
        <v>8</v>
      </c>
      <c r="G175" s="132">
        <v>0</v>
      </c>
      <c r="H175" s="130" t="s">
        <v>78</v>
      </c>
      <c r="I175" s="130">
        <f>+IF(J174-$M$4&gt;=3,J174-$M$4,3)</f>
        <v>3</v>
      </c>
      <c r="J175" s="130">
        <f t="shared" si="184"/>
        <v>2022</v>
      </c>
      <c r="K175" s="133">
        <f t="shared" si="185"/>
        <v>2022.6666666666667</v>
      </c>
      <c r="L175" s="134">
        <f>'Orig Trucks 2183'!N55-'Trucks 2183'!L174</f>
        <v>57809.966000000015</v>
      </c>
      <c r="M175" s="134">
        <f>L175-(L175*G175)</f>
        <v>57809.966000000015</v>
      </c>
      <c r="N175" s="134">
        <f t="shared" si="186"/>
        <v>1605.8323888888892</v>
      </c>
      <c r="O175" s="134">
        <f t="shared" si="187"/>
        <v>19269.988666666672</v>
      </c>
      <c r="P175" s="469">
        <f>+IF(K175&lt;=$M$5,0,IF(J175=$M$4,N175*F175,O175))/3</f>
        <v>4282.2197037037049</v>
      </c>
      <c r="Q175" s="134">
        <f t="shared" si="189"/>
        <v>38539.977333333343</v>
      </c>
      <c r="R175" s="134">
        <f t="shared" si="190"/>
        <v>42822.197037037047</v>
      </c>
      <c r="S175" s="134">
        <f t="shared" si="191"/>
        <v>14987.768962962968</v>
      </c>
    </row>
    <row r="176" spans="1:19" s="71" customFormat="1">
      <c r="A176" s="130"/>
      <c r="B176" s="131"/>
      <c r="C176" s="130"/>
      <c r="D176" s="130" t="s">
        <v>793</v>
      </c>
      <c r="E176" s="130">
        <v>2019</v>
      </c>
      <c r="F176" s="130">
        <v>8</v>
      </c>
      <c r="G176" s="132">
        <v>0</v>
      </c>
      <c r="H176" s="130" t="s">
        <v>78</v>
      </c>
      <c r="I176" s="130">
        <v>3</v>
      </c>
      <c r="J176" s="130">
        <f t="shared" si="184"/>
        <v>2022</v>
      </c>
      <c r="K176" s="133">
        <f t="shared" si="185"/>
        <v>2022.6666666666667</v>
      </c>
      <c r="L176" s="134">
        <f>M225+M274+M277</f>
        <v>92493.848000000027</v>
      </c>
      <c r="M176" s="134">
        <f>L176-(L176*G176)</f>
        <v>92493.848000000027</v>
      </c>
      <c r="N176" s="134">
        <f t="shared" ref="N176" si="192">M176/I176/12</f>
        <v>2569.2735555555564</v>
      </c>
      <c r="O176" s="134">
        <f t="shared" ref="O176" si="193">+N176*12</f>
        <v>30831.282666666677</v>
      </c>
      <c r="P176" s="469">
        <f>+IF(K176&lt;=$M$5,0,IF(J176=$M$4,N176*F176,O176))/3</f>
        <v>6851.3961481481501</v>
      </c>
      <c r="Q176" s="134">
        <f t="shared" ref="Q176" si="194">+IF(P176=0,M176,IF($M$3-E176&lt;1,0,(($M$3-E176)*O176)))</f>
        <v>61662.565333333354</v>
      </c>
      <c r="R176" s="134">
        <f t="shared" si="190"/>
        <v>68513.9614814815</v>
      </c>
      <c r="S176" s="134">
        <v>0</v>
      </c>
    </row>
    <row r="177" spans="1:19">
      <c r="L177" s="35"/>
      <c r="M177" s="35"/>
      <c r="N177" s="35"/>
      <c r="O177" s="35"/>
      <c r="P177" s="35"/>
      <c r="Q177" s="35"/>
      <c r="R177" s="35"/>
      <c r="S177" s="35"/>
    </row>
    <row r="178" spans="1:19">
      <c r="C178" s="51">
        <v>3</v>
      </c>
      <c r="D178" s="51" t="s">
        <v>277</v>
      </c>
      <c r="L178" s="85">
        <f t="shared" ref="L178:S178" si="195">SUM(L167:L177)</f>
        <v>1160470.0884000002</v>
      </c>
      <c r="M178" s="85">
        <f t="shared" si="195"/>
        <v>1160470.0884000002</v>
      </c>
      <c r="N178" s="85">
        <f t="shared" si="195"/>
        <v>16454.165118253972</v>
      </c>
      <c r="O178" s="85">
        <f t="shared" si="195"/>
        <v>197449.98141904763</v>
      </c>
      <c r="P178" s="85">
        <f>SUM(P167:P177)</f>
        <v>50893.569888888895</v>
      </c>
      <c r="Q178" s="85">
        <f t="shared" si="195"/>
        <v>1014388.6164000002</v>
      </c>
      <c r="R178" s="85">
        <f t="shared" si="195"/>
        <v>1065282.186288889</v>
      </c>
      <c r="S178" s="85">
        <f t="shared" si="195"/>
        <v>71208.015592592594</v>
      </c>
    </row>
    <row r="179" spans="1:19">
      <c r="K179" s="64"/>
      <c r="L179" s="35"/>
      <c r="M179" s="35"/>
      <c r="N179" s="35"/>
      <c r="O179" s="35"/>
      <c r="P179" s="35"/>
      <c r="Q179" s="35"/>
      <c r="R179" s="35"/>
      <c r="S179" s="35"/>
    </row>
    <row r="180" spans="1:19">
      <c r="L180" s="35"/>
      <c r="M180" s="35"/>
      <c r="N180" s="35"/>
      <c r="O180" s="35"/>
      <c r="P180" s="35"/>
      <c r="Q180" s="35"/>
      <c r="R180" s="35"/>
      <c r="S180" s="35"/>
    </row>
    <row r="181" spans="1:19">
      <c r="D181" s="51" t="s">
        <v>531</v>
      </c>
      <c r="L181" s="35"/>
      <c r="M181" s="35"/>
      <c r="N181" s="35"/>
      <c r="O181" s="35"/>
      <c r="P181" s="35"/>
      <c r="Q181" s="35"/>
      <c r="R181" s="35"/>
      <c r="S181" s="35"/>
    </row>
    <row r="182" spans="1:19">
      <c r="A182" s="59">
        <v>114268</v>
      </c>
      <c r="B182" s="28" t="s">
        <v>285</v>
      </c>
      <c r="C182" s="59">
        <v>1036</v>
      </c>
      <c r="D182" s="59" t="s">
        <v>538</v>
      </c>
      <c r="E182" s="59">
        <v>2002</v>
      </c>
      <c r="F182" s="59">
        <v>6</v>
      </c>
      <c r="G182" s="30">
        <v>0.2</v>
      </c>
      <c r="H182" s="59" t="s">
        <v>78</v>
      </c>
      <c r="I182" s="59">
        <v>7</v>
      </c>
      <c r="J182" s="59">
        <f t="shared" ref="J182:J196" si="196">E182+I182</f>
        <v>2009</v>
      </c>
      <c r="K182" s="26">
        <f t="shared" ref="K182:K196" si="197">+J182+(F182/12)</f>
        <v>2009.5</v>
      </c>
      <c r="L182" s="35">
        <v>101881.5</v>
      </c>
      <c r="M182" s="35">
        <f t="shared" ref="M182:M202" si="198">L182</f>
        <v>101881.5</v>
      </c>
      <c r="N182" s="35">
        <f t="shared" ref="N182:N196" si="199">M182/I182/12</f>
        <v>1212.875</v>
      </c>
      <c r="O182" s="35">
        <f t="shared" ref="O182:O196" si="200">+N182*12</f>
        <v>14554.5</v>
      </c>
      <c r="P182" s="35">
        <f t="shared" ref="P182:P196" si="201">+IF(K182&lt;=$M$5,0,IF(J182&gt;$M$4,O182,N182*F182))</f>
        <v>0</v>
      </c>
      <c r="Q182" s="35">
        <f t="shared" ref="Q182:Q196" si="202">+IF(P182=0,M182,IF($M$3-E182&lt;1,0,(($M$3-E182)*O182)))</f>
        <v>101881.5</v>
      </c>
      <c r="R182" s="35">
        <f t="shared" ref="R182:R196" si="203">+IF(P182=0,Q182,Q182+P182)</f>
        <v>101881.5</v>
      </c>
      <c r="S182" s="35">
        <f t="shared" ref="S182:S196" si="204">+L182-R182</f>
        <v>0</v>
      </c>
    </row>
    <row r="183" spans="1:19">
      <c r="A183" s="59">
        <v>114306</v>
      </c>
      <c r="B183" s="28" t="s">
        <v>285</v>
      </c>
      <c r="C183" s="59">
        <v>1038</v>
      </c>
      <c r="D183" s="59" t="s">
        <v>539</v>
      </c>
      <c r="E183" s="59">
        <v>2003</v>
      </c>
      <c r="F183" s="59">
        <v>5</v>
      </c>
      <c r="G183" s="30">
        <v>0.2</v>
      </c>
      <c r="H183" s="59" t="s">
        <v>78</v>
      </c>
      <c r="I183" s="59">
        <v>7</v>
      </c>
      <c r="J183" s="59">
        <f t="shared" si="196"/>
        <v>2010</v>
      </c>
      <c r="K183" s="26">
        <f t="shared" si="197"/>
        <v>2010.4166666666667</v>
      </c>
      <c r="L183" s="35">
        <v>100843.52</v>
      </c>
      <c r="M183" s="35">
        <f t="shared" si="198"/>
        <v>100843.52</v>
      </c>
      <c r="N183" s="35">
        <f t="shared" si="199"/>
        <v>1200.5180952380954</v>
      </c>
      <c r="O183" s="35">
        <f t="shared" si="200"/>
        <v>14406.217142857146</v>
      </c>
      <c r="P183" s="35">
        <f t="shared" si="201"/>
        <v>0</v>
      </c>
      <c r="Q183" s="35">
        <f t="shared" si="202"/>
        <v>100843.52</v>
      </c>
      <c r="R183" s="35">
        <f t="shared" si="203"/>
        <v>100843.52</v>
      </c>
      <c r="S183" s="35">
        <f t="shared" si="204"/>
        <v>0</v>
      </c>
    </row>
    <row r="184" spans="1:19">
      <c r="A184" s="59" t="s">
        <v>285</v>
      </c>
      <c r="B184" s="28">
        <v>61085</v>
      </c>
      <c r="C184" s="59">
        <v>1041</v>
      </c>
      <c r="D184" s="59" t="s">
        <v>148</v>
      </c>
      <c r="E184" s="59">
        <v>2004</v>
      </c>
      <c r="F184" s="59">
        <v>9</v>
      </c>
      <c r="G184" s="30">
        <v>0.2</v>
      </c>
      <c r="H184" s="59" t="s">
        <v>78</v>
      </c>
      <c r="I184" s="59">
        <v>7</v>
      </c>
      <c r="J184" s="59">
        <f t="shared" ref="J184:J189" si="205">E184+I184</f>
        <v>2011</v>
      </c>
      <c r="K184" s="26">
        <f t="shared" ref="K184:K189" si="206">+J184+(F184/12)</f>
        <v>2011.75</v>
      </c>
      <c r="L184" s="35">
        <v>112934.39999999999</v>
      </c>
      <c r="M184" s="35">
        <f t="shared" si="198"/>
        <v>112934.39999999999</v>
      </c>
      <c r="N184" s="35">
        <f t="shared" ref="N184:N189" si="207">M184/I184/12</f>
        <v>1344.4571428571428</v>
      </c>
      <c r="O184" s="35">
        <f t="shared" ref="O184:O189" si="208">+N184*12</f>
        <v>16133.485714285714</v>
      </c>
      <c r="P184" s="35">
        <f t="shared" ref="P184:P189" si="209">+IF(K184&lt;=$M$5,0,IF(J184=$M$4,N184*F184,O184))</f>
        <v>0</v>
      </c>
      <c r="Q184" s="35">
        <f t="shared" ref="Q184:Q189" si="210">+IF(P184=0,M184,IF($M$3-E184&lt;1,0,(($M$3-E184)*O184)))</f>
        <v>112934.39999999999</v>
      </c>
      <c r="R184" s="35">
        <f t="shared" ref="R184:R189" si="211">+IF(P184=0,Q184,Q184+P184)</f>
        <v>112934.39999999999</v>
      </c>
      <c r="S184" s="35">
        <f t="shared" ref="S184:S189" si="212">+L184-R184</f>
        <v>0</v>
      </c>
    </row>
    <row r="185" spans="1:19">
      <c r="A185" s="59" t="s">
        <v>285</v>
      </c>
      <c r="C185" s="59">
        <v>1041</v>
      </c>
      <c r="D185" s="59" t="s">
        <v>87</v>
      </c>
      <c r="E185" s="59">
        <v>2004</v>
      </c>
      <c r="F185" s="59">
        <v>9</v>
      </c>
      <c r="G185" s="30">
        <v>0.2</v>
      </c>
      <c r="H185" s="59" t="s">
        <v>78</v>
      </c>
      <c r="I185" s="59">
        <v>7</v>
      </c>
      <c r="J185" s="59">
        <f t="shared" si="205"/>
        <v>2011</v>
      </c>
      <c r="K185" s="26">
        <f t="shared" si="206"/>
        <v>2011.75</v>
      </c>
      <c r="L185" s="35">
        <v>2730.88</v>
      </c>
      <c r="M185" s="35">
        <f t="shared" si="198"/>
        <v>2730.88</v>
      </c>
      <c r="N185" s="35">
        <f t="shared" si="207"/>
        <v>32.51047619047619</v>
      </c>
      <c r="O185" s="35">
        <f t="shared" si="208"/>
        <v>390.12571428571425</v>
      </c>
      <c r="P185" s="35">
        <f t="shared" si="209"/>
        <v>0</v>
      </c>
      <c r="Q185" s="35">
        <f t="shared" si="210"/>
        <v>2730.88</v>
      </c>
      <c r="R185" s="35">
        <f t="shared" si="211"/>
        <v>2730.88</v>
      </c>
      <c r="S185" s="35">
        <f t="shared" si="212"/>
        <v>0</v>
      </c>
    </row>
    <row r="186" spans="1:19">
      <c r="A186" s="59" t="s">
        <v>285</v>
      </c>
      <c r="B186" s="28">
        <v>61093</v>
      </c>
      <c r="C186" s="59">
        <v>1042</v>
      </c>
      <c r="D186" s="59" t="s">
        <v>374</v>
      </c>
      <c r="E186" s="59">
        <v>2005</v>
      </c>
      <c r="F186" s="59">
        <v>12</v>
      </c>
      <c r="G186" s="30">
        <v>0.2</v>
      </c>
      <c r="H186" s="59" t="s">
        <v>78</v>
      </c>
      <c r="I186" s="59">
        <v>7</v>
      </c>
      <c r="J186" s="59">
        <f t="shared" si="205"/>
        <v>2012</v>
      </c>
      <c r="K186" s="26">
        <f t="shared" si="206"/>
        <v>2013</v>
      </c>
      <c r="L186" s="35">
        <v>125862.5</v>
      </c>
      <c r="M186" s="35">
        <f t="shared" si="198"/>
        <v>125862.5</v>
      </c>
      <c r="N186" s="35">
        <f t="shared" si="207"/>
        <v>1498.3630952380952</v>
      </c>
      <c r="O186" s="35">
        <f t="shared" si="208"/>
        <v>17980.357142857141</v>
      </c>
      <c r="P186" s="35">
        <f t="shared" si="209"/>
        <v>0</v>
      </c>
      <c r="Q186" s="35">
        <f t="shared" si="210"/>
        <v>125862.5</v>
      </c>
      <c r="R186" s="35">
        <f t="shared" si="211"/>
        <v>125862.5</v>
      </c>
      <c r="S186" s="35">
        <f t="shared" si="212"/>
        <v>0</v>
      </c>
    </row>
    <row r="187" spans="1:19">
      <c r="A187" s="59" t="s">
        <v>285</v>
      </c>
      <c r="B187" s="28">
        <v>61094</v>
      </c>
      <c r="C187" s="59">
        <v>1045</v>
      </c>
      <c r="D187" s="59" t="s">
        <v>375</v>
      </c>
      <c r="E187" s="59">
        <v>2006</v>
      </c>
      <c r="F187" s="59">
        <v>1</v>
      </c>
      <c r="G187" s="30">
        <v>0.2</v>
      </c>
      <c r="H187" s="59" t="s">
        <v>78</v>
      </c>
      <c r="I187" s="59">
        <v>7</v>
      </c>
      <c r="J187" s="59">
        <f t="shared" si="205"/>
        <v>2013</v>
      </c>
      <c r="K187" s="26">
        <f t="shared" si="206"/>
        <v>2013.0833333333333</v>
      </c>
      <c r="L187" s="35">
        <v>126105.78</v>
      </c>
      <c r="M187" s="35">
        <f t="shared" si="198"/>
        <v>126105.78</v>
      </c>
      <c r="N187" s="35">
        <f t="shared" si="207"/>
        <v>1501.2592857142856</v>
      </c>
      <c r="O187" s="35">
        <f t="shared" si="208"/>
        <v>18015.111428571428</v>
      </c>
      <c r="P187" s="35">
        <f t="shared" si="209"/>
        <v>0</v>
      </c>
      <c r="Q187" s="35">
        <f t="shared" si="210"/>
        <v>126105.78</v>
      </c>
      <c r="R187" s="35">
        <f t="shared" si="211"/>
        <v>126105.78</v>
      </c>
      <c r="S187" s="35">
        <f t="shared" si="212"/>
        <v>0</v>
      </c>
    </row>
    <row r="188" spans="1:19">
      <c r="A188" s="59" t="s">
        <v>285</v>
      </c>
      <c r="B188" s="28">
        <v>61095</v>
      </c>
      <c r="C188" s="59">
        <v>1046</v>
      </c>
      <c r="D188" s="59" t="s">
        <v>375</v>
      </c>
      <c r="E188" s="59">
        <v>2006</v>
      </c>
      <c r="F188" s="59">
        <v>5</v>
      </c>
      <c r="G188" s="30">
        <v>0.2</v>
      </c>
      <c r="H188" s="59" t="s">
        <v>78</v>
      </c>
      <c r="I188" s="59">
        <v>7</v>
      </c>
      <c r="J188" s="59">
        <f t="shared" si="205"/>
        <v>2013</v>
      </c>
      <c r="K188" s="26">
        <f t="shared" si="206"/>
        <v>2013.4166666666667</v>
      </c>
      <c r="L188" s="35">
        <v>126105.78</v>
      </c>
      <c r="M188" s="35">
        <f t="shared" si="198"/>
        <v>126105.78</v>
      </c>
      <c r="N188" s="35">
        <f t="shared" si="207"/>
        <v>1501.2592857142856</v>
      </c>
      <c r="O188" s="35">
        <f t="shared" si="208"/>
        <v>18015.111428571428</v>
      </c>
      <c r="P188" s="35">
        <f t="shared" si="209"/>
        <v>0</v>
      </c>
      <c r="Q188" s="35">
        <f t="shared" si="210"/>
        <v>126105.78</v>
      </c>
      <c r="R188" s="35">
        <f t="shared" si="211"/>
        <v>126105.78</v>
      </c>
      <c r="S188" s="35">
        <f t="shared" si="212"/>
        <v>0</v>
      </c>
    </row>
    <row r="189" spans="1:19">
      <c r="A189" s="59" t="s">
        <v>285</v>
      </c>
      <c r="B189" s="28">
        <v>61107</v>
      </c>
      <c r="C189" s="59">
        <v>1049</v>
      </c>
      <c r="D189" s="59" t="s">
        <v>149</v>
      </c>
      <c r="E189" s="59">
        <v>2006</v>
      </c>
      <c r="F189" s="59">
        <v>11</v>
      </c>
      <c r="G189" s="30">
        <v>0.2</v>
      </c>
      <c r="H189" s="59" t="s">
        <v>78</v>
      </c>
      <c r="I189" s="59">
        <v>7</v>
      </c>
      <c r="J189" s="59">
        <f t="shared" si="205"/>
        <v>2013</v>
      </c>
      <c r="K189" s="26">
        <f t="shared" si="206"/>
        <v>2013.9166666666667</v>
      </c>
      <c r="L189" s="35">
        <v>126621.44</v>
      </c>
      <c r="M189" s="35">
        <f t="shared" si="198"/>
        <v>126621.44</v>
      </c>
      <c r="N189" s="35">
        <f t="shared" si="207"/>
        <v>1507.3980952380953</v>
      </c>
      <c r="O189" s="35">
        <f t="shared" si="208"/>
        <v>18088.777142857143</v>
      </c>
      <c r="P189" s="35">
        <f t="shared" si="209"/>
        <v>0</v>
      </c>
      <c r="Q189" s="35">
        <f t="shared" si="210"/>
        <v>126621.44</v>
      </c>
      <c r="R189" s="35">
        <f t="shared" si="211"/>
        <v>126621.44</v>
      </c>
      <c r="S189" s="35">
        <f t="shared" si="212"/>
        <v>0</v>
      </c>
    </row>
    <row r="190" spans="1:19">
      <c r="A190" s="59">
        <v>114303</v>
      </c>
      <c r="B190" s="28" t="s">
        <v>285</v>
      </c>
      <c r="C190" s="59">
        <v>1014</v>
      </c>
      <c r="D190" s="59" t="s">
        <v>542</v>
      </c>
      <c r="E190" s="59">
        <v>2008</v>
      </c>
      <c r="F190" s="59">
        <v>11</v>
      </c>
      <c r="G190" s="30">
        <v>0.33</v>
      </c>
      <c r="H190" s="59" t="s">
        <v>78</v>
      </c>
      <c r="I190" s="59">
        <v>5</v>
      </c>
      <c r="J190" s="59">
        <f t="shared" si="196"/>
        <v>2013</v>
      </c>
      <c r="K190" s="26">
        <f t="shared" si="197"/>
        <v>2013.9166666666667</v>
      </c>
      <c r="L190" s="35">
        <v>5500</v>
      </c>
      <c r="M190" s="35">
        <f t="shared" si="198"/>
        <v>5500</v>
      </c>
      <c r="N190" s="35">
        <f t="shared" si="199"/>
        <v>91.666666666666671</v>
      </c>
      <c r="O190" s="35">
        <f t="shared" si="200"/>
        <v>1100</v>
      </c>
      <c r="P190" s="35">
        <f t="shared" si="201"/>
        <v>0</v>
      </c>
      <c r="Q190" s="35">
        <f t="shared" si="202"/>
        <v>5500</v>
      </c>
      <c r="R190" s="35">
        <f t="shared" si="203"/>
        <v>5500</v>
      </c>
      <c r="S190" s="35">
        <f t="shared" si="204"/>
        <v>0</v>
      </c>
    </row>
    <row r="191" spans="1:19">
      <c r="A191" s="59">
        <v>61159</v>
      </c>
      <c r="B191" s="28" t="s">
        <v>543</v>
      </c>
      <c r="C191" s="59">
        <v>9576</v>
      </c>
      <c r="D191" s="59" t="s">
        <v>563</v>
      </c>
      <c r="E191" s="59">
        <v>2008</v>
      </c>
      <c r="F191" s="59">
        <v>11</v>
      </c>
      <c r="G191" s="30">
        <v>0.33</v>
      </c>
      <c r="H191" s="59" t="s">
        <v>78</v>
      </c>
      <c r="I191" s="59">
        <v>5</v>
      </c>
      <c r="J191" s="59">
        <f t="shared" si="196"/>
        <v>2013</v>
      </c>
      <c r="K191" s="26">
        <f t="shared" si="197"/>
        <v>2013.9166666666667</v>
      </c>
      <c r="L191" s="35">
        <v>23327</v>
      </c>
      <c r="M191" s="35">
        <f t="shared" si="198"/>
        <v>23327</v>
      </c>
      <c r="N191" s="35">
        <f t="shared" si="199"/>
        <v>388.7833333333333</v>
      </c>
      <c r="O191" s="35">
        <f t="shared" si="200"/>
        <v>4665.3999999999996</v>
      </c>
      <c r="P191" s="35">
        <f t="shared" si="201"/>
        <v>0</v>
      </c>
      <c r="Q191" s="35">
        <f t="shared" si="202"/>
        <v>23327</v>
      </c>
      <c r="R191" s="35">
        <f t="shared" si="203"/>
        <v>23327</v>
      </c>
      <c r="S191" s="35">
        <f t="shared" si="204"/>
        <v>0</v>
      </c>
    </row>
    <row r="192" spans="1:19">
      <c r="B192" s="28" t="s">
        <v>311</v>
      </c>
      <c r="C192" s="59">
        <v>68613</v>
      </c>
      <c r="D192" s="59" t="s">
        <v>324</v>
      </c>
      <c r="E192" s="59">
        <v>2009</v>
      </c>
      <c r="F192" s="59">
        <v>7</v>
      </c>
      <c r="G192" s="30">
        <v>0.33</v>
      </c>
      <c r="H192" s="59" t="s">
        <v>78</v>
      </c>
      <c r="I192" s="59">
        <v>5</v>
      </c>
      <c r="J192" s="59">
        <f t="shared" si="196"/>
        <v>2014</v>
      </c>
      <c r="K192" s="26">
        <f t="shared" si="197"/>
        <v>2014.5833333333333</v>
      </c>
      <c r="L192" s="35">
        <v>8065.49</v>
      </c>
      <c r="M192" s="35">
        <f t="shared" si="198"/>
        <v>8065.49</v>
      </c>
      <c r="N192" s="35">
        <f t="shared" si="199"/>
        <v>134.42483333333334</v>
      </c>
      <c r="O192" s="35">
        <f t="shared" si="200"/>
        <v>1613.098</v>
      </c>
      <c r="P192" s="35">
        <f t="shared" si="201"/>
        <v>0</v>
      </c>
      <c r="Q192" s="35">
        <f t="shared" si="202"/>
        <v>8065.49</v>
      </c>
      <c r="R192" s="35">
        <f t="shared" si="203"/>
        <v>8065.49</v>
      </c>
      <c r="S192" s="35">
        <f t="shared" si="204"/>
        <v>0</v>
      </c>
    </row>
    <row r="193" spans="1:19">
      <c r="A193" s="59">
        <v>88722</v>
      </c>
      <c r="D193" s="59" t="s">
        <v>547</v>
      </c>
      <c r="E193" s="59">
        <v>2011</v>
      </c>
      <c r="F193" s="59">
        <v>12</v>
      </c>
      <c r="G193" s="30">
        <v>0</v>
      </c>
      <c r="H193" s="59" t="s">
        <v>78</v>
      </c>
      <c r="I193" s="59">
        <v>5</v>
      </c>
      <c r="J193" s="59">
        <f t="shared" si="196"/>
        <v>2016</v>
      </c>
      <c r="K193" s="26">
        <f t="shared" si="197"/>
        <v>2017</v>
      </c>
      <c r="L193" s="35">
        <f>(487.65*3)+(476.03*13)</f>
        <v>7651.3399999999992</v>
      </c>
      <c r="M193" s="35">
        <f t="shared" si="198"/>
        <v>7651.3399999999992</v>
      </c>
      <c r="N193" s="35">
        <f t="shared" si="199"/>
        <v>127.52233333333332</v>
      </c>
      <c r="O193" s="35">
        <f t="shared" si="200"/>
        <v>1530.2679999999998</v>
      </c>
      <c r="P193" s="35">
        <f t="shared" si="201"/>
        <v>0</v>
      </c>
      <c r="Q193" s="35">
        <f t="shared" si="202"/>
        <v>7651.3399999999992</v>
      </c>
      <c r="R193" s="35">
        <f t="shared" si="203"/>
        <v>7651.3399999999992</v>
      </c>
      <c r="S193" s="35">
        <f t="shared" si="204"/>
        <v>0</v>
      </c>
    </row>
    <row r="194" spans="1:19">
      <c r="A194" s="59" t="s">
        <v>475</v>
      </c>
      <c r="B194" s="28">
        <v>99666</v>
      </c>
      <c r="C194" s="59">
        <v>2011</v>
      </c>
      <c r="D194" s="59" t="s">
        <v>476</v>
      </c>
      <c r="E194" s="59">
        <v>2012</v>
      </c>
      <c r="F194" s="59">
        <v>12</v>
      </c>
      <c r="G194" s="30">
        <v>0</v>
      </c>
      <c r="H194" s="59" t="s">
        <v>78</v>
      </c>
      <c r="I194" s="59">
        <v>10</v>
      </c>
      <c r="J194" s="59">
        <f>E194+I194</f>
        <v>2022</v>
      </c>
      <c r="K194" s="26">
        <f>+J194+(F194/12)</f>
        <v>2023</v>
      </c>
      <c r="L194" s="35">
        <v>301281</v>
      </c>
      <c r="M194" s="35">
        <f t="shared" si="198"/>
        <v>301281</v>
      </c>
      <c r="N194" s="35">
        <f>M194/I194/12</f>
        <v>2510.6749999999997</v>
      </c>
      <c r="O194" s="35">
        <f>+N194*12</f>
        <v>30128.1</v>
      </c>
      <c r="P194" s="35">
        <f>+IF(K194&lt;=$M$5,0,IF(J194=$M$4,N194*F194,O194))</f>
        <v>30128.1</v>
      </c>
      <c r="Q194" s="35">
        <f>+IF(P194=0,M194,IF($M$3-E194&lt;1,0,(($M$3-E194)*O194)))</f>
        <v>271152.89999999997</v>
      </c>
      <c r="R194" s="35">
        <f>+IF(P194=0,Q194,Q194+P194)</f>
        <v>301280.99999999994</v>
      </c>
      <c r="S194" s="35">
        <f>+L194-R194</f>
        <v>0</v>
      </c>
    </row>
    <row r="195" spans="1:19">
      <c r="B195" s="28">
        <v>103479</v>
      </c>
      <c r="C195" s="59">
        <v>1042</v>
      </c>
      <c r="D195" s="59" t="s">
        <v>477</v>
      </c>
      <c r="E195" s="59">
        <v>2013</v>
      </c>
      <c r="F195" s="59">
        <v>3</v>
      </c>
      <c r="G195" s="30">
        <v>0</v>
      </c>
      <c r="H195" s="59" t="s">
        <v>78</v>
      </c>
      <c r="I195" s="59">
        <v>3</v>
      </c>
      <c r="J195" s="59">
        <f>E195+I195</f>
        <v>2016</v>
      </c>
      <c r="K195" s="26">
        <f>+J195+(F195/12)</f>
        <v>2016.25</v>
      </c>
      <c r="L195" s="35">
        <v>13741.65</v>
      </c>
      <c r="M195" s="35">
        <f>L195-L195*G195</f>
        <v>13741.65</v>
      </c>
      <c r="N195" s="35">
        <f>M195/I195/12</f>
        <v>381.71250000000003</v>
      </c>
      <c r="O195" s="35">
        <f>+N195*12</f>
        <v>4580.55</v>
      </c>
      <c r="P195" s="35">
        <f>+IF(K195&lt;=$M$5,0,IF(J195=$M$4,N195*F195,O195))</f>
        <v>0</v>
      </c>
      <c r="Q195" s="35">
        <f>+IF(P195=0,M195,IF($M$3-E195&lt;1,0,(($M$3-E195)*O195)))</f>
        <v>13741.65</v>
      </c>
      <c r="R195" s="35">
        <f>+IF(P195=0,Q195,Q195+P195)</f>
        <v>13741.65</v>
      </c>
      <c r="S195" s="35">
        <f>+L195-R195</f>
        <v>0</v>
      </c>
    </row>
    <row r="196" spans="1:19">
      <c r="B196" s="28" t="s">
        <v>593</v>
      </c>
      <c r="D196" s="59" t="s">
        <v>591</v>
      </c>
      <c r="E196" s="59">
        <v>2016</v>
      </c>
      <c r="F196" s="59">
        <v>4</v>
      </c>
      <c r="G196" s="30">
        <v>0</v>
      </c>
      <c r="H196" s="59" t="s">
        <v>78</v>
      </c>
      <c r="I196" s="59">
        <v>3</v>
      </c>
      <c r="J196" s="59">
        <f t="shared" si="196"/>
        <v>2019</v>
      </c>
      <c r="K196" s="26">
        <f t="shared" si="197"/>
        <v>2019.3333333333333</v>
      </c>
      <c r="L196" s="35">
        <f>((14612.94+16641.82+675)/75)*10</f>
        <v>4257.3013333333338</v>
      </c>
      <c r="M196" s="35">
        <f t="shared" si="198"/>
        <v>4257.3013333333338</v>
      </c>
      <c r="N196" s="35">
        <f t="shared" si="199"/>
        <v>118.25837037037037</v>
      </c>
      <c r="O196" s="35">
        <f t="shared" si="200"/>
        <v>1419.1004444444445</v>
      </c>
      <c r="P196" s="35">
        <f t="shared" si="201"/>
        <v>0</v>
      </c>
      <c r="Q196" s="35">
        <f t="shared" si="202"/>
        <v>4257.3013333333338</v>
      </c>
      <c r="R196" s="35">
        <f t="shared" si="203"/>
        <v>4257.3013333333338</v>
      </c>
      <c r="S196" s="35">
        <f t="shared" si="204"/>
        <v>0</v>
      </c>
    </row>
    <row r="197" spans="1:19">
      <c r="B197" s="28" t="s">
        <v>727</v>
      </c>
      <c r="C197" s="59">
        <v>1083</v>
      </c>
      <c r="D197" s="59" t="s">
        <v>725</v>
      </c>
      <c r="E197" s="59">
        <v>2018</v>
      </c>
      <c r="F197" s="59">
        <v>3</v>
      </c>
      <c r="G197" s="30">
        <v>0</v>
      </c>
      <c r="H197" s="59" t="s">
        <v>78</v>
      </c>
      <c r="I197" s="59">
        <v>10</v>
      </c>
      <c r="J197" s="59">
        <f t="shared" ref="J197:J202" si="213">E197+I197</f>
        <v>2028</v>
      </c>
      <c r="K197" s="26">
        <f t="shared" ref="K197:K202" si="214">+J197+(F197/12)</f>
        <v>2028.25</v>
      </c>
      <c r="L197" s="35">
        <f>99882+84963.78</f>
        <v>184845.78</v>
      </c>
      <c r="M197" s="35">
        <f t="shared" si="198"/>
        <v>184845.78</v>
      </c>
      <c r="N197" s="35">
        <f>M197/I197/12</f>
        <v>1540.3815000000002</v>
      </c>
      <c r="O197" s="35">
        <f>+N197*12</f>
        <v>18484.578000000001</v>
      </c>
      <c r="P197" s="35">
        <f>+IF(K197&lt;=$M$5,0,IF(J197=$M$4,N197*F197,O197))</f>
        <v>18484.578000000001</v>
      </c>
      <c r="Q197" s="35">
        <f>+IF(P197=0,M197,IF($M$3-E197&lt;1,0,(($M$3-E197)*O197)))</f>
        <v>55453.734000000004</v>
      </c>
      <c r="R197" s="35">
        <f>+IF(P197=0,Q197,Q197+P197)</f>
        <v>73938.312000000005</v>
      </c>
      <c r="S197" s="35">
        <f>+L197-R197</f>
        <v>110907.46799999999</v>
      </c>
    </row>
    <row r="198" spans="1:19">
      <c r="B198" s="28" t="s">
        <v>728</v>
      </c>
      <c r="C198" s="59">
        <v>1083</v>
      </c>
      <c r="D198" s="59" t="s">
        <v>729</v>
      </c>
      <c r="E198" s="59">
        <v>2018</v>
      </c>
      <c r="F198" s="59">
        <v>3</v>
      </c>
      <c r="G198" s="30">
        <v>0</v>
      </c>
      <c r="H198" s="59" t="s">
        <v>78</v>
      </c>
      <c r="I198" s="59">
        <v>10</v>
      </c>
      <c r="J198" s="59">
        <f t="shared" si="213"/>
        <v>2028</v>
      </c>
      <c r="K198" s="26">
        <f t="shared" si="214"/>
        <v>2028.25</v>
      </c>
      <c r="L198" s="35">
        <v>794.16</v>
      </c>
      <c r="M198" s="35">
        <f t="shared" si="198"/>
        <v>794.16</v>
      </c>
      <c r="N198" s="35">
        <f>M198/I198/12</f>
        <v>6.6179999999999994</v>
      </c>
      <c r="O198" s="35">
        <f>+N198*12</f>
        <v>79.415999999999997</v>
      </c>
      <c r="P198" s="35">
        <f>+IF(K198&lt;=$M$5,0,IF(J198=$M$4,N198*F198,O198))</f>
        <v>79.415999999999997</v>
      </c>
      <c r="Q198" s="35">
        <f>+IF(P198=0,M198,IF($M$3-E198&lt;1,0,(($M$3-E198)*O198)))</f>
        <v>238.24799999999999</v>
      </c>
      <c r="R198" s="35">
        <f>+IF(P198=0,Q198,Q198+P198)</f>
        <v>317.66399999999999</v>
      </c>
      <c r="S198" s="35">
        <f>+L198-R198</f>
        <v>476.49599999999998</v>
      </c>
    </row>
    <row r="199" spans="1:19">
      <c r="B199" s="28">
        <v>191686</v>
      </c>
      <c r="C199" s="59">
        <v>4522</v>
      </c>
      <c r="D199" s="59" t="s">
        <v>716</v>
      </c>
      <c r="E199" s="59">
        <v>2018</v>
      </c>
      <c r="F199" s="59">
        <v>1</v>
      </c>
      <c r="G199" s="30">
        <v>0</v>
      </c>
      <c r="H199" s="59" t="s">
        <v>78</v>
      </c>
      <c r="I199" s="59">
        <v>10</v>
      </c>
      <c r="J199" s="59">
        <f t="shared" si="213"/>
        <v>2028</v>
      </c>
      <c r="K199" s="26">
        <f t="shared" si="214"/>
        <v>2028.0833333333333</v>
      </c>
      <c r="L199" s="35">
        <v>150065.09</v>
      </c>
      <c r="M199" s="35">
        <f t="shared" si="198"/>
        <v>150065.09</v>
      </c>
      <c r="N199" s="35">
        <f>M199/I199/12</f>
        <v>1250.5424166666667</v>
      </c>
      <c r="O199" s="35">
        <f>+N199*12</f>
        <v>15006.509</v>
      </c>
      <c r="P199" s="35">
        <f>+IF(K199&lt;=$M$5,0,IF(J199=$M$4,N199*F199,O199))</f>
        <v>15006.509</v>
      </c>
      <c r="Q199" s="35">
        <f>+IF(P199=0,M199,IF($M$3-E199&lt;1,0,(($M$3-E199)*O199)))</f>
        <v>45019.527000000002</v>
      </c>
      <c r="R199" s="35">
        <f>+IF(P199=0,Q199,Q199+P199)</f>
        <v>60026.036</v>
      </c>
      <c r="S199" s="35">
        <f>+L199-R199</f>
        <v>90039.054000000004</v>
      </c>
    </row>
    <row r="200" spans="1:19">
      <c r="B200" s="28">
        <v>220531</v>
      </c>
      <c r="C200" s="59">
        <v>1038</v>
      </c>
      <c r="D200" s="33" t="s">
        <v>837</v>
      </c>
      <c r="E200" s="59">
        <v>2019</v>
      </c>
      <c r="F200" s="59">
        <v>7</v>
      </c>
      <c r="G200" s="30">
        <v>0</v>
      </c>
      <c r="H200" s="33" t="s">
        <v>78</v>
      </c>
      <c r="I200" s="33">
        <v>3</v>
      </c>
      <c r="J200" s="59">
        <f t="shared" si="213"/>
        <v>2022</v>
      </c>
      <c r="K200" s="26">
        <f t="shared" si="214"/>
        <v>2022.5833333333333</v>
      </c>
      <c r="L200" s="35">
        <v>11853.69</v>
      </c>
      <c r="M200" s="35">
        <f t="shared" si="198"/>
        <v>11853.69</v>
      </c>
      <c r="N200" s="35">
        <f>M200/I200/12</f>
        <v>329.26916666666665</v>
      </c>
      <c r="O200" s="35">
        <f>+N200*12</f>
        <v>3951.2299999999996</v>
      </c>
      <c r="P200" s="35">
        <f>+IF(K200&lt;=$M$5,0,IF(J200=$M$4,N200*F200,O200))</f>
        <v>2304.8841666666667</v>
      </c>
      <c r="Q200" s="35">
        <f>+IF(P200=0,M200,IF($M$3-E200&lt;1,0,(($M$3-E200)*O200)))</f>
        <v>7902.4599999999991</v>
      </c>
      <c r="R200" s="35">
        <f>+IF(P200=0,Q200,Q200+P200)</f>
        <v>10207.344166666666</v>
      </c>
      <c r="S200" s="35">
        <f>+L200-R200</f>
        <v>1646.3458333333347</v>
      </c>
    </row>
    <row r="201" spans="1:19" s="56" customFormat="1">
      <c r="B201" s="64" t="s">
        <v>797</v>
      </c>
      <c r="C201" s="33">
        <v>1041</v>
      </c>
      <c r="D201" s="56" t="s">
        <v>798</v>
      </c>
      <c r="E201" s="56">
        <v>2019</v>
      </c>
      <c r="F201" s="56">
        <v>2</v>
      </c>
      <c r="G201" s="38">
        <v>0</v>
      </c>
      <c r="H201" s="56" t="s">
        <v>78</v>
      </c>
      <c r="I201" s="56">
        <v>3</v>
      </c>
      <c r="J201" s="56">
        <f t="shared" si="213"/>
        <v>2022</v>
      </c>
      <c r="K201" s="62">
        <f t="shared" si="214"/>
        <v>2022.1666666666667</v>
      </c>
      <c r="L201" s="63">
        <v>12037.33</v>
      </c>
      <c r="M201" s="63">
        <f t="shared" ref="M201" si="215">L201-L201*G201</f>
        <v>12037.33</v>
      </c>
      <c r="N201" s="63">
        <f t="shared" ref="N201" si="216">M201/I201/12</f>
        <v>334.37027777777774</v>
      </c>
      <c r="O201" s="63">
        <f t="shared" ref="O201" si="217">+N201*12</f>
        <v>4012.4433333333327</v>
      </c>
      <c r="P201" s="63">
        <f t="shared" ref="P201" si="218">+IF(K201&lt;=$M$5,0,IF(J201=$M$4,N201*F201,O201))</f>
        <v>0</v>
      </c>
      <c r="Q201" s="63">
        <f t="shared" ref="Q201" si="219">+IF(P201=0,M201,IF($M$3-E201&lt;1,0,(($M$3-E201)*O201)))</f>
        <v>12037.33</v>
      </c>
      <c r="R201" s="63">
        <f t="shared" ref="R201" si="220">+IF(P201=0,Q201,Q201+P201)</f>
        <v>12037.33</v>
      </c>
      <c r="S201" s="63">
        <f t="shared" ref="S201" si="221">+L201-R201</f>
        <v>0</v>
      </c>
    </row>
    <row r="202" spans="1:19">
      <c r="B202" s="64" t="s">
        <v>845</v>
      </c>
      <c r="C202" s="59">
        <v>1045</v>
      </c>
      <c r="D202" s="33" t="s">
        <v>846</v>
      </c>
      <c r="E202" s="59">
        <v>2020</v>
      </c>
      <c r="F202" s="59">
        <v>2</v>
      </c>
      <c r="G202" s="30">
        <v>0</v>
      </c>
      <c r="H202" s="33" t="s">
        <v>78</v>
      </c>
      <c r="I202" s="33">
        <v>3</v>
      </c>
      <c r="J202" s="59">
        <f t="shared" si="213"/>
        <v>2023</v>
      </c>
      <c r="K202" s="26">
        <f t="shared" si="214"/>
        <v>2023.1666666666667</v>
      </c>
      <c r="L202" s="35">
        <v>14301.64</v>
      </c>
      <c r="M202" s="35">
        <f t="shared" si="198"/>
        <v>14301.64</v>
      </c>
      <c r="N202" s="35">
        <f>M202/I202/12</f>
        <v>397.26777777777778</v>
      </c>
      <c r="O202" s="35">
        <f>+N202*12</f>
        <v>4767.2133333333331</v>
      </c>
      <c r="P202" s="35">
        <f>+IF(K202&lt;=$M$5,0,IF(J202=$M$4,N202*F202,O202))</f>
        <v>4767.2133333333331</v>
      </c>
      <c r="Q202" s="35">
        <f>+IF(P202=0,M202,IF($M$3-E202&lt;1,0,(($M$3-E202)*O202)))</f>
        <v>4767.2133333333331</v>
      </c>
      <c r="R202" s="35">
        <f>+IF(P202=0,Q202,Q202+P202)</f>
        <v>9534.4266666666663</v>
      </c>
      <c r="S202" s="35">
        <f>+L202-R202</f>
        <v>4767.2133333333331</v>
      </c>
    </row>
    <row r="203" spans="1:19">
      <c r="L203" s="35"/>
      <c r="M203" s="35"/>
      <c r="N203" s="35"/>
      <c r="O203" s="35"/>
      <c r="P203" s="35"/>
      <c r="Q203" s="35"/>
      <c r="R203" s="35"/>
      <c r="S203" s="35"/>
    </row>
    <row r="204" spans="1:19">
      <c r="C204" s="51">
        <v>16</v>
      </c>
      <c r="D204" s="51" t="s">
        <v>548</v>
      </c>
      <c r="L204" s="85">
        <f t="shared" ref="L204:S204" si="222">SUM(L182:L203)</f>
        <v>1560807.2713333331</v>
      </c>
      <c r="M204" s="85">
        <f t="shared" si="222"/>
        <v>1560807.2713333331</v>
      </c>
      <c r="N204" s="85">
        <f t="shared" si="222"/>
        <v>17410.132652116397</v>
      </c>
      <c r="O204" s="85">
        <f t="shared" si="222"/>
        <v>208921.59182539681</v>
      </c>
      <c r="P204" s="85">
        <f t="shared" si="222"/>
        <v>70770.700499999992</v>
      </c>
      <c r="Q204" s="85">
        <f t="shared" si="222"/>
        <v>1282199.9936666666</v>
      </c>
      <c r="R204" s="85">
        <f t="shared" si="222"/>
        <v>1352970.6941666668</v>
      </c>
      <c r="S204" s="85">
        <f t="shared" si="222"/>
        <v>207836.57716666663</v>
      </c>
    </row>
    <row r="205" spans="1:19">
      <c r="K205" s="87"/>
      <c r="L205" s="35"/>
      <c r="M205" s="35"/>
      <c r="N205" s="35"/>
      <c r="O205" s="35"/>
      <c r="P205" s="35"/>
      <c r="Q205" s="35"/>
      <c r="R205" s="35"/>
      <c r="S205" s="35"/>
    </row>
    <row r="206" spans="1:19" ht="13.5" thickBot="1">
      <c r="D206" s="59" t="s">
        <v>83</v>
      </c>
      <c r="L206" s="88">
        <f t="shared" ref="L206:S206" si="223">SUM(L178,L162,L130,L81,L204)</f>
        <v>19003367.4406</v>
      </c>
      <c r="M206" s="88">
        <f t="shared" si="223"/>
        <v>19003367.4406</v>
      </c>
      <c r="N206" s="88">
        <f t="shared" si="223"/>
        <v>197037.33665275134</v>
      </c>
      <c r="O206" s="88">
        <f t="shared" si="223"/>
        <v>2364448.0398330167</v>
      </c>
      <c r="P206" s="88">
        <f t="shared" si="223"/>
        <v>1489576.9790296298</v>
      </c>
      <c r="Q206" s="88">
        <f t="shared" si="223"/>
        <v>9793965.9287222214</v>
      </c>
      <c r="R206" s="88">
        <f t="shared" si="223"/>
        <v>11283542.907751855</v>
      </c>
      <c r="S206" s="88">
        <f t="shared" si="223"/>
        <v>7455198.4746185178</v>
      </c>
    </row>
    <row r="207" spans="1:19" ht="13.5" thickTop="1"/>
    <row r="214" spans="1:25" ht="38.25" hidden="1" outlineLevel="1">
      <c r="V214" s="101" t="s">
        <v>814</v>
      </c>
      <c r="W214" s="102" t="s">
        <v>815</v>
      </c>
      <c r="X214" s="103" t="s">
        <v>816</v>
      </c>
      <c r="Y214" s="102" t="s">
        <v>817</v>
      </c>
    </row>
    <row r="215" spans="1:25" hidden="1" outlineLevel="1"/>
    <row r="216" spans="1:25" hidden="1" outlineLevel="1">
      <c r="D216" s="51" t="s">
        <v>751</v>
      </c>
    </row>
    <row r="217" spans="1:25" hidden="1" outlineLevel="1">
      <c r="A217" s="59" t="s">
        <v>290</v>
      </c>
      <c r="C217" s="59">
        <v>5035</v>
      </c>
      <c r="D217" s="59" t="s">
        <v>457</v>
      </c>
      <c r="E217" s="59">
        <v>1998</v>
      </c>
      <c r="F217" s="59">
        <v>12</v>
      </c>
      <c r="G217" s="30">
        <v>0</v>
      </c>
      <c r="H217" s="59" t="s">
        <v>78</v>
      </c>
      <c r="I217" s="59">
        <v>7</v>
      </c>
      <c r="J217" s="59">
        <f t="shared" ref="J217:J240" si="224">E217+I217</f>
        <v>2005</v>
      </c>
      <c r="K217" s="72">
        <f t="shared" ref="K217:K240" si="225">+J217+(F217/12)</f>
        <v>2006</v>
      </c>
      <c r="L217" s="27">
        <f>'Orig Trucks 2183'!P120</f>
        <v>35121.599999999999</v>
      </c>
      <c r="M217" s="27">
        <f>L217-L217*G217</f>
        <v>35121.599999999999</v>
      </c>
      <c r="N217" s="27">
        <f t="shared" ref="N217:N240" si="226">M217/I217/12</f>
        <v>418.1142857142857</v>
      </c>
      <c r="O217" s="27">
        <f t="shared" ref="O217:O240" si="227">+N217*12</f>
        <v>5017.3714285714286</v>
      </c>
      <c r="P217" s="27">
        <f>+IF(K217&lt;=$M$5,0,IF(J217&gt;$M$4,O217,N217*F217))</f>
        <v>0</v>
      </c>
      <c r="Q217" s="27">
        <f t="shared" ref="Q217:Q240" si="228">+IF(P217=0,M217,IF($M$3-E217&lt;1,0,(($M$3-E217)*O217)))</f>
        <v>35121.599999999999</v>
      </c>
      <c r="R217" s="27">
        <f t="shared" ref="R217:R240" si="229">+IF(P217=0,Q217,Q217+P217)</f>
        <v>35121.599999999999</v>
      </c>
      <c r="S217" s="27">
        <f t="shared" ref="S217:S240" si="230">+L217-R217</f>
        <v>0</v>
      </c>
      <c r="V217" s="58">
        <v>43059</v>
      </c>
      <c r="W217" s="57">
        <v>0</v>
      </c>
      <c r="X217" s="59" t="s">
        <v>809</v>
      </c>
      <c r="Y217" s="57">
        <v>607</v>
      </c>
    </row>
    <row r="218" spans="1:25" hidden="1" outlineLevel="1">
      <c r="A218" s="71"/>
      <c r="C218" s="81">
        <v>5035</v>
      </c>
      <c r="D218" s="71" t="s">
        <v>684</v>
      </c>
      <c r="E218" s="71">
        <v>2018</v>
      </c>
      <c r="F218" s="71">
        <v>5</v>
      </c>
      <c r="G218" s="82">
        <v>0</v>
      </c>
      <c r="H218" s="71" t="s">
        <v>78</v>
      </c>
      <c r="I218" s="71">
        <f>+IF(J217-$M$4&gt;=3,J217-$M$4,3)</f>
        <v>3</v>
      </c>
      <c r="J218" s="71">
        <f t="shared" si="224"/>
        <v>2021</v>
      </c>
      <c r="K218" s="89">
        <f t="shared" si="225"/>
        <v>2021.4166666666667</v>
      </c>
      <c r="L218" s="90">
        <f>'Orig Trucks 2183'!N120-'Trucks 2183'!L217</f>
        <v>8780.4000000000015</v>
      </c>
      <c r="M218" s="90">
        <f>L218-Y217</f>
        <v>8173.4000000000015</v>
      </c>
      <c r="N218" s="90">
        <f t="shared" si="226"/>
        <v>227.03888888888892</v>
      </c>
      <c r="O218" s="90">
        <f t="shared" si="227"/>
        <v>2724.4666666666672</v>
      </c>
      <c r="P218" s="90">
        <f>+IF(K218&lt;=$M$5,0,IF(J218&gt;$M$4,O218,N218*F218))</f>
        <v>0</v>
      </c>
      <c r="Q218" s="90">
        <f t="shared" si="228"/>
        <v>8173.4000000000015</v>
      </c>
      <c r="R218" s="90">
        <f t="shared" si="229"/>
        <v>8173.4000000000015</v>
      </c>
      <c r="S218" s="90">
        <f t="shared" si="230"/>
        <v>607</v>
      </c>
      <c r="T218" s="59" t="s">
        <v>791</v>
      </c>
    </row>
    <row r="219" spans="1:25" hidden="1" outlineLevel="1">
      <c r="A219" s="59" t="s">
        <v>290</v>
      </c>
      <c r="C219" s="59">
        <v>5036</v>
      </c>
      <c r="D219" s="59" t="s">
        <v>450</v>
      </c>
      <c r="E219" s="59">
        <v>1998</v>
      </c>
      <c r="F219" s="59">
        <v>1</v>
      </c>
      <c r="G219" s="30">
        <v>0</v>
      </c>
      <c r="H219" s="59" t="s">
        <v>78</v>
      </c>
      <c r="I219" s="59">
        <v>7</v>
      </c>
      <c r="J219" s="59">
        <f t="shared" si="224"/>
        <v>2005</v>
      </c>
      <c r="K219" s="72">
        <f t="shared" si="225"/>
        <v>2005.0833333333333</v>
      </c>
      <c r="L219" s="27">
        <f>'Orig Trucks 2183'!P119</f>
        <v>35121.599999999999</v>
      </c>
      <c r="M219" s="27">
        <f>L219-L219*G219</f>
        <v>35121.599999999999</v>
      </c>
      <c r="N219" s="27">
        <f t="shared" si="226"/>
        <v>418.1142857142857</v>
      </c>
      <c r="O219" s="27">
        <f t="shared" si="227"/>
        <v>5017.3714285714286</v>
      </c>
      <c r="P219" s="27">
        <f>+IF(K219&lt;=$M$5,0,IF(J219&gt;$M$4,O219,N219*F219))</f>
        <v>0</v>
      </c>
      <c r="Q219" s="27">
        <f t="shared" si="228"/>
        <v>35121.599999999999</v>
      </c>
      <c r="R219" s="27">
        <f t="shared" si="229"/>
        <v>35121.599999999999</v>
      </c>
      <c r="S219" s="27">
        <f t="shared" si="230"/>
        <v>0</v>
      </c>
      <c r="V219" s="58">
        <v>43160</v>
      </c>
      <c r="W219" s="57">
        <v>0</v>
      </c>
      <c r="X219" s="56" t="s">
        <v>809</v>
      </c>
      <c r="Y219" s="57">
        <v>607</v>
      </c>
    </row>
    <row r="220" spans="1:25" hidden="1" outlineLevel="1">
      <c r="A220" s="71"/>
      <c r="C220" s="81">
        <v>5036</v>
      </c>
      <c r="D220" s="71" t="s">
        <v>683</v>
      </c>
      <c r="E220" s="71">
        <v>2018</v>
      </c>
      <c r="F220" s="71">
        <v>5</v>
      </c>
      <c r="G220" s="82">
        <v>0</v>
      </c>
      <c r="H220" s="71" t="s">
        <v>78</v>
      </c>
      <c r="I220" s="71">
        <f>+IF(J219-$M$4&gt;=3,J219-$M$4,3)</f>
        <v>3</v>
      </c>
      <c r="J220" s="71">
        <f t="shared" si="224"/>
        <v>2021</v>
      </c>
      <c r="K220" s="89">
        <f t="shared" si="225"/>
        <v>2021.4166666666667</v>
      </c>
      <c r="L220" s="90">
        <f>'Orig Trucks 2183'!N119-'Trucks 2183'!L219</f>
        <v>8780.4000000000015</v>
      </c>
      <c r="M220" s="90">
        <f>L220-Y219</f>
        <v>8173.4000000000015</v>
      </c>
      <c r="N220" s="90">
        <f t="shared" si="226"/>
        <v>227.03888888888892</v>
      </c>
      <c r="O220" s="90">
        <f t="shared" si="227"/>
        <v>2724.4666666666672</v>
      </c>
      <c r="P220" s="90">
        <f>+IF(K220&lt;=$M$5,0,IF(J220&gt;$M$4,O220,N220*F220))</f>
        <v>0</v>
      </c>
      <c r="Q220" s="90">
        <f t="shared" si="228"/>
        <v>8173.4000000000015</v>
      </c>
      <c r="R220" s="90">
        <f t="shared" si="229"/>
        <v>8173.4000000000015</v>
      </c>
      <c r="S220" s="90">
        <f t="shared" si="230"/>
        <v>607</v>
      </c>
      <c r="T220" s="59" t="s">
        <v>791</v>
      </c>
    </row>
    <row r="221" spans="1:25" hidden="1" outlineLevel="1">
      <c r="A221" s="59" t="s">
        <v>288</v>
      </c>
      <c r="C221" s="59">
        <v>4510</v>
      </c>
      <c r="D221" s="59" t="s">
        <v>180</v>
      </c>
      <c r="E221" s="59">
        <v>1996</v>
      </c>
      <c r="F221" s="59">
        <v>11</v>
      </c>
      <c r="G221" s="30">
        <v>0</v>
      </c>
      <c r="H221" s="59" t="s">
        <v>78</v>
      </c>
      <c r="I221" s="59">
        <v>7</v>
      </c>
      <c r="J221" s="59">
        <f t="shared" si="224"/>
        <v>2003</v>
      </c>
      <c r="K221" s="26">
        <f t="shared" si="225"/>
        <v>2003.9166666666667</v>
      </c>
      <c r="L221" s="27">
        <f>'Orig Trucks 2183'!P16</f>
        <v>32973.599999999999</v>
      </c>
      <c r="M221" s="27">
        <f>L221-L221*G221</f>
        <v>32973.599999999999</v>
      </c>
      <c r="N221" s="27">
        <f t="shared" si="226"/>
        <v>392.54285714285714</v>
      </c>
      <c r="O221" s="27">
        <f t="shared" si="227"/>
        <v>4710.5142857142855</v>
      </c>
      <c r="P221" s="27">
        <f>+IF(K221&lt;=$M$5,0,IF(J221=$M$4,N221*F221,O221))</f>
        <v>0</v>
      </c>
      <c r="Q221" s="27">
        <f t="shared" si="228"/>
        <v>32973.599999999999</v>
      </c>
      <c r="R221" s="27">
        <f t="shared" si="229"/>
        <v>32973.599999999999</v>
      </c>
      <c r="S221" s="27">
        <f t="shared" si="230"/>
        <v>0</v>
      </c>
      <c r="V221" s="58">
        <v>43404</v>
      </c>
      <c r="W221" s="57">
        <v>0</v>
      </c>
      <c r="X221" s="59" t="s">
        <v>809</v>
      </c>
      <c r="Y221" s="57">
        <v>518.4</v>
      </c>
    </row>
    <row r="222" spans="1:25" hidden="1" outlineLevel="1">
      <c r="A222" s="71"/>
      <c r="C222" s="81">
        <v>4510</v>
      </c>
      <c r="D222" s="71" t="s">
        <v>649</v>
      </c>
      <c r="E222" s="71">
        <v>2018</v>
      </c>
      <c r="F222" s="71">
        <v>5</v>
      </c>
      <c r="G222" s="82">
        <v>0</v>
      </c>
      <c r="H222" s="71" t="s">
        <v>78</v>
      </c>
      <c r="I222" s="71">
        <f>+IF(J221-$M$4&gt;=3,J221-$M$4,3)</f>
        <v>3</v>
      </c>
      <c r="J222" s="71">
        <f t="shared" si="224"/>
        <v>2021</v>
      </c>
      <c r="K222" s="83">
        <f t="shared" si="225"/>
        <v>2021.4166666666667</v>
      </c>
      <c r="L222" s="90">
        <f>'Orig Trucks 2183'!N16-'Trucks 2183'!L221</f>
        <v>8243.4000000000015</v>
      </c>
      <c r="M222" s="90">
        <f>L222-Y221</f>
        <v>7725.0000000000018</v>
      </c>
      <c r="N222" s="90">
        <f t="shared" si="226"/>
        <v>214.58333333333337</v>
      </c>
      <c r="O222" s="90">
        <f t="shared" si="227"/>
        <v>2575.0000000000005</v>
      </c>
      <c r="P222" s="90">
        <f>+IF(K222&lt;=$M$5,0,IF(J222=$M$4,N222*F222,O222))</f>
        <v>0</v>
      </c>
      <c r="Q222" s="90">
        <f t="shared" si="228"/>
        <v>7725.0000000000018</v>
      </c>
      <c r="R222" s="90">
        <f t="shared" si="229"/>
        <v>7725.0000000000018</v>
      </c>
      <c r="S222" s="90">
        <f t="shared" si="230"/>
        <v>518.39999999999964</v>
      </c>
      <c r="T222" s="59" t="s">
        <v>147</v>
      </c>
    </row>
    <row r="223" spans="1:25" hidden="1" outlineLevel="1">
      <c r="A223" s="59" t="s">
        <v>288</v>
      </c>
      <c r="C223" s="59">
        <v>4510</v>
      </c>
      <c r="D223" s="59" t="s">
        <v>181</v>
      </c>
      <c r="E223" s="59">
        <v>1996</v>
      </c>
      <c r="F223" s="59">
        <v>11</v>
      </c>
      <c r="G223" s="30">
        <v>0</v>
      </c>
      <c r="H223" s="59" t="s">
        <v>78</v>
      </c>
      <c r="I223" s="59">
        <v>7</v>
      </c>
      <c r="J223" s="59">
        <f t="shared" si="224"/>
        <v>2003</v>
      </c>
      <c r="K223" s="26">
        <f t="shared" si="225"/>
        <v>2003.9166666666667</v>
      </c>
      <c r="L223" s="27">
        <f>'Orig Trucks 2183'!P17</f>
        <v>349.6</v>
      </c>
      <c r="M223" s="27">
        <f>L223-L223*G223</f>
        <v>349.6</v>
      </c>
      <c r="N223" s="27">
        <f t="shared" si="226"/>
        <v>4.1619047619047622</v>
      </c>
      <c r="O223" s="27">
        <f t="shared" si="227"/>
        <v>49.94285714285715</v>
      </c>
      <c r="P223" s="27">
        <f>+IF(K223&lt;=$M$5,0,IF(J223=$M$4,N223*F223,O223))</f>
        <v>0</v>
      </c>
      <c r="Q223" s="27">
        <f t="shared" si="228"/>
        <v>349.6</v>
      </c>
      <c r="R223" s="27">
        <f t="shared" si="229"/>
        <v>349.6</v>
      </c>
      <c r="S223" s="27">
        <f t="shared" si="230"/>
        <v>0</v>
      </c>
      <c r="V223" s="58"/>
      <c r="X223" s="56"/>
    </row>
    <row r="224" spans="1:25" hidden="1" outlineLevel="1">
      <c r="A224" s="59" t="s">
        <v>284</v>
      </c>
      <c r="C224" s="59">
        <v>3558</v>
      </c>
      <c r="D224" s="59" t="s">
        <v>379</v>
      </c>
      <c r="E224" s="59">
        <v>2000</v>
      </c>
      <c r="F224" s="59">
        <v>5</v>
      </c>
      <c r="G224" s="30">
        <v>0</v>
      </c>
      <c r="H224" s="59" t="s">
        <v>78</v>
      </c>
      <c r="I224" s="59">
        <v>7</v>
      </c>
      <c r="J224" s="59">
        <f t="shared" si="224"/>
        <v>2007</v>
      </c>
      <c r="K224" s="72">
        <f t="shared" si="225"/>
        <v>2007.4166666666667</v>
      </c>
      <c r="L224" s="27">
        <f>'Orig Trucks 2183'!P156</f>
        <v>120269.856</v>
      </c>
      <c r="M224" s="27">
        <f>L224-L224*G224</f>
        <v>120269.856</v>
      </c>
      <c r="N224" s="27">
        <f t="shared" si="226"/>
        <v>1431.7839999999999</v>
      </c>
      <c r="O224" s="27">
        <f t="shared" si="227"/>
        <v>17181.407999999999</v>
      </c>
      <c r="P224" s="27">
        <f t="shared" ref="P224:P229" si="231">+IF(K224&lt;=$M$5,0,IF(J224&gt;$M$4,O224,N224*F224))</f>
        <v>0</v>
      </c>
      <c r="Q224" s="27">
        <f t="shared" si="228"/>
        <v>120269.856</v>
      </c>
      <c r="R224" s="27">
        <f t="shared" si="229"/>
        <v>120269.856</v>
      </c>
      <c r="S224" s="27">
        <f t="shared" si="230"/>
        <v>0</v>
      </c>
      <c r="V224" s="58">
        <v>43404</v>
      </c>
      <c r="W224" s="57">
        <v>0</v>
      </c>
      <c r="X224" s="59" t="s">
        <v>809</v>
      </c>
      <c r="Y224" s="57">
        <v>776.8</v>
      </c>
    </row>
    <row r="225" spans="1:25" hidden="1" outlineLevel="1">
      <c r="A225" s="71"/>
      <c r="C225" s="81">
        <v>3558</v>
      </c>
      <c r="D225" s="71" t="s">
        <v>697</v>
      </c>
      <c r="E225" s="71">
        <v>2018</v>
      </c>
      <c r="F225" s="71">
        <v>5</v>
      </c>
      <c r="G225" s="82">
        <v>0</v>
      </c>
      <c r="H225" s="71" t="s">
        <v>78</v>
      </c>
      <c r="I225" s="71">
        <f>+IF(J224-$M$4&gt;=3,J224-$M$4,3)</f>
        <v>3</v>
      </c>
      <c r="J225" s="71">
        <f t="shared" si="224"/>
        <v>2021</v>
      </c>
      <c r="K225" s="89">
        <f t="shared" si="225"/>
        <v>2021.4166666666667</v>
      </c>
      <c r="L225" s="90">
        <f>'Orig Trucks 2183'!N156-'Trucks 2183'!L224</f>
        <v>30067.464000000007</v>
      </c>
      <c r="M225" s="90">
        <f>L225-Y224</f>
        <v>29290.664000000008</v>
      </c>
      <c r="N225" s="90">
        <f t="shared" si="226"/>
        <v>813.62955555555573</v>
      </c>
      <c r="O225" s="90">
        <f t="shared" si="227"/>
        <v>9763.5546666666687</v>
      </c>
      <c r="P225" s="90">
        <f t="shared" si="231"/>
        <v>0</v>
      </c>
      <c r="Q225" s="90">
        <f t="shared" si="228"/>
        <v>29290.664000000008</v>
      </c>
      <c r="R225" s="90">
        <f t="shared" si="229"/>
        <v>29290.664000000008</v>
      </c>
      <c r="S225" s="90">
        <f t="shared" si="230"/>
        <v>776.79999999999927</v>
      </c>
      <c r="T225" s="59" t="s">
        <v>157</v>
      </c>
    </row>
    <row r="226" spans="1:25" hidden="1" outlineLevel="1">
      <c r="A226" s="59" t="s">
        <v>284</v>
      </c>
      <c r="C226" s="59">
        <v>3558</v>
      </c>
      <c r="D226" s="59" t="s">
        <v>339</v>
      </c>
      <c r="E226" s="59">
        <v>2009</v>
      </c>
      <c r="F226" s="59">
        <v>5</v>
      </c>
      <c r="G226" s="30">
        <v>0</v>
      </c>
      <c r="H226" s="59" t="s">
        <v>78</v>
      </c>
      <c r="I226" s="59">
        <v>3</v>
      </c>
      <c r="J226" s="59">
        <f t="shared" si="224"/>
        <v>2012</v>
      </c>
      <c r="K226" s="72">
        <f t="shared" si="225"/>
        <v>2012.4166666666667</v>
      </c>
      <c r="L226" s="27">
        <v>2685.06</v>
      </c>
      <c r="M226" s="27">
        <f>L226-L226*G226</f>
        <v>2685.06</v>
      </c>
      <c r="N226" s="27">
        <f t="shared" si="226"/>
        <v>74.584999999999994</v>
      </c>
      <c r="O226" s="27">
        <f t="shared" si="227"/>
        <v>895.02</v>
      </c>
      <c r="P226" s="27">
        <f t="shared" si="231"/>
        <v>0</v>
      </c>
      <c r="Q226" s="27">
        <f t="shared" si="228"/>
        <v>2685.06</v>
      </c>
      <c r="R226" s="27">
        <f t="shared" si="229"/>
        <v>2685.06</v>
      </c>
      <c r="S226" s="27">
        <f t="shared" si="230"/>
        <v>0</v>
      </c>
    </row>
    <row r="227" spans="1:25" hidden="1" outlineLevel="1">
      <c r="A227" s="59" t="s">
        <v>292</v>
      </c>
      <c r="C227" s="59">
        <v>5043</v>
      </c>
      <c r="D227" s="59" t="s">
        <v>452</v>
      </c>
      <c r="E227" s="59">
        <v>2002</v>
      </c>
      <c r="F227" s="59">
        <v>6</v>
      </c>
      <c r="G227" s="30">
        <v>0</v>
      </c>
      <c r="H227" s="59" t="s">
        <v>78</v>
      </c>
      <c r="I227" s="59">
        <v>7</v>
      </c>
      <c r="J227" s="59">
        <f t="shared" si="224"/>
        <v>2009</v>
      </c>
      <c r="K227" s="72">
        <f t="shared" si="225"/>
        <v>2009.5</v>
      </c>
      <c r="L227" s="27">
        <f>'Orig Trucks 2183'!P125</f>
        <v>59345.864000000001</v>
      </c>
      <c r="M227" s="27">
        <f>L227-L227*G227</f>
        <v>59345.864000000001</v>
      </c>
      <c r="N227" s="27">
        <f t="shared" si="226"/>
        <v>706.49838095238101</v>
      </c>
      <c r="O227" s="27">
        <f t="shared" si="227"/>
        <v>8477.9805714285721</v>
      </c>
      <c r="P227" s="27">
        <f t="shared" si="231"/>
        <v>0</v>
      </c>
      <c r="Q227" s="27">
        <f t="shared" si="228"/>
        <v>59345.864000000001</v>
      </c>
      <c r="R227" s="27">
        <f t="shared" si="229"/>
        <v>59345.864000000001</v>
      </c>
      <c r="S227" s="27">
        <f t="shared" si="230"/>
        <v>0</v>
      </c>
      <c r="V227" s="58">
        <v>43404</v>
      </c>
      <c r="W227" s="57">
        <v>0</v>
      </c>
      <c r="X227" s="59" t="s">
        <v>809</v>
      </c>
      <c r="Y227" s="57">
        <v>660.8</v>
      </c>
    </row>
    <row r="228" spans="1:25" hidden="1" outlineLevel="1">
      <c r="A228" s="71"/>
      <c r="C228" s="81">
        <v>5043</v>
      </c>
      <c r="D228" s="71" t="s">
        <v>687</v>
      </c>
      <c r="E228" s="71">
        <v>2018</v>
      </c>
      <c r="F228" s="71">
        <v>5</v>
      </c>
      <c r="G228" s="82">
        <v>0</v>
      </c>
      <c r="H228" s="71" t="s">
        <v>78</v>
      </c>
      <c r="I228" s="71">
        <f>+IF(J227-$M$4&gt;=3,J227-$M$4,3)</f>
        <v>3</v>
      </c>
      <c r="J228" s="71">
        <f t="shared" si="224"/>
        <v>2021</v>
      </c>
      <c r="K228" s="89">
        <f t="shared" si="225"/>
        <v>2021.4166666666667</v>
      </c>
      <c r="L228" s="90">
        <f>'Orig Trucks 2183'!N125-'Trucks 2183'!L227</f>
        <v>14836.466</v>
      </c>
      <c r="M228" s="90">
        <f>L228-Y227</f>
        <v>14175.666000000001</v>
      </c>
      <c r="N228" s="90">
        <f t="shared" si="226"/>
        <v>393.76850000000007</v>
      </c>
      <c r="O228" s="90">
        <f t="shared" si="227"/>
        <v>4725.2220000000007</v>
      </c>
      <c r="P228" s="90">
        <f t="shared" si="231"/>
        <v>0</v>
      </c>
      <c r="Q228" s="90">
        <f t="shared" si="228"/>
        <v>14175.666000000001</v>
      </c>
      <c r="R228" s="90">
        <f t="shared" si="229"/>
        <v>14175.666000000001</v>
      </c>
      <c r="S228" s="90">
        <f t="shared" si="230"/>
        <v>660.79999999999927</v>
      </c>
      <c r="T228" s="59" t="s">
        <v>791</v>
      </c>
    </row>
    <row r="229" spans="1:25" hidden="1" outlineLevel="1">
      <c r="A229" s="59" t="s">
        <v>292</v>
      </c>
      <c r="C229" s="59">
        <v>5043</v>
      </c>
      <c r="D229" s="59" t="s">
        <v>335</v>
      </c>
      <c r="E229" s="59">
        <v>2009</v>
      </c>
      <c r="F229" s="59">
        <v>5</v>
      </c>
      <c r="G229" s="30">
        <v>0</v>
      </c>
      <c r="H229" s="59" t="s">
        <v>78</v>
      </c>
      <c r="I229" s="59">
        <v>3</v>
      </c>
      <c r="J229" s="59">
        <f t="shared" si="224"/>
        <v>2012</v>
      </c>
      <c r="K229" s="72">
        <f t="shared" si="225"/>
        <v>2012.4166666666667</v>
      </c>
      <c r="L229" s="27">
        <v>2801.33</v>
      </c>
      <c r="M229" s="27">
        <f>L229-L229*G229</f>
        <v>2801.33</v>
      </c>
      <c r="N229" s="27">
        <f t="shared" si="226"/>
        <v>77.814722222222215</v>
      </c>
      <c r="O229" s="27">
        <f t="shared" si="227"/>
        <v>933.77666666666664</v>
      </c>
      <c r="P229" s="27">
        <f t="shared" si="231"/>
        <v>0</v>
      </c>
      <c r="Q229" s="27">
        <f t="shared" si="228"/>
        <v>2801.33</v>
      </c>
      <c r="R229" s="27">
        <f t="shared" si="229"/>
        <v>2801.33</v>
      </c>
      <c r="S229" s="27">
        <f t="shared" si="230"/>
        <v>0</v>
      </c>
    </row>
    <row r="230" spans="1:25" hidden="1" outlineLevel="1">
      <c r="A230" s="59" t="s">
        <v>288</v>
      </c>
      <c r="C230" s="59">
        <v>4510</v>
      </c>
      <c r="D230" s="59" t="s">
        <v>327</v>
      </c>
      <c r="E230" s="59">
        <v>2009</v>
      </c>
      <c r="F230" s="59">
        <v>6</v>
      </c>
      <c r="G230" s="30">
        <v>0</v>
      </c>
      <c r="H230" s="59" t="s">
        <v>78</v>
      </c>
      <c r="I230" s="59">
        <v>3</v>
      </c>
      <c r="J230" s="59">
        <f t="shared" si="224"/>
        <v>2012</v>
      </c>
      <c r="K230" s="26">
        <f t="shared" si="225"/>
        <v>2012.5</v>
      </c>
      <c r="L230" s="27">
        <v>4493.79</v>
      </c>
      <c r="M230" s="27">
        <f>L230-L230*G230</f>
        <v>4493.79</v>
      </c>
      <c r="N230" s="27">
        <f t="shared" si="226"/>
        <v>124.8275</v>
      </c>
      <c r="O230" s="27">
        <f t="shared" si="227"/>
        <v>1497.93</v>
      </c>
      <c r="P230" s="27">
        <f>+IF(K230&lt;=$M$5,0,IF(J230=$M$4,N230*F230,O230))</f>
        <v>0</v>
      </c>
      <c r="Q230" s="27">
        <f t="shared" si="228"/>
        <v>4493.79</v>
      </c>
      <c r="R230" s="27">
        <f t="shared" si="229"/>
        <v>4493.79</v>
      </c>
      <c r="S230" s="27">
        <f t="shared" si="230"/>
        <v>0</v>
      </c>
    </row>
    <row r="231" spans="1:25" hidden="1" outlineLevel="1">
      <c r="A231" s="59" t="s">
        <v>290</v>
      </c>
      <c r="C231" s="59">
        <v>5035</v>
      </c>
      <c r="D231" s="59" t="s">
        <v>305</v>
      </c>
      <c r="E231" s="59">
        <v>1999</v>
      </c>
      <c r="F231" s="59">
        <v>8</v>
      </c>
      <c r="G231" s="30">
        <v>0</v>
      </c>
      <c r="H231" s="59" t="s">
        <v>78</v>
      </c>
      <c r="I231" s="59">
        <v>7</v>
      </c>
      <c r="J231" s="59">
        <f t="shared" si="224"/>
        <v>2006</v>
      </c>
      <c r="K231" s="72">
        <f t="shared" si="225"/>
        <v>2006.6666666666667</v>
      </c>
      <c r="L231" s="27">
        <f>'Orig Trucks 2183'!P121</f>
        <v>17376</v>
      </c>
      <c r="M231" s="27">
        <f>L231-L231*G231</f>
        <v>17376</v>
      </c>
      <c r="N231" s="27">
        <f t="shared" si="226"/>
        <v>206.85714285714286</v>
      </c>
      <c r="O231" s="27">
        <f t="shared" si="227"/>
        <v>2482.2857142857142</v>
      </c>
      <c r="P231" s="27">
        <f>+IF(K231&lt;=$M$5,0,IF(J231&gt;$M$4,O231,N231*F231))</f>
        <v>0</v>
      </c>
      <c r="Q231" s="27">
        <f t="shared" si="228"/>
        <v>17376</v>
      </c>
      <c r="R231" s="27">
        <f t="shared" si="229"/>
        <v>17376</v>
      </c>
      <c r="S231" s="27">
        <f t="shared" si="230"/>
        <v>0</v>
      </c>
      <c r="V231" s="58">
        <v>43160</v>
      </c>
      <c r="W231" s="57">
        <v>0</v>
      </c>
      <c r="X231" s="56" t="s">
        <v>809</v>
      </c>
      <c r="Y231" s="57">
        <v>607</v>
      </c>
    </row>
    <row r="232" spans="1:25" hidden="1" outlineLevel="1">
      <c r="A232" s="71"/>
      <c r="C232" s="81">
        <v>5035</v>
      </c>
      <c r="D232" s="71" t="s">
        <v>684</v>
      </c>
      <c r="E232" s="71">
        <v>2018</v>
      </c>
      <c r="F232" s="71">
        <v>5</v>
      </c>
      <c r="G232" s="82">
        <v>0</v>
      </c>
      <c r="H232" s="71" t="s">
        <v>78</v>
      </c>
      <c r="I232" s="71">
        <f>+IF(J231-$M$4&gt;=3,J231-$M$4,3)</f>
        <v>3</v>
      </c>
      <c r="J232" s="71">
        <f t="shared" si="224"/>
        <v>2021</v>
      </c>
      <c r="K232" s="89">
        <f t="shared" si="225"/>
        <v>2021.4166666666667</v>
      </c>
      <c r="L232" s="90">
        <f>'Orig Trucks 2183'!N121-'Trucks 2183'!L231</f>
        <v>4344</v>
      </c>
      <c r="M232" s="90">
        <f>L232-Y231</f>
        <v>3737</v>
      </c>
      <c r="N232" s="90">
        <f t="shared" si="226"/>
        <v>103.80555555555556</v>
      </c>
      <c r="O232" s="90">
        <f t="shared" si="227"/>
        <v>1245.6666666666667</v>
      </c>
      <c r="P232" s="90">
        <f>+IF(K232&lt;=$M$5,0,IF(J232&gt;$M$4,O232,N232*F232))</f>
        <v>0</v>
      </c>
      <c r="Q232" s="90">
        <f t="shared" si="228"/>
        <v>3737</v>
      </c>
      <c r="R232" s="90">
        <f t="shared" si="229"/>
        <v>3737</v>
      </c>
      <c r="S232" s="90">
        <f t="shared" si="230"/>
        <v>607</v>
      </c>
      <c r="T232" s="59" t="s">
        <v>791</v>
      </c>
    </row>
    <row r="233" spans="1:25" hidden="1" outlineLevel="1">
      <c r="B233" s="28">
        <v>191685</v>
      </c>
      <c r="D233" s="59" t="s">
        <v>717</v>
      </c>
      <c r="E233" s="59">
        <v>2018</v>
      </c>
      <c r="F233" s="59">
        <v>1</v>
      </c>
      <c r="G233" s="30">
        <v>0</v>
      </c>
      <c r="H233" s="59" t="s">
        <v>78</v>
      </c>
      <c r="I233" s="59">
        <v>10</v>
      </c>
      <c r="J233" s="59">
        <f t="shared" si="224"/>
        <v>2028</v>
      </c>
      <c r="K233" s="26">
        <f t="shared" si="225"/>
        <v>2028.0833333333333</v>
      </c>
      <c r="L233" s="27">
        <v>115762.12</v>
      </c>
      <c r="M233" s="27">
        <f>L233-L233*G233</f>
        <v>115762.12</v>
      </c>
      <c r="N233" s="27">
        <f t="shared" si="226"/>
        <v>964.68433333333326</v>
      </c>
      <c r="O233" s="27">
        <f t="shared" si="227"/>
        <v>11576.212</v>
      </c>
      <c r="P233" s="27">
        <f>+IF(K233&lt;=$M$5,0,IF(J233=$M$4,N233*F233,O233))</f>
        <v>11576.212</v>
      </c>
      <c r="Q233" s="27">
        <f t="shared" si="228"/>
        <v>34728.635999999999</v>
      </c>
      <c r="R233" s="27">
        <f t="shared" si="229"/>
        <v>46304.847999999998</v>
      </c>
      <c r="S233" s="27">
        <f t="shared" si="230"/>
        <v>69457.271999999997</v>
      </c>
    </row>
    <row r="234" spans="1:25" hidden="1" outlineLevel="1">
      <c r="A234" s="59" t="s">
        <v>283</v>
      </c>
      <c r="C234" s="59">
        <v>4030</v>
      </c>
      <c r="D234" s="59" t="s">
        <v>163</v>
      </c>
      <c r="E234" s="59">
        <v>2002</v>
      </c>
      <c r="F234" s="59">
        <v>6</v>
      </c>
      <c r="G234" s="30">
        <v>0</v>
      </c>
      <c r="H234" s="59" t="s">
        <v>78</v>
      </c>
      <c r="I234" s="59">
        <v>7</v>
      </c>
      <c r="J234" s="59">
        <f t="shared" si="224"/>
        <v>2009</v>
      </c>
      <c r="K234" s="72">
        <f t="shared" si="225"/>
        <v>2009.5</v>
      </c>
      <c r="L234" s="27">
        <f>'Orig Trucks 2183'!P83</f>
        <v>72496.775999999998</v>
      </c>
      <c r="M234" s="27">
        <f>L234-L234*G234</f>
        <v>72496.775999999998</v>
      </c>
      <c r="N234" s="27">
        <f t="shared" si="226"/>
        <v>863.0568571428571</v>
      </c>
      <c r="O234" s="27">
        <f t="shared" si="227"/>
        <v>10356.682285714285</v>
      </c>
      <c r="P234" s="27">
        <f>+IF(K234&lt;=$M$5,0,IF(J234&gt;$M$4,O234,N234*F234))</f>
        <v>0</v>
      </c>
      <c r="Q234" s="27">
        <f t="shared" si="228"/>
        <v>72496.775999999998</v>
      </c>
      <c r="R234" s="27">
        <f t="shared" si="229"/>
        <v>72496.775999999998</v>
      </c>
      <c r="S234" s="27">
        <f t="shared" si="230"/>
        <v>0</v>
      </c>
      <c r="V234" s="58">
        <v>43191</v>
      </c>
      <c r="W234" s="57">
        <v>0</v>
      </c>
      <c r="X234" s="56" t="s">
        <v>810</v>
      </c>
      <c r="Y234" s="57">
        <v>0</v>
      </c>
    </row>
    <row r="235" spans="1:25" hidden="1" outlineLevel="1">
      <c r="A235" s="71"/>
      <c r="B235" s="81">
        <v>4030</v>
      </c>
      <c r="C235" s="81">
        <v>4030</v>
      </c>
      <c r="D235" s="71" t="s">
        <v>674</v>
      </c>
      <c r="E235" s="71">
        <v>2018</v>
      </c>
      <c r="F235" s="71">
        <v>5</v>
      </c>
      <c r="G235" s="82">
        <v>0</v>
      </c>
      <c r="H235" s="71" t="s">
        <v>78</v>
      </c>
      <c r="I235" s="71">
        <f>+IF(J234-$M$4&gt;=3,J234-$M$4,3)</f>
        <v>3</v>
      </c>
      <c r="J235" s="71">
        <f t="shared" si="224"/>
        <v>2021</v>
      </c>
      <c r="K235" s="89">
        <f t="shared" si="225"/>
        <v>2021.4166666666667</v>
      </c>
      <c r="L235" s="90"/>
      <c r="M235" s="90"/>
      <c r="N235" s="90">
        <f t="shared" si="226"/>
        <v>0</v>
      </c>
      <c r="O235" s="90">
        <f t="shared" si="227"/>
        <v>0</v>
      </c>
      <c r="P235" s="90">
        <f>+IF(K235&lt;=$M$5,0,IF(J235&gt;$M$4,O235,N235*F235))</f>
        <v>0</v>
      </c>
      <c r="Q235" s="90">
        <f t="shared" si="228"/>
        <v>0</v>
      </c>
      <c r="R235" s="90">
        <f t="shared" si="229"/>
        <v>0</v>
      </c>
      <c r="S235" s="90">
        <f t="shared" si="230"/>
        <v>0</v>
      </c>
      <c r="T235" s="59" t="s">
        <v>792</v>
      </c>
    </row>
    <row r="236" spans="1:25" hidden="1" outlineLevel="1">
      <c r="A236" s="59" t="s">
        <v>529</v>
      </c>
      <c r="C236" s="59">
        <v>4033</v>
      </c>
      <c r="D236" s="59" t="s">
        <v>174</v>
      </c>
      <c r="E236" s="59">
        <v>2002</v>
      </c>
      <c r="F236" s="59">
        <v>9</v>
      </c>
      <c r="G236" s="30">
        <v>0</v>
      </c>
      <c r="H236" s="59" t="s">
        <v>78</v>
      </c>
      <c r="I236" s="59">
        <v>7</v>
      </c>
      <c r="J236" s="59">
        <f t="shared" si="224"/>
        <v>2009</v>
      </c>
      <c r="K236" s="72">
        <f t="shared" si="225"/>
        <v>2009.75</v>
      </c>
      <c r="L236" s="27">
        <v>0</v>
      </c>
      <c r="M236" s="27">
        <f>L236-L236*G236</f>
        <v>0</v>
      </c>
      <c r="N236" s="27">
        <f t="shared" si="226"/>
        <v>0</v>
      </c>
      <c r="O236" s="27">
        <f t="shared" si="227"/>
        <v>0</v>
      </c>
      <c r="P236" s="27">
        <f>+IF(K236&lt;=$M$5,0,IF(J236&gt;$M$4,O236,N236*F236))</f>
        <v>0</v>
      </c>
      <c r="Q236" s="27">
        <f t="shared" si="228"/>
        <v>0</v>
      </c>
      <c r="R236" s="27">
        <f t="shared" si="229"/>
        <v>0</v>
      </c>
      <c r="S236" s="27">
        <f t="shared" si="230"/>
        <v>0</v>
      </c>
      <c r="V236" s="58">
        <v>43191</v>
      </c>
      <c r="W236" s="57">
        <v>0</v>
      </c>
      <c r="X236" s="56" t="s">
        <v>810</v>
      </c>
      <c r="Y236" s="57">
        <v>0</v>
      </c>
    </row>
    <row r="237" spans="1:25" hidden="1" outlineLevel="1">
      <c r="A237" s="71"/>
      <c r="C237" s="81">
        <v>4033</v>
      </c>
      <c r="D237" s="71" t="s">
        <v>675</v>
      </c>
      <c r="E237" s="71">
        <v>2018</v>
      </c>
      <c r="F237" s="71">
        <v>5</v>
      </c>
      <c r="G237" s="82">
        <v>0</v>
      </c>
      <c r="H237" s="71" t="s">
        <v>78</v>
      </c>
      <c r="I237" s="71">
        <f>+IF(J236-$M$4&gt;=3,J236-$M$4,3)</f>
        <v>3</v>
      </c>
      <c r="J237" s="71">
        <f t="shared" si="224"/>
        <v>2021</v>
      </c>
      <c r="K237" s="89">
        <f t="shared" si="225"/>
        <v>2021.4166666666667</v>
      </c>
      <c r="L237" s="90">
        <v>0</v>
      </c>
      <c r="M237" s="90">
        <f>L237-(L237*G237)</f>
        <v>0</v>
      </c>
      <c r="N237" s="90">
        <f t="shared" si="226"/>
        <v>0</v>
      </c>
      <c r="O237" s="90">
        <f t="shared" si="227"/>
        <v>0</v>
      </c>
      <c r="P237" s="90">
        <f>+IF(K237&lt;=$M$5,0,IF(J237&gt;$M$4,O237,N237*F237))</f>
        <v>0</v>
      </c>
      <c r="Q237" s="90">
        <f t="shared" si="228"/>
        <v>0</v>
      </c>
      <c r="R237" s="90">
        <f t="shared" si="229"/>
        <v>0</v>
      </c>
      <c r="S237" s="90">
        <f t="shared" si="230"/>
        <v>0</v>
      </c>
      <c r="T237" s="59" t="s">
        <v>792</v>
      </c>
    </row>
    <row r="238" spans="1:25" hidden="1" outlineLevel="1">
      <c r="A238" s="59" t="s">
        <v>284</v>
      </c>
      <c r="C238" s="59">
        <v>3606</v>
      </c>
      <c r="D238" s="59" t="s">
        <v>377</v>
      </c>
      <c r="E238" s="59">
        <v>2007</v>
      </c>
      <c r="F238" s="59">
        <v>7</v>
      </c>
      <c r="G238" s="30">
        <v>0</v>
      </c>
      <c r="H238" s="59" t="s">
        <v>78</v>
      </c>
      <c r="I238" s="59">
        <v>7</v>
      </c>
      <c r="J238" s="59">
        <f t="shared" si="224"/>
        <v>2014</v>
      </c>
      <c r="K238" s="26">
        <f t="shared" si="225"/>
        <v>2014.5833333333333</v>
      </c>
      <c r="L238" s="27">
        <f>'Orig Trucks 2183'!P43</f>
        <v>155764.03200000001</v>
      </c>
      <c r="M238" s="27">
        <f>L238-L238*G238</f>
        <v>155764.03200000001</v>
      </c>
      <c r="N238" s="27">
        <f t="shared" si="226"/>
        <v>1854.3337142857144</v>
      </c>
      <c r="O238" s="27">
        <f t="shared" si="227"/>
        <v>22252.004571428573</v>
      </c>
      <c r="P238" s="27">
        <f>+IF(K238&lt;=$M$5,0,IF(J238=$M$4,N238*F238,O238))</f>
        <v>0</v>
      </c>
      <c r="Q238" s="27">
        <f t="shared" si="228"/>
        <v>155764.03200000001</v>
      </c>
      <c r="R238" s="27">
        <f t="shared" si="229"/>
        <v>155764.03200000001</v>
      </c>
      <c r="S238" s="27">
        <f t="shared" si="230"/>
        <v>0</v>
      </c>
      <c r="V238" s="58">
        <v>43191</v>
      </c>
      <c r="W238" s="57">
        <v>0</v>
      </c>
      <c r="X238" s="56" t="s">
        <v>810</v>
      </c>
      <c r="Y238" s="57">
        <v>0</v>
      </c>
    </row>
    <row r="239" spans="1:25" hidden="1" outlineLevel="1">
      <c r="A239" s="71"/>
      <c r="C239" s="81">
        <v>3606</v>
      </c>
      <c r="D239" s="71" t="s">
        <v>664</v>
      </c>
      <c r="E239" s="71">
        <v>2018</v>
      </c>
      <c r="F239" s="71">
        <v>5</v>
      </c>
      <c r="G239" s="82">
        <v>0</v>
      </c>
      <c r="H239" s="71" t="s">
        <v>78</v>
      </c>
      <c r="I239" s="71">
        <f>+IF(J238-$M$4&gt;=3,J238-$M$4,3)</f>
        <v>3</v>
      </c>
      <c r="J239" s="71">
        <f t="shared" si="224"/>
        <v>2021</v>
      </c>
      <c r="K239" s="83">
        <f t="shared" si="225"/>
        <v>2021.4166666666667</v>
      </c>
      <c r="L239" s="90"/>
      <c r="M239" s="90">
        <f>L239-(L239*G239)</f>
        <v>0</v>
      </c>
      <c r="N239" s="90">
        <f t="shared" si="226"/>
        <v>0</v>
      </c>
      <c r="O239" s="90">
        <f t="shared" si="227"/>
        <v>0</v>
      </c>
      <c r="P239" s="90">
        <f>+IF(K239&lt;=$M$5,0,IF(J239=$M$4,N239*F239,O239))</f>
        <v>0</v>
      </c>
      <c r="Q239" s="90">
        <f t="shared" si="228"/>
        <v>0</v>
      </c>
      <c r="R239" s="90">
        <f t="shared" si="229"/>
        <v>0</v>
      </c>
      <c r="S239" s="90">
        <f t="shared" si="230"/>
        <v>0</v>
      </c>
      <c r="T239" s="59" t="s">
        <v>147</v>
      </c>
    </row>
    <row r="240" spans="1:25" hidden="1" outlineLevel="1">
      <c r="A240" s="59" t="s">
        <v>288</v>
      </c>
      <c r="B240" s="28" t="s">
        <v>568</v>
      </c>
      <c r="C240" s="59">
        <v>8924</v>
      </c>
      <c r="D240" s="59" t="s">
        <v>569</v>
      </c>
      <c r="E240" s="59">
        <v>2015</v>
      </c>
      <c r="F240" s="59">
        <v>5</v>
      </c>
      <c r="G240" s="30">
        <v>0</v>
      </c>
      <c r="H240" s="59" t="s">
        <v>78</v>
      </c>
      <c r="I240" s="59">
        <v>3</v>
      </c>
      <c r="J240" s="59">
        <f t="shared" si="224"/>
        <v>2018</v>
      </c>
      <c r="K240" s="26">
        <f t="shared" si="225"/>
        <v>2018.4166666666667</v>
      </c>
      <c r="L240" s="27">
        <f>29396+30486</f>
        <v>59882</v>
      </c>
      <c r="M240" s="27">
        <f>L240-L240*G240</f>
        <v>59882</v>
      </c>
      <c r="N240" s="27">
        <f t="shared" si="226"/>
        <v>1663.3888888888889</v>
      </c>
      <c r="O240" s="27">
        <f t="shared" si="227"/>
        <v>19960.666666666668</v>
      </c>
      <c r="P240" s="27">
        <f>+IF(K240&lt;=$M$5,0,IF(J240=$M$4,N240*F240,O240))</f>
        <v>0</v>
      </c>
      <c r="Q240" s="27">
        <f t="shared" si="228"/>
        <v>59882</v>
      </c>
      <c r="R240" s="27">
        <f t="shared" si="229"/>
        <v>59882</v>
      </c>
      <c r="S240" s="27">
        <f t="shared" si="230"/>
        <v>0</v>
      </c>
    </row>
    <row r="241" spans="1:25" hidden="1" outlineLevel="1">
      <c r="A241" s="59" t="s">
        <v>283</v>
      </c>
      <c r="C241" s="59">
        <v>4025</v>
      </c>
      <c r="D241" s="59" t="s">
        <v>378</v>
      </c>
      <c r="E241" s="59">
        <v>2000</v>
      </c>
      <c r="F241" s="59">
        <v>4</v>
      </c>
      <c r="G241" s="30">
        <v>0</v>
      </c>
      <c r="H241" s="59" t="s">
        <v>78</v>
      </c>
      <c r="I241" s="59">
        <v>7</v>
      </c>
      <c r="J241" s="59">
        <f t="shared" ref="J241:J249" si="232">E241+I241</f>
        <v>2007</v>
      </c>
      <c r="K241" s="72">
        <f t="shared" ref="K241:K249" si="233">+J241+(F241/12)</f>
        <v>2007.3333333333333</v>
      </c>
      <c r="L241" s="27">
        <f>'Orig Trucks 2183'!P82</f>
        <v>97205.135999999999</v>
      </c>
      <c r="M241" s="27">
        <f>L241-L241*G241</f>
        <v>97205.135999999999</v>
      </c>
      <c r="N241" s="27">
        <f t="shared" ref="N241:N249" si="234">M241/I241/12</f>
        <v>1157.204</v>
      </c>
      <c r="O241" s="27">
        <f t="shared" ref="O241:O249" si="235">+N241*12</f>
        <v>13886.448</v>
      </c>
      <c r="P241" s="27">
        <f>+IF(K241&lt;=$M$5,0,IF(J241&gt;$M$4,O241,N241*F241))</f>
        <v>0</v>
      </c>
      <c r="Q241" s="27">
        <f t="shared" ref="Q241:Q249" si="236">+IF(P241=0,M241,IF($M$3-E241&lt;1,0,(($M$3-E241)*O241)))</f>
        <v>97205.135999999999</v>
      </c>
      <c r="R241" s="27">
        <f t="shared" ref="R241:R249" si="237">+IF(P241=0,Q241,Q241+P241)</f>
        <v>97205.135999999999</v>
      </c>
      <c r="S241" s="27">
        <f t="shared" ref="S241:S249" si="238">+L241-R241</f>
        <v>0</v>
      </c>
      <c r="V241" s="58">
        <v>43191</v>
      </c>
      <c r="W241" s="57">
        <v>0</v>
      </c>
      <c r="X241" s="56" t="s">
        <v>810</v>
      </c>
      <c r="Y241" s="57">
        <v>0</v>
      </c>
    </row>
    <row r="242" spans="1:25" hidden="1" outlineLevel="1">
      <c r="A242" s="71"/>
      <c r="C242" s="81">
        <v>4025</v>
      </c>
      <c r="D242" s="71" t="s">
        <v>673</v>
      </c>
      <c r="E242" s="71">
        <v>2018</v>
      </c>
      <c r="F242" s="71">
        <v>5</v>
      </c>
      <c r="G242" s="82">
        <v>0</v>
      </c>
      <c r="H242" s="71" t="s">
        <v>78</v>
      </c>
      <c r="I242" s="71">
        <f>+IF(J241-$M$4&gt;=3,J241-$M$4,3)</f>
        <v>3</v>
      </c>
      <c r="J242" s="71">
        <f t="shared" si="232"/>
        <v>2021</v>
      </c>
      <c r="K242" s="89">
        <f t="shared" si="233"/>
        <v>2021.4166666666667</v>
      </c>
      <c r="L242" s="90"/>
      <c r="M242" s="90">
        <f>L242-(L242*G242)</f>
        <v>0</v>
      </c>
      <c r="N242" s="90">
        <f t="shared" si="234"/>
        <v>0</v>
      </c>
      <c r="O242" s="90">
        <f t="shared" si="235"/>
        <v>0</v>
      </c>
      <c r="P242" s="90">
        <f>+IF(K242&lt;=$M$5,0,IF(J242&gt;$M$4,O242,N242*F242))</f>
        <v>0</v>
      </c>
      <c r="Q242" s="90">
        <f t="shared" si="236"/>
        <v>0</v>
      </c>
      <c r="R242" s="90">
        <f t="shared" si="237"/>
        <v>0</v>
      </c>
      <c r="S242" s="90">
        <f t="shared" si="238"/>
        <v>0</v>
      </c>
      <c r="T242" s="59" t="s">
        <v>792</v>
      </c>
    </row>
    <row r="243" spans="1:25" hidden="1" outlineLevel="1">
      <c r="A243" s="59" t="s">
        <v>283</v>
      </c>
      <c r="C243" s="59">
        <v>4025</v>
      </c>
      <c r="D243" s="59" t="s">
        <v>329</v>
      </c>
      <c r="E243" s="59">
        <v>2009</v>
      </c>
      <c r="F243" s="59">
        <v>6</v>
      </c>
      <c r="G243" s="30">
        <v>0</v>
      </c>
      <c r="H243" s="59" t="s">
        <v>78</v>
      </c>
      <c r="I243" s="59">
        <v>3</v>
      </c>
      <c r="J243" s="59">
        <f t="shared" si="232"/>
        <v>2012</v>
      </c>
      <c r="K243" s="72">
        <f t="shared" si="233"/>
        <v>2012.5</v>
      </c>
      <c r="L243" s="27">
        <v>4615.03</v>
      </c>
      <c r="M243" s="27">
        <f>L243-L243*G243</f>
        <v>4615.03</v>
      </c>
      <c r="N243" s="27">
        <f t="shared" si="234"/>
        <v>128.19527777777776</v>
      </c>
      <c r="O243" s="27">
        <f t="shared" si="235"/>
        <v>1538.3433333333332</v>
      </c>
      <c r="P243" s="27">
        <f>+IF(K243&lt;=$M$5,0,IF(J243&gt;$M$4,O243,N243*F243))</f>
        <v>0</v>
      </c>
      <c r="Q243" s="27">
        <f t="shared" si="236"/>
        <v>4615.03</v>
      </c>
      <c r="R243" s="27">
        <f t="shared" si="237"/>
        <v>4615.03</v>
      </c>
      <c r="S243" s="27">
        <f t="shared" si="238"/>
        <v>0</v>
      </c>
    </row>
    <row r="244" spans="1:25" hidden="1" outlineLevel="1">
      <c r="A244" s="59" t="s">
        <v>283</v>
      </c>
      <c r="C244" s="59">
        <v>4030</v>
      </c>
      <c r="D244" s="59" t="s">
        <v>330</v>
      </c>
      <c r="E244" s="59">
        <v>2009</v>
      </c>
      <c r="F244" s="59">
        <v>6</v>
      </c>
      <c r="G244" s="30">
        <v>0</v>
      </c>
      <c r="H244" s="59" t="s">
        <v>78</v>
      </c>
      <c r="I244" s="59">
        <v>3</v>
      </c>
      <c r="J244" s="59">
        <f t="shared" si="232"/>
        <v>2012</v>
      </c>
      <c r="K244" s="72">
        <f t="shared" si="233"/>
        <v>2012.5</v>
      </c>
      <c r="L244" s="27">
        <v>2556.91</v>
      </c>
      <c r="M244" s="27">
        <f>L244-L244*G244</f>
        <v>2556.91</v>
      </c>
      <c r="N244" s="27">
        <f t="shared" si="234"/>
        <v>71.025277777777774</v>
      </c>
      <c r="O244" s="27">
        <f t="shared" si="235"/>
        <v>852.30333333333328</v>
      </c>
      <c r="P244" s="27">
        <f>+IF(K244&lt;=$M$5,0,IF(J244&gt;$M$4,O244,N244*F244))</f>
        <v>0</v>
      </c>
      <c r="Q244" s="27">
        <f t="shared" si="236"/>
        <v>2556.91</v>
      </c>
      <c r="R244" s="27">
        <f t="shared" si="237"/>
        <v>2556.91</v>
      </c>
      <c r="S244" s="27">
        <f t="shared" si="238"/>
        <v>0</v>
      </c>
    </row>
    <row r="245" spans="1:25" hidden="1" outlineLevel="1">
      <c r="B245" s="28">
        <v>95840</v>
      </c>
      <c r="C245" s="59">
        <v>4030</v>
      </c>
      <c r="D245" s="59" t="s">
        <v>467</v>
      </c>
      <c r="E245" s="59">
        <v>2012</v>
      </c>
      <c r="F245" s="59">
        <v>7</v>
      </c>
      <c r="G245" s="30">
        <v>0</v>
      </c>
      <c r="H245" s="59" t="s">
        <v>78</v>
      </c>
      <c r="I245" s="59">
        <v>3</v>
      </c>
      <c r="J245" s="59">
        <f t="shared" si="232"/>
        <v>2015</v>
      </c>
      <c r="K245" s="72">
        <f t="shared" si="233"/>
        <v>2015.5833333333333</v>
      </c>
      <c r="L245" s="27">
        <v>45311</v>
      </c>
      <c r="M245" s="27">
        <f>L245-L245*G245</f>
        <v>45311</v>
      </c>
      <c r="N245" s="27">
        <f t="shared" si="234"/>
        <v>1258.6388888888889</v>
      </c>
      <c r="O245" s="27">
        <f t="shared" si="235"/>
        <v>15103.666666666668</v>
      </c>
      <c r="P245" s="27">
        <f>+IF(K245&lt;=$M$5,0,IF(J245&gt;$M$4,O245,N245*F245))</f>
        <v>0</v>
      </c>
      <c r="Q245" s="27">
        <f t="shared" si="236"/>
        <v>45311</v>
      </c>
      <c r="R245" s="27">
        <f t="shared" si="237"/>
        <v>45311</v>
      </c>
      <c r="S245" s="27">
        <f t="shared" si="238"/>
        <v>0</v>
      </c>
    </row>
    <row r="246" spans="1:25" hidden="1" outlineLevel="1">
      <c r="A246" s="59" t="s">
        <v>288</v>
      </c>
      <c r="C246" s="59">
        <v>5001</v>
      </c>
      <c r="D246" s="59" t="s">
        <v>303</v>
      </c>
      <c r="E246" s="59">
        <v>1996</v>
      </c>
      <c r="F246" s="59">
        <v>1</v>
      </c>
      <c r="G246" s="30">
        <v>0</v>
      </c>
      <c r="H246" s="59" t="s">
        <v>78</v>
      </c>
      <c r="I246" s="59">
        <v>5</v>
      </c>
      <c r="J246" s="59">
        <f t="shared" si="232"/>
        <v>2001</v>
      </c>
      <c r="K246" s="26">
        <f t="shared" si="233"/>
        <v>2001.0833333333333</v>
      </c>
      <c r="L246" s="27">
        <f>+'Orig Trucks 2183'!P14</f>
        <v>20909.36</v>
      </c>
      <c r="M246" s="27">
        <f>L246-(L246*G246)</f>
        <v>20909.36</v>
      </c>
      <c r="N246" s="27">
        <f t="shared" si="234"/>
        <v>348.48933333333338</v>
      </c>
      <c r="O246" s="27">
        <f t="shared" si="235"/>
        <v>4181.8720000000003</v>
      </c>
      <c r="P246" s="27">
        <f>+IF(K246&lt;=$M$5,0,IF(J246=$M$4,N246*F246,O246))</f>
        <v>0</v>
      </c>
      <c r="Q246" s="27">
        <f t="shared" si="236"/>
        <v>20909.36</v>
      </c>
      <c r="R246" s="27">
        <f t="shared" si="237"/>
        <v>20909.36</v>
      </c>
      <c r="S246" s="27">
        <f t="shared" si="238"/>
        <v>0</v>
      </c>
      <c r="V246" s="58">
        <v>43409</v>
      </c>
      <c r="W246" s="57">
        <v>0</v>
      </c>
      <c r="X246" s="59" t="s">
        <v>811</v>
      </c>
      <c r="Y246" s="57">
        <v>0</v>
      </c>
    </row>
    <row r="247" spans="1:25" hidden="1" outlineLevel="1">
      <c r="A247" s="71"/>
      <c r="C247" s="81">
        <v>5001</v>
      </c>
      <c r="D247" s="71" t="s">
        <v>648</v>
      </c>
      <c r="E247" s="71">
        <v>2018</v>
      </c>
      <c r="F247" s="71">
        <v>5</v>
      </c>
      <c r="G247" s="82">
        <v>0</v>
      </c>
      <c r="H247" s="71" t="s">
        <v>78</v>
      </c>
      <c r="I247" s="71">
        <f>+IF(J246-$M$4&gt;=3,J246-$M$4,3)</f>
        <v>3</v>
      </c>
      <c r="J247" s="71">
        <f t="shared" si="232"/>
        <v>2021</v>
      </c>
      <c r="K247" s="83">
        <f t="shared" si="233"/>
        <v>2021.4166666666667</v>
      </c>
      <c r="L247" s="90"/>
      <c r="M247" s="90">
        <f>L247-(L247*G247)</f>
        <v>0</v>
      </c>
      <c r="N247" s="90">
        <f t="shared" si="234"/>
        <v>0</v>
      </c>
      <c r="O247" s="90">
        <f t="shared" si="235"/>
        <v>0</v>
      </c>
      <c r="P247" s="90">
        <f>+IF(K247&lt;=$M$5,0,IF(J247=$M$4,N247*F247,O247))</f>
        <v>0</v>
      </c>
      <c r="Q247" s="90">
        <f t="shared" si="236"/>
        <v>0</v>
      </c>
      <c r="R247" s="90">
        <f t="shared" si="237"/>
        <v>0</v>
      </c>
      <c r="S247" s="90">
        <f t="shared" si="238"/>
        <v>0</v>
      </c>
      <c r="T247" s="59" t="s">
        <v>147</v>
      </c>
    </row>
    <row r="248" spans="1:25" hidden="1" outlineLevel="1">
      <c r="A248" s="59" t="s">
        <v>290</v>
      </c>
      <c r="C248" s="59">
        <v>5036</v>
      </c>
      <c r="D248" s="59" t="s">
        <v>451</v>
      </c>
      <c r="E248" s="59">
        <v>1999</v>
      </c>
      <c r="F248" s="59">
        <v>10</v>
      </c>
      <c r="G248" s="30">
        <v>0</v>
      </c>
      <c r="H248" s="59" t="s">
        <v>78</v>
      </c>
      <c r="I248" s="59">
        <v>7</v>
      </c>
      <c r="J248" s="59">
        <f t="shared" si="232"/>
        <v>2006</v>
      </c>
      <c r="K248" s="72">
        <f t="shared" si="233"/>
        <v>2006.8333333333333</v>
      </c>
      <c r="L248" s="27">
        <f>'Orig Trucks 2183'!P122</f>
        <v>17344</v>
      </c>
      <c r="M248" s="27">
        <f>L248-L248*G248</f>
        <v>17344</v>
      </c>
      <c r="N248" s="27">
        <f t="shared" si="234"/>
        <v>206.47619047619048</v>
      </c>
      <c r="O248" s="27">
        <f t="shared" si="235"/>
        <v>2477.7142857142858</v>
      </c>
      <c r="P248" s="27">
        <f>+IF(K248&lt;=$M$5,0,IF(J248&gt;$M$4,O248,N248*F248))</f>
        <v>0</v>
      </c>
      <c r="Q248" s="27">
        <f t="shared" si="236"/>
        <v>17344</v>
      </c>
      <c r="R248" s="27">
        <f t="shared" si="237"/>
        <v>17344</v>
      </c>
      <c r="S248" s="27">
        <f t="shared" si="238"/>
        <v>0</v>
      </c>
      <c r="V248" s="58">
        <v>43059</v>
      </c>
      <c r="W248" s="57">
        <v>0</v>
      </c>
      <c r="X248" s="59" t="s">
        <v>809</v>
      </c>
      <c r="Y248" s="57">
        <v>607</v>
      </c>
    </row>
    <row r="249" spans="1:25" hidden="1" outlineLevel="1">
      <c r="A249" s="71"/>
      <c r="C249" s="81">
        <v>5036</v>
      </c>
      <c r="D249" s="71" t="s">
        <v>683</v>
      </c>
      <c r="E249" s="71">
        <v>2018</v>
      </c>
      <c r="F249" s="71">
        <v>5</v>
      </c>
      <c r="G249" s="82">
        <v>0</v>
      </c>
      <c r="H249" s="71" t="s">
        <v>78</v>
      </c>
      <c r="I249" s="71">
        <f>+IF(J248-$M$4&gt;=3,J248-$M$4,3)</f>
        <v>3</v>
      </c>
      <c r="J249" s="71">
        <f t="shared" si="232"/>
        <v>2021</v>
      </c>
      <c r="K249" s="89">
        <f t="shared" si="233"/>
        <v>2021.4166666666667</v>
      </c>
      <c r="L249" s="90">
        <f>'Orig Trucks 2183'!N122-'Trucks 2183'!L248</f>
        <v>4336</v>
      </c>
      <c r="M249" s="90">
        <f>L249-Y248</f>
        <v>3729</v>
      </c>
      <c r="N249" s="90">
        <f t="shared" si="234"/>
        <v>103.58333333333333</v>
      </c>
      <c r="O249" s="90">
        <f t="shared" si="235"/>
        <v>1243</v>
      </c>
      <c r="P249" s="90">
        <f>+IF(K249&lt;=$M$5,0,IF(J249&gt;$M$4,O249,N249*F249))</f>
        <v>0</v>
      </c>
      <c r="Q249" s="90">
        <f t="shared" si="236"/>
        <v>3729</v>
      </c>
      <c r="R249" s="90">
        <f t="shared" si="237"/>
        <v>3729</v>
      </c>
      <c r="S249" s="90">
        <f t="shared" si="238"/>
        <v>607</v>
      </c>
      <c r="T249" s="59" t="s">
        <v>791</v>
      </c>
    </row>
    <row r="250" spans="1:25" hidden="1" outlineLevel="1">
      <c r="A250" s="59" t="s">
        <v>312</v>
      </c>
      <c r="C250" s="59">
        <v>11088</v>
      </c>
      <c r="D250" s="59" t="s">
        <v>326</v>
      </c>
      <c r="E250" s="59">
        <v>2006</v>
      </c>
      <c r="F250" s="59">
        <v>10</v>
      </c>
      <c r="G250" s="30">
        <v>0</v>
      </c>
      <c r="H250" s="59" t="s">
        <v>78</v>
      </c>
      <c r="I250" s="59">
        <v>5</v>
      </c>
      <c r="J250" s="59">
        <f t="shared" ref="J250:J256" si="239">E250+I250</f>
        <v>2011</v>
      </c>
      <c r="K250" s="26">
        <f t="shared" ref="K250:K256" si="240">+J250+(F250/12)</f>
        <v>2011.8333333333333</v>
      </c>
      <c r="L250" s="27">
        <f>'Orig Trucks 2183'!P36</f>
        <v>102268.9474</v>
      </c>
      <c r="M250" s="27">
        <f>L250-L250*G250</f>
        <v>102268.9474</v>
      </c>
      <c r="N250" s="27">
        <f t="shared" ref="N250:N256" si="241">M250/I250/12</f>
        <v>1704.4824566666666</v>
      </c>
      <c r="O250" s="27">
        <f t="shared" ref="O250:O256" si="242">+N250*12</f>
        <v>20453.789479999999</v>
      </c>
      <c r="P250" s="27">
        <f t="shared" ref="P250:P252" si="243">+IF(K250&lt;=$M$5,0,IF(J250=$M$4,N250*F250,O250))</f>
        <v>0</v>
      </c>
      <c r="Q250" s="27">
        <f t="shared" ref="Q250:Q256" si="244">+IF(P250=0,M250,IF($M$3-E250&lt;1,0,(($M$3-E250)*O250)))</f>
        <v>102268.9474</v>
      </c>
      <c r="R250" s="27">
        <f t="shared" ref="R250:R256" si="245">+IF(P250=0,Q250,Q250+P250)</f>
        <v>102268.9474</v>
      </c>
      <c r="S250" s="27">
        <f t="shared" ref="S250:S256" si="246">+L250-R250</f>
        <v>0</v>
      </c>
      <c r="V250" s="58">
        <v>42461</v>
      </c>
      <c r="W250" s="57">
        <v>0</v>
      </c>
      <c r="X250" s="56" t="s">
        <v>809</v>
      </c>
      <c r="Y250" s="57">
        <v>0</v>
      </c>
    </row>
    <row r="251" spans="1:25" hidden="1" outlineLevel="1">
      <c r="A251" s="71"/>
      <c r="C251" s="81">
        <v>11088</v>
      </c>
      <c r="D251" s="71" t="s">
        <v>659</v>
      </c>
      <c r="E251" s="71">
        <v>2018</v>
      </c>
      <c r="F251" s="71">
        <v>5</v>
      </c>
      <c r="G251" s="82">
        <v>0</v>
      </c>
      <c r="H251" s="71" t="s">
        <v>78</v>
      </c>
      <c r="I251" s="71">
        <f>+IF(J250-$M$4&gt;=3,J250-$M$4,3)</f>
        <v>3</v>
      </c>
      <c r="J251" s="71">
        <f t="shared" si="239"/>
        <v>2021</v>
      </c>
      <c r="K251" s="83">
        <f t="shared" si="240"/>
        <v>2021.4166666666667</v>
      </c>
      <c r="L251" s="90">
        <f>'Orig Trucks 2183'!N36-'Trucks 2183'!L250</f>
        <v>50371.272599999997</v>
      </c>
      <c r="M251" s="90">
        <f>L251-(L251*G251)</f>
        <v>50371.272599999997</v>
      </c>
      <c r="N251" s="90">
        <f t="shared" si="241"/>
        <v>1399.2020166666664</v>
      </c>
      <c r="O251" s="90">
        <f t="shared" si="242"/>
        <v>16790.424199999998</v>
      </c>
      <c r="P251" s="90">
        <f t="shared" si="243"/>
        <v>0</v>
      </c>
      <c r="Q251" s="90">
        <f t="shared" si="244"/>
        <v>50371.272599999997</v>
      </c>
      <c r="R251" s="90">
        <f t="shared" si="245"/>
        <v>50371.272599999997</v>
      </c>
      <c r="S251" s="90">
        <f t="shared" si="246"/>
        <v>0</v>
      </c>
      <c r="T251" s="59" t="s">
        <v>147</v>
      </c>
    </row>
    <row r="252" spans="1:25" hidden="1" outlineLevel="1">
      <c r="B252" s="28">
        <v>128674</v>
      </c>
      <c r="C252" s="59">
        <v>2517</v>
      </c>
      <c r="D252" s="59" t="s">
        <v>584</v>
      </c>
      <c r="E252" s="59">
        <v>2015</v>
      </c>
      <c r="F252" s="59">
        <v>12</v>
      </c>
      <c r="G252" s="30">
        <v>0</v>
      </c>
      <c r="H252" s="59" t="s">
        <v>78</v>
      </c>
      <c r="I252" s="59">
        <v>10</v>
      </c>
      <c r="J252" s="59">
        <f t="shared" si="239"/>
        <v>2025</v>
      </c>
      <c r="K252" s="26">
        <f t="shared" si="240"/>
        <v>2026</v>
      </c>
      <c r="L252" s="27">
        <v>340829.73</v>
      </c>
      <c r="M252" s="27">
        <f>L252-L252*G252</f>
        <v>340829.73</v>
      </c>
      <c r="N252" s="27">
        <f t="shared" si="241"/>
        <v>2840.24775</v>
      </c>
      <c r="O252" s="27">
        <f t="shared" si="242"/>
        <v>34082.972999999998</v>
      </c>
      <c r="P252" s="27">
        <f t="shared" si="243"/>
        <v>34082.972999999998</v>
      </c>
      <c r="Q252" s="27">
        <f t="shared" si="244"/>
        <v>204497.83799999999</v>
      </c>
      <c r="R252" s="27">
        <f t="shared" si="245"/>
        <v>238580.81099999999</v>
      </c>
      <c r="S252" s="27">
        <f t="shared" si="246"/>
        <v>102248.91899999999</v>
      </c>
    </row>
    <row r="253" spans="1:25" hidden="1" outlineLevel="1">
      <c r="A253" s="59" t="s">
        <v>285</v>
      </c>
      <c r="B253" s="28">
        <v>74778</v>
      </c>
      <c r="C253" s="59">
        <v>1040</v>
      </c>
      <c r="D253" s="59" t="s">
        <v>148</v>
      </c>
      <c r="E253" s="59">
        <v>2004</v>
      </c>
      <c r="F253" s="59">
        <v>9</v>
      </c>
      <c r="G253" s="30">
        <v>0</v>
      </c>
      <c r="H253" s="59" t="s">
        <v>78</v>
      </c>
      <c r="I253" s="59">
        <v>7</v>
      </c>
      <c r="J253" s="59">
        <f t="shared" si="239"/>
        <v>2011</v>
      </c>
      <c r="K253" s="26">
        <f t="shared" si="240"/>
        <v>2011.75</v>
      </c>
      <c r="L253" s="27">
        <f>'Orig Trucks 2183'!P21</f>
        <v>90347.51999999999</v>
      </c>
      <c r="M253" s="27">
        <f>L253-L253*G253</f>
        <v>90347.51999999999</v>
      </c>
      <c r="N253" s="27">
        <f t="shared" si="241"/>
        <v>1075.5657142857142</v>
      </c>
      <c r="O253" s="27">
        <f t="shared" si="242"/>
        <v>12906.788571428569</v>
      </c>
      <c r="P253" s="27">
        <f>+IF(K253&lt;=$M$5,0,IF(J253=$M$4,N253*F253,O253))</f>
        <v>0</v>
      </c>
      <c r="Q253" s="27">
        <f t="shared" si="244"/>
        <v>90347.51999999999</v>
      </c>
      <c r="R253" s="27">
        <f t="shared" si="245"/>
        <v>90347.51999999999</v>
      </c>
      <c r="S253" s="27">
        <f t="shared" si="246"/>
        <v>0</v>
      </c>
      <c r="V253" s="58">
        <v>42614</v>
      </c>
      <c r="W253" s="57">
        <v>0</v>
      </c>
      <c r="X253" s="59" t="s">
        <v>813</v>
      </c>
      <c r="Y253" s="57">
        <v>0</v>
      </c>
    </row>
    <row r="254" spans="1:25" hidden="1" outlineLevel="1">
      <c r="A254" s="71"/>
      <c r="C254" s="81">
        <v>1040</v>
      </c>
      <c r="D254" s="71" t="s">
        <v>652</v>
      </c>
      <c r="E254" s="71">
        <v>2018</v>
      </c>
      <c r="F254" s="71">
        <v>5</v>
      </c>
      <c r="G254" s="82">
        <v>0</v>
      </c>
      <c r="H254" s="71" t="s">
        <v>78</v>
      </c>
      <c r="I254" s="71">
        <f>+IF(J253-$M$4&gt;=3,J253-$M$4,3)</f>
        <v>3</v>
      </c>
      <c r="J254" s="71">
        <f t="shared" si="239"/>
        <v>2021</v>
      </c>
      <c r="K254" s="83">
        <f t="shared" si="240"/>
        <v>2021.4166666666667</v>
      </c>
      <c r="L254" s="90"/>
      <c r="M254" s="90">
        <f>L254-(L254*G254)</f>
        <v>0</v>
      </c>
      <c r="N254" s="90">
        <f t="shared" si="241"/>
        <v>0</v>
      </c>
      <c r="O254" s="90">
        <f t="shared" si="242"/>
        <v>0</v>
      </c>
      <c r="P254" s="90">
        <f>+IF(K254&lt;=$M$5,0,IF(J254=$M$4,N254*F254,O254))</f>
        <v>0</v>
      </c>
      <c r="Q254" s="90">
        <f t="shared" si="244"/>
        <v>0</v>
      </c>
      <c r="R254" s="90">
        <f t="shared" si="245"/>
        <v>0</v>
      </c>
      <c r="S254" s="90">
        <f t="shared" si="246"/>
        <v>0</v>
      </c>
      <c r="T254" s="59" t="s">
        <v>147</v>
      </c>
    </row>
    <row r="255" spans="1:25" hidden="1" outlineLevel="1">
      <c r="A255" s="59" t="s">
        <v>285</v>
      </c>
      <c r="C255" s="59">
        <v>1040</v>
      </c>
      <c r="D255" s="59" t="s">
        <v>84</v>
      </c>
      <c r="E255" s="59">
        <v>2004</v>
      </c>
      <c r="F255" s="59">
        <v>9</v>
      </c>
      <c r="G255" s="30">
        <v>0</v>
      </c>
      <c r="H255" s="59" t="s">
        <v>78</v>
      </c>
      <c r="I255" s="59">
        <v>7</v>
      </c>
      <c r="J255" s="59">
        <f t="shared" si="239"/>
        <v>2011</v>
      </c>
      <c r="K255" s="26">
        <f t="shared" si="240"/>
        <v>2011.75</v>
      </c>
      <c r="L255" s="27">
        <f>'Orig Trucks 2183'!P22</f>
        <v>2184.7040000000002</v>
      </c>
      <c r="M255" s="27">
        <f>L255-L255*G255</f>
        <v>2184.7040000000002</v>
      </c>
      <c r="N255" s="27">
        <f t="shared" si="241"/>
        <v>26.008380952380957</v>
      </c>
      <c r="O255" s="27">
        <f t="shared" si="242"/>
        <v>312.10057142857147</v>
      </c>
      <c r="P255" s="27">
        <f>+IF(K255&lt;=$M$5,0,IF(J255=$M$4,N255*F255,O255))</f>
        <v>0</v>
      </c>
      <c r="Q255" s="27">
        <f t="shared" si="244"/>
        <v>2184.7040000000002</v>
      </c>
      <c r="R255" s="27">
        <f t="shared" si="245"/>
        <v>2184.7040000000002</v>
      </c>
      <c r="S255" s="27">
        <f t="shared" si="246"/>
        <v>0</v>
      </c>
    </row>
    <row r="256" spans="1:25" hidden="1" outlineLevel="1">
      <c r="A256" s="71"/>
      <c r="C256" s="81">
        <v>1040</v>
      </c>
      <c r="D256" s="71" t="s">
        <v>652</v>
      </c>
      <c r="E256" s="71">
        <v>2018</v>
      </c>
      <c r="F256" s="71">
        <v>5</v>
      </c>
      <c r="G256" s="82">
        <v>0</v>
      </c>
      <c r="H256" s="71" t="s">
        <v>78</v>
      </c>
      <c r="I256" s="71">
        <f>+IF(J255-$M$4&gt;=3,J255-$M$4,3)</f>
        <v>3</v>
      </c>
      <c r="J256" s="71">
        <f t="shared" si="239"/>
        <v>2021</v>
      </c>
      <c r="K256" s="83">
        <f t="shared" si="240"/>
        <v>2021.4166666666667</v>
      </c>
      <c r="L256" s="90">
        <f>'Orig Trucks 2183'!N22-'Trucks 2183'!L255</f>
        <v>546.17599999999993</v>
      </c>
      <c r="M256" s="90">
        <f>L256-(L256*G256)</f>
        <v>546.17599999999993</v>
      </c>
      <c r="N256" s="90">
        <f t="shared" si="241"/>
        <v>15.171555555555555</v>
      </c>
      <c r="O256" s="90">
        <f t="shared" si="242"/>
        <v>182.05866666666665</v>
      </c>
      <c r="P256" s="90">
        <f>+IF(K256&lt;=$M$5,0,IF(J256=$M$4,N256*F256,O256))</f>
        <v>0</v>
      </c>
      <c r="Q256" s="90">
        <f t="shared" si="244"/>
        <v>546.17599999999993</v>
      </c>
      <c r="R256" s="90">
        <f t="shared" si="245"/>
        <v>546.17599999999993</v>
      </c>
      <c r="S256" s="90">
        <f t="shared" si="246"/>
        <v>0</v>
      </c>
      <c r="T256" s="59" t="s">
        <v>147</v>
      </c>
    </row>
    <row r="257" spans="1:25" hidden="1" outlineLevel="1"/>
    <row r="258" spans="1:25" hidden="1" outlineLevel="1"/>
    <row r="259" spans="1:25" hidden="1" outlineLevel="1"/>
    <row r="260" spans="1:25" hidden="1" outlineLevel="1"/>
    <row r="261" spans="1:25" hidden="1" outlineLevel="1"/>
    <row r="262" spans="1:25" hidden="1" outlineLevel="1"/>
    <row r="263" spans="1:25" hidden="1" outlineLevel="1"/>
    <row r="264" spans="1:25" hidden="1" outlineLevel="1"/>
    <row r="265" spans="1:25" hidden="1" outlineLevel="1"/>
    <row r="266" spans="1:25" hidden="1" outlineLevel="1">
      <c r="D266" s="91" t="s">
        <v>839</v>
      </c>
    </row>
    <row r="267" spans="1:25" hidden="1" outlineLevel="1">
      <c r="A267" s="59">
        <v>114281</v>
      </c>
      <c r="B267" s="28" t="s">
        <v>286</v>
      </c>
      <c r="C267" s="59">
        <v>2022</v>
      </c>
      <c r="D267" s="59" t="s">
        <v>541</v>
      </c>
      <c r="E267" s="59">
        <v>2004</v>
      </c>
      <c r="F267" s="59">
        <v>12</v>
      </c>
      <c r="G267" s="30">
        <v>0</v>
      </c>
      <c r="H267" s="59" t="s">
        <v>78</v>
      </c>
      <c r="I267" s="59">
        <v>7</v>
      </c>
      <c r="J267" s="59">
        <f>E267+I267</f>
        <v>2011</v>
      </c>
      <c r="K267" s="72">
        <f>+J267+(F267/12)</f>
        <v>2012</v>
      </c>
      <c r="L267" s="27">
        <v>0</v>
      </c>
      <c r="M267" s="27">
        <f>L267-L267*G267</f>
        <v>0</v>
      </c>
      <c r="N267" s="27">
        <f>M267/I267/12</f>
        <v>0</v>
      </c>
      <c r="O267" s="27">
        <f>+N267*12</f>
        <v>0</v>
      </c>
      <c r="P267" s="27">
        <f>+IF(K267&lt;=$M$5,0,IF(J267&gt;$M$4,O267,N267*F267))</f>
        <v>0</v>
      </c>
      <c r="Q267" s="27">
        <f>+IF(P267=0,M267,IF($M$3-E267&lt;1,0,(($M$3-E267)*O267)))</f>
        <v>0</v>
      </c>
      <c r="R267" s="27">
        <f>+IF(P267=0,Q267,Q267+P267)</f>
        <v>0</v>
      </c>
      <c r="S267" s="27">
        <f>+L267-R267</f>
        <v>0</v>
      </c>
      <c r="V267" s="58">
        <v>43480</v>
      </c>
      <c r="W267" s="57">
        <v>0</v>
      </c>
      <c r="X267" s="56" t="s">
        <v>812</v>
      </c>
      <c r="Y267" s="57">
        <v>0</v>
      </c>
    </row>
    <row r="268" spans="1:25" hidden="1" outlineLevel="1">
      <c r="A268" s="71"/>
      <c r="C268" s="81">
        <v>2022</v>
      </c>
      <c r="D268" s="71" t="s">
        <v>702</v>
      </c>
      <c r="E268" s="71">
        <v>2018</v>
      </c>
      <c r="F268" s="71">
        <v>5</v>
      </c>
      <c r="G268" s="82">
        <v>0</v>
      </c>
      <c r="H268" s="71" t="s">
        <v>78</v>
      </c>
      <c r="I268" s="71">
        <f>+IF(J267-$M$4&gt;=3,J267-$M$4,3)</f>
        <v>3</v>
      </c>
      <c r="J268" s="71">
        <f>E268+I268</f>
        <v>2021</v>
      </c>
      <c r="K268" s="89">
        <f>+J268+(F268/12)</f>
        <v>2021.4166666666667</v>
      </c>
      <c r="L268" s="90">
        <v>0</v>
      </c>
      <c r="M268" s="90">
        <f>L268-(L268*G268)</f>
        <v>0</v>
      </c>
      <c r="N268" s="90">
        <f>M268/I268/12</f>
        <v>0</v>
      </c>
      <c r="O268" s="90">
        <f>+N268*12</f>
        <v>0</v>
      </c>
      <c r="P268" s="90">
        <f>+IF(K268&lt;=$M$5,0,IF(J268&gt;$M$4,O268,N268*F268))</f>
        <v>0</v>
      </c>
      <c r="Q268" s="90">
        <f>+IF(P268=0,M268,IF($M$3-E268&lt;1,0,(($M$3-E268)*O268)))</f>
        <v>0</v>
      </c>
      <c r="R268" s="90">
        <f>+IF(P268=0,Q268,Q268+P268)</f>
        <v>0</v>
      </c>
      <c r="S268" s="90">
        <f>+L268-R268</f>
        <v>0</v>
      </c>
      <c r="T268" s="59" t="s">
        <v>807</v>
      </c>
    </row>
    <row r="269" spans="1:25" hidden="1" outlineLevel="1">
      <c r="A269" s="59">
        <v>114282</v>
      </c>
      <c r="B269" s="28" t="s">
        <v>286</v>
      </c>
      <c r="C269" s="59">
        <v>2022</v>
      </c>
      <c r="D269" s="59" t="s">
        <v>546</v>
      </c>
      <c r="E269" s="59">
        <v>2009</v>
      </c>
      <c r="F269" s="59">
        <v>6</v>
      </c>
      <c r="G269" s="30">
        <v>0</v>
      </c>
      <c r="H269" s="59" t="s">
        <v>78</v>
      </c>
      <c r="I269" s="59">
        <v>3</v>
      </c>
      <c r="J269" s="59">
        <f>E269+I269</f>
        <v>2012</v>
      </c>
      <c r="K269" s="72">
        <f>+J269+(F269/12)</f>
        <v>2012.5</v>
      </c>
      <c r="L269" s="27">
        <v>9254.61</v>
      </c>
      <c r="M269" s="27">
        <f>L269-L269*G269</f>
        <v>9254.61</v>
      </c>
      <c r="N269" s="27">
        <f>M269/I269/12</f>
        <v>257.07250000000005</v>
      </c>
      <c r="O269" s="27">
        <f>+N269*12</f>
        <v>3084.8700000000008</v>
      </c>
      <c r="P269" s="27">
        <f>+IF(K269&lt;=$M$5,0,IF(J269&gt;$M$4,O269,N269*F269))</f>
        <v>0</v>
      </c>
      <c r="Q269" s="27">
        <f>+IF(P269=0,M269,IF($M$3-E269&lt;1,0,(($M$3-E269)*O269)))</f>
        <v>9254.61</v>
      </c>
      <c r="R269" s="27">
        <f>+IF(P269=0,Q269,Q269+P269)</f>
        <v>9254.61</v>
      </c>
      <c r="S269" s="27">
        <f>+L269-R269</f>
        <v>0</v>
      </c>
    </row>
    <row r="270" spans="1:25" hidden="1" outlineLevel="1">
      <c r="B270" s="28">
        <v>207558</v>
      </c>
      <c r="D270" s="33" t="s">
        <v>752</v>
      </c>
      <c r="E270" s="59">
        <v>2005</v>
      </c>
      <c r="F270" s="59">
        <v>12</v>
      </c>
      <c r="G270" s="30">
        <v>0</v>
      </c>
      <c r="H270" s="33" t="s">
        <v>78</v>
      </c>
      <c r="I270" s="33">
        <v>10</v>
      </c>
      <c r="J270" s="59">
        <f t="shared" ref="J270:J278" si="247">E270+I270</f>
        <v>2015</v>
      </c>
      <c r="K270" s="26">
        <f t="shared" ref="K270:K278" si="248">+J270+(F270/12)</f>
        <v>2016</v>
      </c>
      <c r="L270" s="27">
        <v>67497</v>
      </c>
      <c r="M270" s="27">
        <f>L270-L270*G270</f>
        <v>67497</v>
      </c>
      <c r="N270" s="27">
        <f t="shared" ref="N270:N278" si="249">M270/I270/12</f>
        <v>562.47500000000002</v>
      </c>
      <c r="O270" s="27">
        <f t="shared" ref="O270:O278" si="250">+N270*12</f>
        <v>6749.7000000000007</v>
      </c>
      <c r="P270" s="27">
        <f>+IF(K270&lt;=$M$5,0,IF(J270&gt;$M$4,O270,N270*F270))</f>
        <v>0</v>
      </c>
      <c r="Q270" s="27">
        <f t="shared" ref="Q270:Q278" si="251">+IF(P270=0,M270,IF($M$3-E270&lt;1,0,(($M$3-E270)*O270)))</f>
        <v>67497</v>
      </c>
      <c r="R270" s="27">
        <f t="shared" ref="R270:R278" si="252">+IF(P270=0,Q270,Q270+P270)</f>
        <v>67497</v>
      </c>
      <c r="S270" s="27">
        <f t="shared" ref="S270:S278" si="253">+L270-R270</f>
        <v>0</v>
      </c>
    </row>
    <row r="271" spans="1:25" hidden="1" outlineLevel="1">
      <c r="A271" s="59" t="s">
        <v>155</v>
      </c>
      <c r="B271" s="28">
        <v>61074</v>
      </c>
      <c r="C271" s="59">
        <v>3561</v>
      </c>
      <c r="D271" s="59" t="s">
        <v>373</v>
      </c>
      <c r="E271" s="59">
        <v>2001</v>
      </c>
      <c r="F271" s="59">
        <v>4</v>
      </c>
      <c r="G271" s="30">
        <v>0</v>
      </c>
      <c r="H271" s="59" t="s">
        <v>78</v>
      </c>
      <c r="I271" s="59">
        <v>7</v>
      </c>
      <c r="J271" s="59">
        <f t="shared" si="247"/>
        <v>2008</v>
      </c>
      <c r="K271" s="26">
        <f t="shared" si="248"/>
        <v>2008.3333333333333</v>
      </c>
      <c r="L271" s="27">
        <f>'Orig Trucks 2183'!P19</f>
        <v>124885.656</v>
      </c>
      <c r="M271" s="27">
        <f>L271-L271*G271</f>
        <v>124885.656</v>
      </c>
      <c r="N271" s="27">
        <f t="shared" si="249"/>
        <v>1486.7340000000002</v>
      </c>
      <c r="O271" s="27">
        <f t="shared" si="250"/>
        <v>17840.808000000001</v>
      </c>
      <c r="P271" s="27">
        <f>+IF(K271&lt;=$M$5,0,IF(J271=$M$4,N271*F271,O271))</f>
        <v>0</v>
      </c>
      <c r="Q271" s="27">
        <f t="shared" si="251"/>
        <v>124885.656</v>
      </c>
      <c r="R271" s="27">
        <f t="shared" si="252"/>
        <v>124885.656</v>
      </c>
      <c r="S271" s="27">
        <f t="shared" si="253"/>
        <v>0</v>
      </c>
      <c r="V271" s="58">
        <v>43465</v>
      </c>
      <c r="W271" s="57">
        <v>0</v>
      </c>
      <c r="X271" s="59" t="s">
        <v>809</v>
      </c>
      <c r="Y271" s="57">
        <v>1215.9000000000001</v>
      </c>
    </row>
    <row r="272" spans="1:25" hidden="1" outlineLevel="1">
      <c r="A272" s="71"/>
      <c r="C272" s="81">
        <v>3561</v>
      </c>
      <c r="D272" s="71" t="s">
        <v>651</v>
      </c>
      <c r="E272" s="71">
        <v>2018</v>
      </c>
      <c r="F272" s="71">
        <v>5</v>
      </c>
      <c r="G272" s="82">
        <v>0</v>
      </c>
      <c r="H272" s="71" t="s">
        <v>78</v>
      </c>
      <c r="I272" s="71">
        <f>+IF(J271-$M$4&gt;=3,J271-$M$4,3)</f>
        <v>3</v>
      </c>
      <c r="J272" s="71">
        <f t="shared" si="247"/>
        <v>2021</v>
      </c>
      <c r="K272" s="83">
        <f t="shared" si="248"/>
        <v>2021.4166666666667</v>
      </c>
      <c r="L272" s="90">
        <f>'Orig Trucks 2183'!N19-'Trucks 2183'!L271</f>
        <v>31221.414000000004</v>
      </c>
      <c r="M272" s="90">
        <f>L272-Y271</f>
        <v>30005.514000000003</v>
      </c>
      <c r="N272" s="90">
        <f t="shared" si="249"/>
        <v>833.48650000000009</v>
      </c>
      <c r="O272" s="90">
        <f t="shared" si="250"/>
        <v>10001.838000000002</v>
      </c>
      <c r="P272" s="90">
        <f>+IF(K272&lt;=$M$5,0,IF(J272=$M$4,N272*F272,O272))</f>
        <v>0</v>
      </c>
      <c r="Q272" s="90">
        <f t="shared" si="251"/>
        <v>30005.514000000003</v>
      </c>
      <c r="R272" s="90">
        <f t="shared" si="252"/>
        <v>30005.514000000003</v>
      </c>
      <c r="S272" s="90">
        <f t="shared" si="253"/>
        <v>1215.9000000000015</v>
      </c>
      <c r="T272" s="59" t="s">
        <v>147</v>
      </c>
    </row>
    <row r="273" spans="1:25" hidden="1" outlineLevel="1">
      <c r="A273" s="59" t="s">
        <v>284</v>
      </c>
      <c r="C273" s="59">
        <v>3572</v>
      </c>
      <c r="D273" s="59" t="s">
        <v>380</v>
      </c>
      <c r="E273" s="59">
        <v>2003</v>
      </c>
      <c r="F273" s="59">
        <v>1</v>
      </c>
      <c r="G273" s="30">
        <v>0</v>
      </c>
      <c r="H273" s="59" t="s">
        <v>78</v>
      </c>
      <c r="I273" s="59">
        <v>7</v>
      </c>
      <c r="J273" s="59">
        <f t="shared" si="247"/>
        <v>2010</v>
      </c>
      <c r="K273" s="72">
        <f t="shared" si="248"/>
        <v>2010.0833333333333</v>
      </c>
      <c r="L273" s="27">
        <f>'Orig Trucks 2183'!P157</f>
        <v>128499.40800000001</v>
      </c>
      <c r="M273" s="27">
        <f>L273-L273*G273</f>
        <v>128499.40800000001</v>
      </c>
      <c r="N273" s="27">
        <f t="shared" si="249"/>
        <v>1529.7548571428572</v>
      </c>
      <c r="O273" s="27">
        <f t="shared" si="250"/>
        <v>18357.058285714287</v>
      </c>
      <c r="P273" s="27">
        <f>+IF(K273&lt;=$M$5,0,IF(J273&gt;$M$4,O273,N273*F273))</f>
        <v>0</v>
      </c>
      <c r="Q273" s="27">
        <f t="shared" si="251"/>
        <v>128499.40800000001</v>
      </c>
      <c r="R273" s="27">
        <f t="shared" si="252"/>
        <v>128499.40800000001</v>
      </c>
      <c r="S273" s="27">
        <f t="shared" si="253"/>
        <v>0</v>
      </c>
      <c r="V273" s="58">
        <v>43465</v>
      </c>
      <c r="W273" s="57">
        <v>0</v>
      </c>
      <c r="X273" s="59" t="s">
        <v>809</v>
      </c>
      <c r="Y273" s="57">
        <v>1215.9000000000001</v>
      </c>
    </row>
    <row r="274" spans="1:25" hidden="1" outlineLevel="1">
      <c r="A274" s="71"/>
      <c r="C274" s="81">
        <v>3572</v>
      </c>
      <c r="D274" s="71" t="s">
        <v>698</v>
      </c>
      <c r="E274" s="71">
        <v>2018</v>
      </c>
      <c r="F274" s="71">
        <v>5</v>
      </c>
      <c r="G274" s="82">
        <v>0</v>
      </c>
      <c r="H274" s="71" t="s">
        <v>78</v>
      </c>
      <c r="I274" s="71">
        <f>+IF(J273-$M$4&gt;=3,J273-$M$4,3)</f>
        <v>3</v>
      </c>
      <c r="J274" s="71">
        <f t="shared" si="247"/>
        <v>2021</v>
      </c>
      <c r="K274" s="89">
        <f t="shared" si="248"/>
        <v>2021.4166666666667</v>
      </c>
      <c r="L274" s="90">
        <f>'Orig Trucks 2183'!N157-'Trucks 2183'!L273</f>
        <v>32124.851999999999</v>
      </c>
      <c r="M274" s="90">
        <f>L274-Y273</f>
        <v>30908.951999999997</v>
      </c>
      <c r="N274" s="90">
        <f t="shared" si="249"/>
        <v>858.58199999999988</v>
      </c>
      <c r="O274" s="90">
        <f t="shared" si="250"/>
        <v>10302.983999999999</v>
      </c>
      <c r="P274" s="90">
        <f>+IF(K274&lt;=$M$5,0,IF(J274&gt;$M$4,O274,N274*F274))</f>
        <v>0</v>
      </c>
      <c r="Q274" s="90">
        <f t="shared" si="251"/>
        <v>30908.951999999997</v>
      </c>
      <c r="R274" s="90">
        <f t="shared" si="252"/>
        <v>30908.951999999997</v>
      </c>
      <c r="S274" s="90">
        <f t="shared" si="253"/>
        <v>1215.9000000000015</v>
      </c>
      <c r="T274" s="59" t="s">
        <v>157</v>
      </c>
    </row>
    <row r="275" spans="1:25" hidden="1" outlineLevel="1">
      <c r="A275" s="59" t="s">
        <v>284</v>
      </c>
      <c r="C275" s="59">
        <v>3572</v>
      </c>
      <c r="D275" s="59" t="s">
        <v>340</v>
      </c>
      <c r="E275" s="59">
        <v>2009</v>
      </c>
      <c r="F275" s="59">
        <v>5</v>
      </c>
      <c r="G275" s="30">
        <v>0</v>
      </c>
      <c r="H275" s="59" t="s">
        <v>78</v>
      </c>
      <c r="I275" s="59">
        <v>3</v>
      </c>
      <c r="J275" s="59">
        <f t="shared" si="247"/>
        <v>2012</v>
      </c>
      <c r="K275" s="72">
        <f t="shared" si="248"/>
        <v>2012.4166666666667</v>
      </c>
      <c r="L275" s="27">
        <v>3162.58</v>
      </c>
      <c r="M275" s="27">
        <f>L275-L275*G275</f>
        <v>3162.58</v>
      </c>
      <c r="N275" s="27">
        <f t="shared" si="249"/>
        <v>87.849444444444444</v>
      </c>
      <c r="O275" s="27">
        <f t="shared" si="250"/>
        <v>1054.1933333333334</v>
      </c>
      <c r="P275" s="27">
        <f>+IF(K275&lt;=$M$5,0,IF(J275&gt;$M$4,O275,N275*F275))</f>
        <v>0</v>
      </c>
      <c r="Q275" s="27">
        <f t="shared" si="251"/>
        <v>3162.58</v>
      </c>
      <c r="R275" s="27">
        <f t="shared" si="252"/>
        <v>3162.58</v>
      </c>
      <c r="S275" s="27">
        <f t="shared" si="253"/>
        <v>0</v>
      </c>
    </row>
    <row r="276" spans="1:25" hidden="1" outlineLevel="1">
      <c r="A276" s="59" t="s">
        <v>284</v>
      </c>
      <c r="C276" s="59">
        <v>3575</v>
      </c>
      <c r="D276" s="59" t="s">
        <v>159</v>
      </c>
      <c r="E276" s="59">
        <v>2004</v>
      </c>
      <c r="F276" s="59">
        <v>12</v>
      </c>
      <c r="G276" s="30">
        <v>0</v>
      </c>
      <c r="H276" s="59" t="s">
        <v>78</v>
      </c>
      <c r="I276" s="59">
        <v>7</v>
      </c>
      <c r="J276" s="59">
        <f t="shared" si="247"/>
        <v>2011</v>
      </c>
      <c r="K276" s="26">
        <f t="shared" si="248"/>
        <v>2012</v>
      </c>
      <c r="L276" s="27">
        <f>'Orig Trucks 2183'!P25</f>
        <v>134040.52799999999</v>
      </c>
      <c r="M276" s="27">
        <f>L276-L276*G276</f>
        <v>134040.52799999999</v>
      </c>
      <c r="N276" s="27">
        <f t="shared" si="249"/>
        <v>1595.7205714285712</v>
      </c>
      <c r="O276" s="27">
        <f t="shared" si="250"/>
        <v>19148.646857142856</v>
      </c>
      <c r="P276" s="27">
        <f>+IF(K276&lt;=$M$5,0,IF(J276=$M$4,N276*F276,O276))</f>
        <v>0</v>
      </c>
      <c r="Q276" s="27">
        <f t="shared" si="251"/>
        <v>134040.52799999999</v>
      </c>
      <c r="R276" s="27">
        <f t="shared" si="252"/>
        <v>134040.52799999999</v>
      </c>
      <c r="S276" s="27">
        <f t="shared" si="253"/>
        <v>0</v>
      </c>
      <c r="V276" s="58">
        <v>43465</v>
      </c>
      <c r="W276" s="57">
        <v>0</v>
      </c>
      <c r="X276" s="59" t="s">
        <v>809</v>
      </c>
      <c r="Y276" s="57">
        <v>1215.9000000000001</v>
      </c>
    </row>
    <row r="277" spans="1:25" hidden="1" outlineLevel="1">
      <c r="A277" s="71"/>
      <c r="C277" s="81">
        <v>3575</v>
      </c>
      <c r="D277" s="71" t="s">
        <v>653</v>
      </c>
      <c r="E277" s="71">
        <v>2018</v>
      </c>
      <c r="F277" s="71">
        <v>5</v>
      </c>
      <c r="G277" s="82">
        <v>0</v>
      </c>
      <c r="H277" s="71" t="s">
        <v>78</v>
      </c>
      <c r="I277" s="71">
        <f>+IF(J276-$M$4&gt;=3,J276-$M$4,3)</f>
        <v>3</v>
      </c>
      <c r="J277" s="71">
        <f t="shared" si="247"/>
        <v>2021</v>
      </c>
      <c r="K277" s="83">
        <f t="shared" si="248"/>
        <v>2021.4166666666667</v>
      </c>
      <c r="L277" s="90">
        <f>'Orig Trucks 2183'!N25-'Trucks 2183'!L276</f>
        <v>33510.132000000012</v>
      </c>
      <c r="M277" s="90">
        <f>L277-Y276</f>
        <v>32294.232000000011</v>
      </c>
      <c r="N277" s="90">
        <f t="shared" si="249"/>
        <v>897.06200000000035</v>
      </c>
      <c r="O277" s="90">
        <f t="shared" si="250"/>
        <v>10764.744000000004</v>
      </c>
      <c r="P277" s="90">
        <f>+IF(K277&lt;=$M$5,0,IF(J277=$M$4,N277*F277,O277))</f>
        <v>0</v>
      </c>
      <c r="Q277" s="90">
        <f t="shared" si="251"/>
        <v>32294.232000000011</v>
      </c>
      <c r="R277" s="90">
        <f t="shared" si="252"/>
        <v>32294.232000000011</v>
      </c>
      <c r="S277" s="90">
        <f t="shared" si="253"/>
        <v>1215.9000000000015</v>
      </c>
      <c r="T277" s="59" t="s">
        <v>157</v>
      </c>
    </row>
    <row r="278" spans="1:25" hidden="1" outlineLevel="1">
      <c r="A278" s="59" t="s">
        <v>284</v>
      </c>
      <c r="C278" s="59">
        <v>3575</v>
      </c>
      <c r="D278" s="59" t="s">
        <v>320</v>
      </c>
      <c r="E278" s="59">
        <v>2009</v>
      </c>
      <c r="F278" s="59">
        <v>5</v>
      </c>
      <c r="G278" s="30">
        <v>0</v>
      </c>
      <c r="H278" s="59" t="s">
        <v>78</v>
      </c>
      <c r="I278" s="59">
        <v>3</v>
      </c>
      <c r="J278" s="59">
        <f t="shared" si="247"/>
        <v>2012</v>
      </c>
      <c r="K278" s="26">
        <f t="shared" si="248"/>
        <v>2012.4166666666667</v>
      </c>
      <c r="L278" s="27">
        <v>2786.78</v>
      </c>
      <c r="M278" s="27">
        <f>L278-L278*G278</f>
        <v>2786.78</v>
      </c>
      <c r="N278" s="27">
        <f t="shared" si="249"/>
        <v>77.410555555555561</v>
      </c>
      <c r="O278" s="27">
        <f t="shared" si="250"/>
        <v>928.92666666666673</v>
      </c>
      <c r="P278" s="27">
        <f>+IF(K278&lt;=$M$5,0,IF(J278=$M$4,N278*F278,O278))</f>
        <v>0</v>
      </c>
      <c r="Q278" s="27">
        <f t="shared" si="251"/>
        <v>2786.78</v>
      </c>
      <c r="R278" s="27">
        <f t="shared" si="252"/>
        <v>2786.78</v>
      </c>
      <c r="S278" s="27">
        <f t="shared" si="253"/>
        <v>0</v>
      </c>
    </row>
    <row r="279" spans="1:25" hidden="1" outlineLevel="1">
      <c r="A279" s="59" t="s">
        <v>284</v>
      </c>
      <c r="C279" s="59">
        <v>3593</v>
      </c>
      <c r="D279" s="59" t="s">
        <v>376</v>
      </c>
      <c r="E279" s="59">
        <v>2006</v>
      </c>
      <c r="F279" s="59">
        <v>5</v>
      </c>
      <c r="G279" s="30">
        <v>0</v>
      </c>
      <c r="H279" s="59" t="s">
        <v>78</v>
      </c>
      <c r="I279" s="59">
        <v>7</v>
      </c>
      <c r="J279" s="59">
        <f t="shared" ref="J279:J280" si="254">E279+I279</f>
        <v>2013</v>
      </c>
      <c r="K279" s="26">
        <f t="shared" ref="K279:K280" si="255">+J279+(F279/12)</f>
        <v>2013.4166666666667</v>
      </c>
      <c r="L279" s="27">
        <f>'Orig Trucks 2183'!P34</f>
        <v>146842.576</v>
      </c>
      <c r="M279" s="27">
        <f>L279-L279*G279</f>
        <v>146842.576</v>
      </c>
      <c r="N279" s="27">
        <f t="shared" ref="N279:N280" si="256">M279/I279/12</f>
        <v>1748.1259047619048</v>
      </c>
      <c r="O279" s="27">
        <f t="shared" ref="O279:O280" si="257">+N279*12</f>
        <v>20977.510857142857</v>
      </c>
      <c r="P279" s="27">
        <f>+IF(K279&lt;=$M$5,0,IF(J279=$M$4,N279*F279,O279))</f>
        <v>0</v>
      </c>
      <c r="Q279" s="27">
        <f t="shared" ref="Q279:Q280" si="258">+IF(P279=0,M279,IF($M$3-E279&lt;1,0,(($M$3-E279)*O279)))</f>
        <v>146842.576</v>
      </c>
      <c r="R279" s="27">
        <f t="shared" ref="R279:R280" si="259">+IF(P279=0,Q279,Q279+P279)</f>
        <v>146842.576</v>
      </c>
      <c r="S279" s="27">
        <f t="shared" ref="S279:S280" si="260">+L279-R279</f>
        <v>0</v>
      </c>
      <c r="V279" s="58">
        <v>43465</v>
      </c>
      <c r="W279" s="57">
        <v>0</v>
      </c>
      <c r="X279" s="59" t="s">
        <v>809</v>
      </c>
      <c r="Y279" s="57">
        <v>1215.9000000000001</v>
      </c>
    </row>
    <row r="280" spans="1:25" hidden="1" outlineLevel="1">
      <c r="A280" s="71"/>
      <c r="C280" s="81">
        <v>3593</v>
      </c>
      <c r="D280" s="71" t="s">
        <v>658</v>
      </c>
      <c r="E280" s="71">
        <v>2018</v>
      </c>
      <c r="F280" s="71">
        <v>5</v>
      </c>
      <c r="G280" s="82">
        <v>0</v>
      </c>
      <c r="H280" s="71" t="s">
        <v>78</v>
      </c>
      <c r="I280" s="71">
        <f>+IF(J279-$M$4&gt;=3,J279-$M$4,3)</f>
        <v>3</v>
      </c>
      <c r="J280" s="71">
        <f t="shared" si="254"/>
        <v>2021</v>
      </c>
      <c r="K280" s="83">
        <f t="shared" si="255"/>
        <v>2021.4166666666667</v>
      </c>
      <c r="L280" s="90">
        <f>'Orig Trucks 2183'!N34-'Trucks 2183'!L279</f>
        <v>36710.644</v>
      </c>
      <c r="M280" s="90">
        <f>L280-Y279</f>
        <v>35494.743999999999</v>
      </c>
      <c r="N280" s="90">
        <f t="shared" si="256"/>
        <v>985.96511111111113</v>
      </c>
      <c r="O280" s="90">
        <f t="shared" si="257"/>
        <v>11831.581333333334</v>
      </c>
      <c r="P280" s="90">
        <f>+IF(K280&lt;=$M$5,0,IF(J280=$M$4,N280*F280,O280))</f>
        <v>0</v>
      </c>
      <c r="Q280" s="90">
        <f t="shared" si="258"/>
        <v>35494.743999999999</v>
      </c>
      <c r="R280" s="90">
        <f t="shared" si="259"/>
        <v>35494.743999999999</v>
      </c>
      <c r="S280" s="90">
        <f t="shared" si="260"/>
        <v>1215.9000000000015</v>
      </c>
      <c r="T280" s="59" t="s">
        <v>147</v>
      </c>
    </row>
    <row r="281" spans="1:25" hidden="1" outlineLevel="1"/>
    <row r="282" spans="1:25" hidden="1" outlineLevel="1"/>
    <row r="283" spans="1:25" hidden="1" outlineLevel="1">
      <c r="D283" s="91" t="s">
        <v>912</v>
      </c>
    </row>
    <row r="284" spans="1:25" hidden="1" outlineLevel="1">
      <c r="A284" s="59" t="s">
        <v>527</v>
      </c>
      <c r="B284" s="28">
        <v>117320</v>
      </c>
      <c r="C284" s="59">
        <v>1071</v>
      </c>
      <c r="D284" s="59" t="s">
        <v>528</v>
      </c>
      <c r="E284" s="59">
        <v>2014</v>
      </c>
      <c r="F284" s="59">
        <v>11</v>
      </c>
      <c r="G284" s="30">
        <v>0</v>
      </c>
      <c r="H284" s="59" t="s">
        <v>78</v>
      </c>
      <c r="I284" s="59">
        <v>10</v>
      </c>
      <c r="J284" s="59">
        <f t="shared" ref="J284:J298" si="261">E284+I284</f>
        <v>2024</v>
      </c>
      <c r="K284" s="26">
        <f t="shared" ref="K284:K298" si="262">+J284+(F284/12)</f>
        <v>2024.9166666666667</v>
      </c>
      <c r="L284" s="35">
        <v>289667.86</v>
      </c>
      <c r="M284" s="35">
        <f>L284-L284*G284</f>
        <v>289667.86</v>
      </c>
      <c r="N284" s="35">
        <f t="shared" ref="N284:N298" si="263">M284/I284/12</f>
        <v>2413.8988333333332</v>
      </c>
      <c r="O284" s="35">
        <f t="shared" ref="O284:O298" si="264">+N284*12</f>
        <v>28966.786</v>
      </c>
      <c r="P284" s="35">
        <f t="shared" ref="P284:P294" si="265">+IF(K284&lt;=$M$5,0,IF(J284=$M$4,N284*F284,O284))</f>
        <v>28966.786</v>
      </c>
      <c r="Q284" s="35">
        <f t="shared" ref="Q284:Q298" si="266">+IF(P284=0,M284,IF($M$3-E284&lt;1,0,(($M$3-E284)*O284)))</f>
        <v>202767.50200000001</v>
      </c>
      <c r="R284" s="35">
        <f t="shared" ref="R284:R298" si="267">+IF(P284=0,Q284,Q284+P284)</f>
        <v>231734.288</v>
      </c>
      <c r="S284" s="35">
        <f t="shared" ref="S284:S298" si="268">+L284-R284</f>
        <v>57933.571999999986</v>
      </c>
    </row>
    <row r="285" spans="1:25" hidden="1" outlineLevel="1">
      <c r="A285" s="59" t="s">
        <v>288</v>
      </c>
      <c r="C285" s="59">
        <v>5012</v>
      </c>
      <c r="D285" s="59" t="s">
        <v>314</v>
      </c>
      <c r="E285" s="59">
        <v>2008</v>
      </c>
      <c r="F285" s="59">
        <v>11</v>
      </c>
      <c r="G285" s="30">
        <v>0</v>
      </c>
      <c r="H285" s="59" t="s">
        <v>78</v>
      </c>
      <c r="I285" s="59">
        <v>5</v>
      </c>
      <c r="J285" s="59">
        <f t="shared" si="261"/>
        <v>2013</v>
      </c>
      <c r="K285" s="26">
        <f t="shared" si="262"/>
        <v>2013.9166666666667</v>
      </c>
      <c r="L285" s="35">
        <f>'Orig Trucks 2183'!P45</f>
        <v>0</v>
      </c>
      <c r="M285" s="35">
        <f>L285-L285*G285</f>
        <v>0</v>
      </c>
      <c r="N285" s="35">
        <f t="shared" si="263"/>
        <v>0</v>
      </c>
      <c r="O285" s="35">
        <f t="shared" si="264"/>
        <v>0</v>
      </c>
      <c r="P285" s="35">
        <f t="shared" si="265"/>
        <v>0</v>
      </c>
      <c r="Q285" s="35">
        <f t="shared" si="266"/>
        <v>0</v>
      </c>
      <c r="R285" s="35">
        <f t="shared" si="267"/>
        <v>0</v>
      </c>
      <c r="S285" s="35">
        <f t="shared" si="268"/>
        <v>0</v>
      </c>
    </row>
    <row r="286" spans="1:25" hidden="1" outlineLevel="1">
      <c r="A286" s="71"/>
      <c r="C286" s="81">
        <v>5012</v>
      </c>
      <c r="D286" s="71" t="s">
        <v>666</v>
      </c>
      <c r="E286" s="71">
        <v>2019</v>
      </c>
      <c r="F286" s="71">
        <v>8</v>
      </c>
      <c r="G286" s="82">
        <v>0</v>
      </c>
      <c r="H286" s="71" t="s">
        <v>78</v>
      </c>
      <c r="I286" s="71">
        <f>+IF(J285-$M$4&gt;=3,J285-$M$4,3)</f>
        <v>3</v>
      </c>
      <c r="J286" s="71">
        <f t="shared" si="261"/>
        <v>2022</v>
      </c>
      <c r="K286" s="83">
        <f t="shared" si="262"/>
        <v>2022.6666666666667</v>
      </c>
      <c r="L286" s="84">
        <f>'Orig Trucks 2183'!N45-'Trucks 2183'!L285</f>
        <v>0</v>
      </c>
      <c r="M286" s="84">
        <f>L286-(L286*G286)</f>
        <v>0</v>
      </c>
      <c r="N286" s="84">
        <f t="shared" si="263"/>
        <v>0</v>
      </c>
      <c r="O286" s="84">
        <f t="shared" si="264"/>
        <v>0</v>
      </c>
      <c r="P286" s="84">
        <f t="shared" si="265"/>
        <v>0</v>
      </c>
      <c r="Q286" s="84">
        <f t="shared" si="266"/>
        <v>0</v>
      </c>
      <c r="R286" s="84">
        <f t="shared" si="267"/>
        <v>0</v>
      </c>
      <c r="S286" s="84">
        <f t="shared" si="268"/>
        <v>0</v>
      </c>
    </row>
    <row r="287" spans="1:25" hidden="1" outlineLevel="1">
      <c r="A287" s="59" t="s">
        <v>284</v>
      </c>
      <c r="C287" s="59">
        <v>3586</v>
      </c>
      <c r="D287" s="59" t="s">
        <v>160</v>
      </c>
      <c r="E287" s="59">
        <v>2005</v>
      </c>
      <c r="F287" s="59">
        <v>12</v>
      </c>
      <c r="G287" s="30">
        <v>0</v>
      </c>
      <c r="H287" s="59" t="s">
        <v>78</v>
      </c>
      <c r="I287" s="59">
        <v>7</v>
      </c>
      <c r="J287" s="59">
        <f t="shared" si="261"/>
        <v>2012</v>
      </c>
      <c r="K287" s="26">
        <f t="shared" si="262"/>
        <v>2013</v>
      </c>
      <c r="L287" s="35">
        <f>'Orig Trucks 2183'!P28</f>
        <v>139667.60800000001</v>
      </c>
      <c r="M287" s="35">
        <f>L287-L287*G287</f>
        <v>139667.60800000001</v>
      </c>
      <c r="N287" s="35">
        <f t="shared" si="263"/>
        <v>1662.7096190476193</v>
      </c>
      <c r="O287" s="35">
        <f t="shared" si="264"/>
        <v>19952.515428571431</v>
      </c>
      <c r="P287" s="35">
        <f t="shared" si="265"/>
        <v>0</v>
      </c>
      <c r="Q287" s="35">
        <f t="shared" si="266"/>
        <v>139667.60800000001</v>
      </c>
      <c r="R287" s="35">
        <f t="shared" si="267"/>
        <v>139667.60800000001</v>
      </c>
      <c r="S287" s="35">
        <f t="shared" si="268"/>
        <v>0</v>
      </c>
    </row>
    <row r="288" spans="1:25" hidden="1" outlineLevel="1">
      <c r="A288" s="71"/>
      <c r="C288" s="81">
        <v>3586</v>
      </c>
      <c r="D288" s="71" t="s">
        <v>655</v>
      </c>
      <c r="E288" s="71">
        <v>2019</v>
      </c>
      <c r="F288" s="71">
        <v>8</v>
      </c>
      <c r="G288" s="82">
        <v>0</v>
      </c>
      <c r="H288" s="71" t="s">
        <v>78</v>
      </c>
      <c r="I288" s="71">
        <f>+IF(J287-$M$4&gt;=3,J287-$M$4,3)</f>
        <v>3</v>
      </c>
      <c r="J288" s="71">
        <f t="shared" si="261"/>
        <v>2022</v>
      </c>
      <c r="K288" s="83">
        <f t="shared" si="262"/>
        <v>2022.6666666666667</v>
      </c>
      <c r="L288" s="84">
        <f>'Orig Trucks 2183'!N28-'Trucks 2183'!L287</f>
        <v>34916.902000000002</v>
      </c>
      <c r="M288" s="84">
        <f>L288-(L288*G288)</f>
        <v>34916.902000000002</v>
      </c>
      <c r="N288" s="84">
        <f t="shared" si="263"/>
        <v>969.9139444444445</v>
      </c>
      <c r="O288" s="84">
        <f t="shared" si="264"/>
        <v>11638.967333333334</v>
      </c>
      <c r="P288" s="84">
        <f t="shared" si="265"/>
        <v>7759.311555555556</v>
      </c>
      <c r="Q288" s="84">
        <f t="shared" si="266"/>
        <v>23277.934666666668</v>
      </c>
      <c r="R288" s="84">
        <f t="shared" si="267"/>
        <v>31037.246222222224</v>
      </c>
      <c r="S288" s="84">
        <f t="shared" si="268"/>
        <v>3879.655777777778</v>
      </c>
    </row>
    <row r="289" spans="1:19" hidden="1" outlineLevel="1">
      <c r="A289" s="59" t="s">
        <v>284</v>
      </c>
      <c r="C289" s="59">
        <v>3586</v>
      </c>
      <c r="D289" s="59" t="s">
        <v>296</v>
      </c>
      <c r="E289" s="59">
        <v>2006</v>
      </c>
      <c r="F289" s="59">
        <v>1</v>
      </c>
      <c r="G289" s="30">
        <v>0</v>
      </c>
      <c r="H289" s="59" t="s">
        <v>78</v>
      </c>
      <c r="I289" s="59">
        <v>7</v>
      </c>
      <c r="J289" s="59">
        <f t="shared" si="261"/>
        <v>2013</v>
      </c>
      <c r="K289" s="26">
        <f t="shared" si="262"/>
        <v>2013.0833333333333</v>
      </c>
      <c r="L289" s="35">
        <f>'Orig Trucks 2183'!P30</f>
        <v>6670.7520000000004</v>
      </c>
      <c r="M289" s="35">
        <f>L289-L289*G289</f>
        <v>6670.7520000000004</v>
      </c>
      <c r="N289" s="35">
        <f t="shared" si="263"/>
        <v>79.413714285714292</v>
      </c>
      <c r="O289" s="35">
        <f t="shared" si="264"/>
        <v>952.9645714285715</v>
      </c>
      <c r="P289" s="35">
        <f t="shared" si="265"/>
        <v>0</v>
      </c>
      <c r="Q289" s="35">
        <f t="shared" si="266"/>
        <v>6670.7520000000004</v>
      </c>
      <c r="R289" s="35">
        <f t="shared" si="267"/>
        <v>6670.7520000000004</v>
      </c>
      <c r="S289" s="35">
        <f t="shared" si="268"/>
        <v>0</v>
      </c>
    </row>
    <row r="290" spans="1:19" hidden="1" outlineLevel="1">
      <c r="A290" s="71"/>
      <c r="C290" s="81">
        <v>3586</v>
      </c>
      <c r="D290" s="71" t="s">
        <v>655</v>
      </c>
      <c r="E290" s="71">
        <v>2019</v>
      </c>
      <c r="F290" s="71">
        <v>8</v>
      </c>
      <c r="G290" s="82">
        <v>0</v>
      </c>
      <c r="H290" s="71" t="s">
        <v>78</v>
      </c>
      <c r="I290" s="71">
        <f>+IF(J289-$M$4&gt;=3,J289-$M$4,3)</f>
        <v>3</v>
      </c>
      <c r="J290" s="71">
        <f t="shared" si="261"/>
        <v>2022</v>
      </c>
      <c r="K290" s="83">
        <f t="shared" si="262"/>
        <v>2022.6666666666667</v>
      </c>
      <c r="L290" s="84">
        <f>'Orig Trucks 2183'!N30-'Trucks 2183'!L289</f>
        <v>1667.6880000000001</v>
      </c>
      <c r="M290" s="84">
        <f>L290-(L290*G290)</f>
        <v>1667.6880000000001</v>
      </c>
      <c r="N290" s="84">
        <f t="shared" si="263"/>
        <v>46.324666666666673</v>
      </c>
      <c r="O290" s="84">
        <f t="shared" si="264"/>
        <v>555.89600000000007</v>
      </c>
      <c r="P290" s="84">
        <f t="shared" si="265"/>
        <v>370.59733333333338</v>
      </c>
      <c r="Q290" s="84">
        <f t="shared" si="266"/>
        <v>1111.7920000000001</v>
      </c>
      <c r="R290" s="84">
        <f t="shared" si="267"/>
        <v>1482.3893333333335</v>
      </c>
      <c r="S290" s="84">
        <f t="shared" si="268"/>
        <v>185.29866666666658</v>
      </c>
    </row>
    <row r="291" spans="1:19" hidden="1" outlineLevel="1">
      <c r="A291" s="59" t="s">
        <v>284</v>
      </c>
      <c r="C291" s="59">
        <v>3590</v>
      </c>
      <c r="D291" s="59" t="s">
        <v>160</v>
      </c>
      <c r="E291" s="59">
        <v>2006</v>
      </c>
      <c r="F291" s="59">
        <v>5</v>
      </c>
      <c r="G291" s="30">
        <v>0</v>
      </c>
      <c r="H291" s="59" t="s">
        <v>78</v>
      </c>
      <c r="I291" s="59">
        <v>7</v>
      </c>
      <c r="J291" s="59">
        <f t="shared" si="261"/>
        <v>2013</v>
      </c>
      <c r="K291" s="26">
        <f t="shared" si="262"/>
        <v>2013.4166666666667</v>
      </c>
      <c r="L291" s="35">
        <f>'Orig Trucks 2183'!P32</f>
        <v>146842.576</v>
      </c>
      <c r="M291" s="35">
        <f>L291-L291*G291</f>
        <v>146842.576</v>
      </c>
      <c r="N291" s="35">
        <f t="shared" si="263"/>
        <v>1748.1259047619048</v>
      </c>
      <c r="O291" s="35">
        <f t="shared" si="264"/>
        <v>20977.510857142857</v>
      </c>
      <c r="P291" s="35">
        <f t="shared" si="265"/>
        <v>0</v>
      </c>
      <c r="Q291" s="35">
        <f t="shared" si="266"/>
        <v>146842.576</v>
      </c>
      <c r="R291" s="35">
        <f t="shared" si="267"/>
        <v>146842.576</v>
      </c>
      <c r="S291" s="35">
        <f t="shared" si="268"/>
        <v>0</v>
      </c>
    </row>
    <row r="292" spans="1:19" hidden="1" outlineLevel="1">
      <c r="A292" s="71"/>
      <c r="C292" s="81">
        <v>3590</v>
      </c>
      <c r="D292" s="71" t="s">
        <v>656</v>
      </c>
      <c r="E292" s="71">
        <v>2019</v>
      </c>
      <c r="F292" s="71">
        <v>8</v>
      </c>
      <c r="G292" s="82">
        <v>0</v>
      </c>
      <c r="H292" s="71" t="s">
        <v>78</v>
      </c>
      <c r="I292" s="71">
        <f>+IF(J291-$M$4&gt;=3,J291-$M$4,3)</f>
        <v>3</v>
      </c>
      <c r="J292" s="71">
        <f t="shared" si="261"/>
        <v>2022</v>
      </c>
      <c r="K292" s="83">
        <f t="shared" si="262"/>
        <v>2022.6666666666667</v>
      </c>
      <c r="L292" s="84">
        <f>'Orig Trucks 2183'!N32-'Trucks 2183'!L291</f>
        <v>36710.644</v>
      </c>
      <c r="M292" s="84">
        <f>L292-(L292*G292)</f>
        <v>36710.644</v>
      </c>
      <c r="N292" s="84">
        <f t="shared" si="263"/>
        <v>1019.7401111111111</v>
      </c>
      <c r="O292" s="84">
        <f t="shared" si="264"/>
        <v>12236.881333333333</v>
      </c>
      <c r="P292" s="84">
        <f t="shared" si="265"/>
        <v>8157.9208888888888</v>
      </c>
      <c r="Q292" s="84">
        <f t="shared" si="266"/>
        <v>24473.762666666666</v>
      </c>
      <c r="R292" s="84">
        <f t="shared" si="267"/>
        <v>32631.683555555555</v>
      </c>
      <c r="S292" s="84">
        <f t="shared" si="268"/>
        <v>4078.9604444444449</v>
      </c>
    </row>
    <row r="293" spans="1:19" hidden="1" outlineLevel="1">
      <c r="A293" s="59" t="s">
        <v>284</v>
      </c>
      <c r="C293" s="59">
        <v>3591</v>
      </c>
      <c r="D293" s="59" t="s">
        <v>376</v>
      </c>
      <c r="E293" s="59">
        <v>2006</v>
      </c>
      <c r="F293" s="59">
        <v>5</v>
      </c>
      <c r="G293" s="30">
        <v>0</v>
      </c>
      <c r="H293" s="59" t="s">
        <v>78</v>
      </c>
      <c r="I293" s="59">
        <v>7</v>
      </c>
      <c r="J293" s="59">
        <f t="shared" si="261"/>
        <v>2013</v>
      </c>
      <c r="K293" s="26">
        <f t="shared" si="262"/>
        <v>2013.4166666666667</v>
      </c>
      <c r="L293" s="35">
        <f>'Orig Trucks 2183'!P33</f>
        <v>146842.576</v>
      </c>
      <c r="M293" s="35">
        <f>L293-L293*G293</f>
        <v>146842.576</v>
      </c>
      <c r="N293" s="35">
        <f t="shared" si="263"/>
        <v>1748.1259047619048</v>
      </c>
      <c r="O293" s="35">
        <f t="shared" si="264"/>
        <v>20977.510857142857</v>
      </c>
      <c r="P293" s="35">
        <f t="shared" si="265"/>
        <v>0</v>
      </c>
      <c r="Q293" s="35">
        <f t="shared" si="266"/>
        <v>146842.576</v>
      </c>
      <c r="R293" s="35">
        <f t="shared" si="267"/>
        <v>146842.576</v>
      </c>
      <c r="S293" s="35">
        <f t="shared" si="268"/>
        <v>0</v>
      </c>
    </row>
    <row r="294" spans="1:19" hidden="1" outlineLevel="1">
      <c r="A294" s="71"/>
      <c r="C294" s="81">
        <v>3591</v>
      </c>
      <c r="D294" s="71" t="s">
        <v>657</v>
      </c>
      <c r="E294" s="71">
        <v>2019</v>
      </c>
      <c r="F294" s="71">
        <v>8</v>
      </c>
      <c r="G294" s="82">
        <v>0</v>
      </c>
      <c r="H294" s="71" t="s">
        <v>78</v>
      </c>
      <c r="I294" s="71">
        <f>+IF(J293-$M$4&gt;=3,J293-$M$4,3)</f>
        <v>3</v>
      </c>
      <c r="J294" s="71">
        <f t="shared" si="261"/>
        <v>2022</v>
      </c>
      <c r="K294" s="83">
        <f t="shared" si="262"/>
        <v>2022.6666666666667</v>
      </c>
      <c r="L294" s="84">
        <f>'Orig Trucks 2183'!N33-'Trucks 2183'!L293</f>
        <v>36710.644</v>
      </c>
      <c r="M294" s="84">
        <f>L294-(L294*G294)</f>
        <v>36710.644</v>
      </c>
      <c r="N294" s="84">
        <f t="shared" si="263"/>
        <v>1019.7401111111111</v>
      </c>
      <c r="O294" s="84">
        <f t="shared" si="264"/>
        <v>12236.881333333333</v>
      </c>
      <c r="P294" s="84">
        <f t="shared" si="265"/>
        <v>8157.9208888888888</v>
      </c>
      <c r="Q294" s="84">
        <f t="shared" si="266"/>
        <v>24473.762666666666</v>
      </c>
      <c r="R294" s="84">
        <f t="shared" si="267"/>
        <v>32631.683555555555</v>
      </c>
      <c r="S294" s="84">
        <f t="shared" si="268"/>
        <v>4078.9604444444449</v>
      </c>
    </row>
    <row r="295" spans="1:19" hidden="1" outlineLevel="1">
      <c r="A295" s="59" t="s">
        <v>284</v>
      </c>
      <c r="C295" s="59">
        <v>3598</v>
      </c>
      <c r="D295" s="59" t="s">
        <v>161</v>
      </c>
      <c r="E295" s="59">
        <v>2007</v>
      </c>
      <c r="F295" s="59">
        <v>3</v>
      </c>
      <c r="G295" s="30">
        <v>0</v>
      </c>
      <c r="H295" s="59" t="s">
        <v>78</v>
      </c>
      <c r="I295" s="59">
        <v>7</v>
      </c>
      <c r="J295" s="59">
        <f t="shared" si="261"/>
        <v>2014</v>
      </c>
      <c r="K295" s="26">
        <f t="shared" si="262"/>
        <v>2014.25</v>
      </c>
      <c r="L295" s="35">
        <f>'Orig Trucks 2183'!P127</f>
        <v>155764.03200000001</v>
      </c>
      <c r="M295" s="35">
        <f>L295-L295*G295</f>
        <v>155764.03200000001</v>
      </c>
      <c r="N295" s="35">
        <f t="shared" si="263"/>
        <v>1854.3337142857144</v>
      </c>
      <c r="O295" s="35">
        <f t="shared" si="264"/>
        <v>22252.004571428573</v>
      </c>
      <c r="P295" s="35">
        <f>+IF(K295&lt;=$M$5,0,IF(J295&gt;$M$4,O295,N295*F295))</f>
        <v>0</v>
      </c>
      <c r="Q295" s="35">
        <f t="shared" si="266"/>
        <v>155764.03200000001</v>
      </c>
      <c r="R295" s="35">
        <f t="shared" si="267"/>
        <v>155764.03200000001</v>
      </c>
      <c r="S295" s="35">
        <f t="shared" si="268"/>
        <v>0</v>
      </c>
    </row>
    <row r="296" spans="1:19" hidden="1" outlineLevel="1">
      <c r="A296" s="71"/>
      <c r="C296" s="81">
        <v>3598</v>
      </c>
      <c r="D296" s="71" t="s">
        <v>689</v>
      </c>
      <c r="E296" s="71">
        <v>2019</v>
      </c>
      <c r="F296" s="71">
        <v>8</v>
      </c>
      <c r="G296" s="82">
        <v>0</v>
      </c>
      <c r="H296" s="71" t="s">
        <v>78</v>
      </c>
      <c r="I296" s="71">
        <f>+IF(J295-$M$4&gt;=3,J295-$M$4,3)</f>
        <v>3</v>
      </c>
      <c r="J296" s="71">
        <f t="shared" si="261"/>
        <v>2022</v>
      </c>
      <c r="K296" s="83">
        <f t="shared" si="262"/>
        <v>2022.6666666666667</v>
      </c>
      <c r="L296" s="84">
        <f>'Orig Trucks 2183'!N127-'Trucks 2183'!L295</f>
        <v>38941.008000000002</v>
      </c>
      <c r="M296" s="84">
        <f>L296-(L296*G296)</f>
        <v>38941.008000000002</v>
      </c>
      <c r="N296" s="84">
        <f t="shared" si="263"/>
        <v>1081.6946666666668</v>
      </c>
      <c r="O296" s="84">
        <f t="shared" si="264"/>
        <v>12980.336000000001</v>
      </c>
      <c r="P296" s="84">
        <f>+IF(K296&lt;=$M$5,0,IF(J296&gt;$M$4,O296,N296*F296))</f>
        <v>8653.5573333333341</v>
      </c>
      <c r="Q296" s="84">
        <f t="shared" si="266"/>
        <v>25960.672000000002</v>
      </c>
      <c r="R296" s="84">
        <f t="shared" si="267"/>
        <v>34614.229333333336</v>
      </c>
      <c r="S296" s="84">
        <f t="shared" si="268"/>
        <v>4326.7786666666652</v>
      </c>
    </row>
    <row r="297" spans="1:19" hidden="1" outlineLevel="1">
      <c r="A297" s="59" t="s">
        <v>284</v>
      </c>
      <c r="C297" s="59">
        <v>3599</v>
      </c>
      <c r="D297" s="59" t="s">
        <v>161</v>
      </c>
      <c r="E297" s="59">
        <v>2007</v>
      </c>
      <c r="F297" s="59">
        <v>3</v>
      </c>
      <c r="G297" s="30">
        <v>0</v>
      </c>
      <c r="H297" s="59" t="s">
        <v>78</v>
      </c>
      <c r="I297" s="59">
        <v>7</v>
      </c>
      <c r="J297" s="59">
        <f t="shared" si="261"/>
        <v>2014</v>
      </c>
      <c r="K297" s="26">
        <f t="shared" si="262"/>
        <v>2014.25</v>
      </c>
      <c r="L297" s="35">
        <f>'Orig Trucks 2183'!P128</f>
        <v>156190.52799999999</v>
      </c>
      <c r="M297" s="35">
        <f>L297-L297*G297</f>
        <v>156190.52799999999</v>
      </c>
      <c r="N297" s="35">
        <f t="shared" si="263"/>
        <v>1859.4110476190474</v>
      </c>
      <c r="O297" s="35">
        <f t="shared" si="264"/>
        <v>22312.93257142857</v>
      </c>
      <c r="P297" s="35">
        <f>+IF(K297&lt;=$M$5,0,IF(J297&gt;$M$4,O297,N297*F297))</f>
        <v>0</v>
      </c>
      <c r="Q297" s="35">
        <f t="shared" si="266"/>
        <v>156190.52799999999</v>
      </c>
      <c r="R297" s="35">
        <f t="shared" si="267"/>
        <v>156190.52799999999</v>
      </c>
      <c r="S297" s="35">
        <f t="shared" si="268"/>
        <v>0</v>
      </c>
    </row>
    <row r="298" spans="1:19" hidden="1" outlineLevel="1">
      <c r="A298" s="71"/>
      <c r="C298" s="81">
        <v>3599</v>
      </c>
      <c r="D298" s="71" t="s">
        <v>690</v>
      </c>
      <c r="E298" s="71">
        <v>2019</v>
      </c>
      <c r="F298" s="71">
        <v>8</v>
      </c>
      <c r="G298" s="82">
        <v>0</v>
      </c>
      <c r="H298" s="71" t="s">
        <v>78</v>
      </c>
      <c r="I298" s="71">
        <f>+IF(J297-$M$4&gt;=3,J297-$M$4,3)</f>
        <v>3</v>
      </c>
      <c r="J298" s="71">
        <f t="shared" si="261"/>
        <v>2022</v>
      </c>
      <c r="K298" s="83">
        <f t="shared" si="262"/>
        <v>2022.6666666666667</v>
      </c>
      <c r="L298" s="84">
        <f>'Orig Trucks 2183'!N128-'Trucks 2183'!L297</f>
        <v>39047.632000000012</v>
      </c>
      <c r="M298" s="84">
        <f>L298-(L298*G298)</f>
        <v>39047.632000000012</v>
      </c>
      <c r="N298" s="84">
        <f t="shared" si="263"/>
        <v>1084.6564444444448</v>
      </c>
      <c r="O298" s="84">
        <f t="shared" si="264"/>
        <v>13015.877333333337</v>
      </c>
      <c r="P298" s="84">
        <f>+IF(K298&lt;=$M$5,0,IF(J298&gt;$M$4,O298,N298*F298))</f>
        <v>8677.2515555555583</v>
      </c>
      <c r="Q298" s="84">
        <f t="shared" si="266"/>
        <v>26031.754666666675</v>
      </c>
      <c r="R298" s="84">
        <f t="shared" si="267"/>
        <v>34709.006222222233</v>
      </c>
      <c r="S298" s="84">
        <f t="shared" si="268"/>
        <v>4338.6257777777791</v>
      </c>
    </row>
    <row r="299" spans="1:19" hidden="1" outlineLevel="1">
      <c r="A299" s="59">
        <v>61092</v>
      </c>
      <c r="B299" s="28" t="s">
        <v>286</v>
      </c>
      <c r="C299" s="59">
        <v>2026</v>
      </c>
      <c r="D299" s="59" t="s">
        <v>152</v>
      </c>
      <c r="E299" s="59">
        <v>2006</v>
      </c>
      <c r="F299" s="59">
        <v>8</v>
      </c>
      <c r="G299" s="30">
        <v>0.2</v>
      </c>
      <c r="H299" s="59" t="s">
        <v>78</v>
      </c>
      <c r="I299" s="59">
        <v>7</v>
      </c>
      <c r="J299" s="59">
        <f>E299+I299</f>
        <v>2013</v>
      </c>
      <c r="K299" s="26">
        <f>+J299+(F299/12)</f>
        <v>2013.6666666666667</v>
      </c>
      <c r="L299" s="35">
        <v>208742.37</v>
      </c>
      <c r="M299" s="35">
        <f>L299</f>
        <v>208742.37</v>
      </c>
      <c r="N299" s="35">
        <f>M299/I299/12</f>
        <v>2485.0282142857145</v>
      </c>
      <c r="O299" s="35">
        <f>+N299*12</f>
        <v>29820.338571428576</v>
      </c>
      <c r="P299" s="35">
        <f>+IF(K299&lt;=$M$5,0,IF(J299=$M$4,N299*F299,O299))</f>
        <v>0</v>
      </c>
      <c r="Q299" s="35">
        <f>+IF(P299=0,M299,IF($M$3-E299&lt;1,0,(($M$3-E299)*O299)))</f>
        <v>208742.37</v>
      </c>
      <c r="R299" s="35">
        <f>+IF(P299=0,Q299,Q299+P299)</f>
        <v>208742.37</v>
      </c>
      <c r="S299" s="35">
        <f>+L299-R299</f>
        <v>0</v>
      </c>
    </row>
    <row r="300" spans="1:19" hidden="1" outlineLevel="1"/>
    <row r="301" spans="1:19" hidden="1" outlineLevel="1"/>
    <row r="302" spans="1:19" hidden="1" outlineLevel="1">
      <c r="D302" s="91" t="s">
        <v>913</v>
      </c>
    </row>
    <row r="303" spans="1:19" hidden="1" outlineLevel="1">
      <c r="A303" s="115" t="s">
        <v>288</v>
      </c>
      <c r="B303" s="116"/>
      <c r="C303" s="115">
        <v>5041</v>
      </c>
      <c r="D303" s="115" t="s">
        <v>333</v>
      </c>
      <c r="E303" s="115">
        <v>2001</v>
      </c>
      <c r="F303" s="115">
        <v>11</v>
      </c>
      <c r="G303" s="117">
        <v>0</v>
      </c>
      <c r="H303" s="115" t="s">
        <v>78</v>
      </c>
      <c r="I303" s="115">
        <v>7</v>
      </c>
      <c r="J303" s="115">
        <f t="shared" ref="J303:J315" si="269">E303+I303</f>
        <v>2008</v>
      </c>
      <c r="K303" s="118">
        <f t="shared" ref="K303:K315" si="270">+J303+(F303/12)</f>
        <v>2008.9166666666667</v>
      </c>
      <c r="L303" s="119">
        <f>'Orig Trucks 2183'!P123</f>
        <v>50531.815999999999</v>
      </c>
      <c r="M303" s="119">
        <f>L303-L303*G303</f>
        <v>50531.815999999999</v>
      </c>
      <c r="N303" s="119">
        <f t="shared" ref="N303:N315" si="271">M303/I303/12</f>
        <v>601.56923809523812</v>
      </c>
      <c r="O303" s="119">
        <f t="shared" ref="O303:O315" si="272">+N303*12</f>
        <v>7218.830857142857</v>
      </c>
      <c r="P303" s="119">
        <f t="shared" ref="P303:P315" si="273">+IF(K303&lt;=$M$5,0,IF(J303&gt;$M$4,O303,N303*F303))</f>
        <v>0</v>
      </c>
      <c r="Q303" s="119">
        <f t="shared" ref="Q303:Q315" si="274">+IF(P303=0,M303,IF($M$3-E303&lt;1,0,(($M$3-E303)*O303)))</f>
        <v>50531.815999999999</v>
      </c>
      <c r="R303" s="119">
        <f t="shared" ref="R303:R315" si="275">+IF(P303=0,Q303,Q303+P303)</f>
        <v>50531.815999999999</v>
      </c>
      <c r="S303" s="119">
        <f t="shared" ref="S303:S315" si="276">+L303-R303</f>
        <v>0</v>
      </c>
    </row>
    <row r="304" spans="1:19" hidden="1" outlineLevel="1">
      <c r="A304" s="120"/>
      <c r="B304" s="121">
        <v>5041</v>
      </c>
      <c r="C304" s="120"/>
      <c r="D304" s="120" t="s">
        <v>685</v>
      </c>
      <c r="E304" s="120">
        <v>2019</v>
      </c>
      <c r="F304" s="120">
        <v>8</v>
      </c>
      <c r="G304" s="122">
        <v>0</v>
      </c>
      <c r="H304" s="120" t="s">
        <v>78</v>
      </c>
      <c r="I304" s="120">
        <f>+IF(J303-$M$4&gt;=3,J303-$M$4,3)</f>
        <v>3</v>
      </c>
      <c r="J304" s="120">
        <f t="shared" si="269"/>
        <v>2022</v>
      </c>
      <c r="K304" s="123">
        <f t="shared" si="270"/>
        <v>2022.6666666666667</v>
      </c>
      <c r="L304" s="124">
        <f>'Orig Trucks 2183'!N123-'Trucks 2183'!L303</f>
        <v>12632.953999999998</v>
      </c>
      <c r="M304" s="124">
        <f>L304-(L304*G304)</f>
        <v>12632.953999999998</v>
      </c>
      <c r="N304" s="124">
        <f t="shared" si="271"/>
        <v>350.91538888888886</v>
      </c>
      <c r="O304" s="124">
        <f t="shared" si="272"/>
        <v>4210.9846666666663</v>
      </c>
      <c r="P304" s="124">
        <f t="shared" si="273"/>
        <v>2807.3231111111108</v>
      </c>
      <c r="Q304" s="124">
        <f t="shared" si="274"/>
        <v>8421.9693333333325</v>
      </c>
      <c r="R304" s="124">
        <f t="shared" si="275"/>
        <v>11229.292444444443</v>
      </c>
      <c r="S304" s="124">
        <f t="shared" si="276"/>
        <v>1403.6615555555545</v>
      </c>
    </row>
    <row r="305" spans="1:19" hidden="1" outlineLevel="1">
      <c r="A305" s="115" t="s">
        <v>288</v>
      </c>
      <c r="B305" s="116"/>
      <c r="C305" s="115">
        <v>5041</v>
      </c>
      <c r="D305" s="115" t="s">
        <v>323</v>
      </c>
      <c r="E305" s="115">
        <v>2007</v>
      </c>
      <c r="F305" s="115">
        <v>7</v>
      </c>
      <c r="G305" s="117">
        <v>0</v>
      </c>
      <c r="H305" s="115" t="s">
        <v>78</v>
      </c>
      <c r="I305" s="115">
        <v>5</v>
      </c>
      <c r="J305" s="115">
        <f t="shared" si="269"/>
        <v>2012</v>
      </c>
      <c r="K305" s="118">
        <f t="shared" si="270"/>
        <v>2012.5833333333333</v>
      </c>
      <c r="L305" s="119">
        <f>'Orig Trucks 2183'!P133</f>
        <v>7989.08</v>
      </c>
      <c r="M305" s="119">
        <f>L305-L305*G305</f>
        <v>7989.08</v>
      </c>
      <c r="N305" s="119">
        <f t="shared" si="271"/>
        <v>133.15133333333333</v>
      </c>
      <c r="O305" s="119">
        <f t="shared" si="272"/>
        <v>1597.8159999999998</v>
      </c>
      <c r="P305" s="119">
        <f t="shared" si="273"/>
        <v>0</v>
      </c>
      <c r="Q305" s="119">
        <f t="shared" si="274"/>
        <v>7989.08</v>
      </c>
      <c r="R305" s="119">
        <f t="shared" si="275"/>
        <v>7989.08</v>
      </c>
      <c r="S305" s="119">
        <f t="shared" si="276"/>
        <v>0</v>
      </c>
    </row>
    <row r="306" spans="1:19" hidden="1" outlineLevel="1">
      <c r="A306" s="120"/>
      <c r="B306" s="121">
        <v>5041</v>
      </c>
      <c r="C306" s="120"/>
      <c r="D306" s="120" t="s">
        <v>685</v>
      </c>
      <c r="E306" s="120">
        <v>2019</v>
      </c>
      <c r="F306" s="120">
        <v>8</v>
      </c>
      <c r="G306" s="122">
        <v>0</v>
      </c>
      <c r="H306" s="120" t="s">
        <v>78</v>
      </c>
      <c r="I306" s="120">
        <f>+IF(J305-$M$4&gt;=3,J305-$M$4,3)</f>
        <v>3</v>
      </c>
      <c r="J306" s="120">
        <f t="shared" si="269"/>
        <v>2022</v>
      </c>
      <c r="K306" s="123">
        <f t="shared" si="270"/>
        <v>2022.6666666666667</v>
      </c>
      <c r="L306" s="124">
        <f>'Orig Trucks 2183'!N133-'Trucks 2183'!L305</f>
        <v>3934.92</v>
      </c>
      <c r="M306" s="124">
        <f>L306-(L306*G306)</f>
        <v>3934.92</v>
      </c>
      <c r="N306" s="124">
        <f t="shared" si="271"/>
        <v>109.30333333333334</v>
      </c>
      <c r="O306" s="124">
        <f t="shared" si="272"/>
        <v>1311.64</v>
      </c>
      <c r="P306" s="124">
        <f t="shared" si="273"/>
        <v>874.42666666666673</v>
      </c>
      <c r="Q306" s="124">
        <f t="shared" si="274"/>
        <v>2623.28</v>
      </c>
      <c r="R306" s="124">
        <f t="shared" si="275"/>
        <v>3497.7066666666669</v>
      </c>
      <c r="S306" s="124">
        <f t="shared" si="276"/>
        <v>437.21333333333314</v>
      </c>
    </row>
    <row r="307" spans="1:19" hidden="1" outlineLevel="1">
      <c r="A307" s="105" t="s">
        <v>292</v>
      </c>
      <c r="B307" s="106"/>
      <c r="C307" s="105">
        <v>5042</v>
      </c>
      <c r="D307" s="105" t="s">
        <v>452</v>
      </c>
      <c r="E307" s="105">
        <v>2002</v>
      </c>
      <c r="F307" s="105">
        <v>6</v>
      </c>
      <c r="G307" s="107">
        <v>0</v>
      </c>
      <c r="H307" s="105" t="s">
        <v>78</v>
      </c>
      <c r="I307" s="105">
        <v>7</v>
      </c>
      <c r="J307" s="105">
        <f t="shared" si="269"/>
        <v>2009</v>
      </c>
      <c r="K307" s="108">
        <f t="shared" si="270"/>
        <v>2009.5</v>
      </c>
      <c r="L307" s="109">
        <f>'Orig Trucks 2183'!P124</f>
        <v>60634.271999999997</v>
      </c>
      <c r="M307" s="109">
        <f>L307-L307*G307</f>
        <v>60634.271999999997</v>
      </c>
      <c r="N307" s="109">
        <f t="shared" si="271"/>
        <v>721.83657142857146</v>
      </c>
      <c r="O307" s="109">
        <f t="shared" si="272"/>
        <v>8662.0388571428575</v>
      </c>
      <c r="P307" s="109">
        <f t="shared" si="273"/>
        <v>0</v>
      </c>
      <c r="Q307" s="109">
        <f t="shared" si="274"/>
        <v>60634.271999999997</v>
      </c>
      <c r="R307" s="109">
        <f t="shared" si="275"/>
        <v>60634.271999999997</v>
      </c>
      <c r="S307" s="109">
        <f t="shared" si="276"/>
        <v>0</v>
      </c>
    </row>
    <row r="308" spans="1:19" hidden="1" outlineLevel="1">
      <c r="A308" s="110"/>
      <c r="B308" s="111">
        <v>5042</v>
      </c>
      <c r="C308" s="110"/>
      <c r="D308" s="110" t="s">
        <v>686</v>
      </c>
      <c r="E308" s="110">
        <v>2019</v>
      </c>
      <c r="F308" s="110">
        <v>8</v>
      </c>
      <c r="G308" s="112">
        <v>0</v>
      </c>
      <c r="H308" s="110" t="s">
        <v>78</v>
      </c>
      <c r="I308" s="110">
        <f>+IF(J307-$M$4&gt;=3,J307-$M$4,3)</f>
        <v>3</v>
      </c>
      <c r="J308" s="110">
        <f t="shared" si="269"/>
        <v>2022</v>
      </c>
      <c r="K308" s="113">
        <f t="shared" si="270"/>
        <v>2022.6666666666667</v>
      </c>
      <c r="L308" s="114">
        <f>'Orig Trucks 2183'!N124-'Trucks 2183'!L307</f>
        <v>15158.567999999999</v>
      </c>
      <c r="M308" s="114">
        <f>L308-(L308*G308)</f>
        <v>15158.567999999999</v>
      </c>
      <c r="N308" s="114">
        <f t="shared" si="271"/>
        <v>421.07133333333331</v>
      </c>
      <c r="O308" s="114">
        <f t="shared" si="272"/>
        <v>5052.8559999999998</v>
      </c>
      <c r="P308" s="114">
        <f t="shared" si="273"/>
        <v>3368.5706666666665</v>
      </c>
      <c r="Q308" s="114">
        <f t="shared" si="274"/>
        <v>10105.712</v>
      </c>
      <c r="R308" s="114">
        <f t="shared" si="275"/>
        <v>13474.282666666666</v>
      </c>
      <c r="S308" s="114">
        <f t="shared" si="276"/>
        <v>1684.2853333333333</v>
      </c>
    </row>
    <row r="309" spans="1:19" hidden="1" outlineLevel="1">
      <c r="A309" s="105" t="s">
        <v>292</v>
      </c>
      <c r="B309" s="106"/>
      <c r="C309" s="105">
        <v>5042</v>
      </c>
      <c r="D309" s="105" t="s">
        <v>334</v>
      </c>
      <c r="E309" s="105">
        <v>2009</v>
      </c>
      <c r="F309" s="105">
        <v>5</v>
      </c>
      <c r="G309" s="107">
        <v>0</v>
      </c>
      <c r="H309" s="105" t="s">
        <v>78</v>
      </c>
      <c r="I309" s="105">
        <v>3</v>
      </c>
      <c r="J309" s="105">
        <f t="shared" si="269"/>
        <v>2012</v>
      </c>
      <c r="K309" s="108">
        <f t="shared" si="270"/>
        <v>2012.4166666666667</v>
      </c>
      <c r="L309" s="109">
        <v>7094.74</v>
      </c>
      <c r="M309" s="109">
        <f>L309-L309*G309</f>
        <v>7094.74</v>
      </c>
      <c r="N309" s="109">
        <f t="shared" si="271"/>
        <v>197.07611111111112</v>
      </c>
      <c r="O309" s="109">
        <f t="shared" si="272"/>
        <v>2364.9133333333334</v>
      </c>
      <c r="P309" s="109">
        <f t="shared" si="273"/>
        <v>0</v>
      </c>
      <c r="Q309" s="109">
        <f t="shared" si="274"/>
        <v>7094.74</v>
      </c>
      <c r="R309" s="109">
        <f t="shared" si="275"/>
        <v>7094.74</v>
      </c>
      <c r="S309" s="109">
        <f t="shared" si="276"/>
        <v>0</v>
      </c>
    </row>
    <row r="310" spans="1:19" hidden="1" outlineLevel="1">
      <c r="A310" s="105" t="s">
        <v>292</v>
      </c>
      <c r="B310" s="106"/>
      <c r="C310" s="105">
        <v>5045</v>
      </c>
      <c r="D310" s="105" t="s">
        <v>452</v>
      </c>
      <c r="E310" s="105">
        <v>2002</v>
      </c>
      <c r="F310" s="105">
        <v>6</v>
      </c>
      <c r="G310" s="107">
        <v>0</v>
      </c>
      <c r="H310" s="105" t="s">
        <v>78</v>
      </c>
      <c r="I310" s="105">
        <v>7</v>
      </c>
      <c r="J310" s="105">
        <f t="shared" si="269"/>
        <v>2009</v>
      </c>
      <c r="K310" s="108">
        <f t="shared" si="270"/>
        <v>2009.5</v>
      </c>
      <c r="L310" s="109">
        <f>'Orig Trucks 2183'!P126</f>
        <v>60111.784</v>
      </c>
      <c r="M310" s="109">
        <f>L310-L310*G310</f>
        <v>60111.784</v>
      </c>
      <c r="N310" s="109">
        <f t="shared" si="271"/>
        <v>715.61647619047619</v>
      </c>
      <c r="O310" s="109">
        <f t="shared" si="272"/>
        <v>8587.3977142857148</v>
      </c>
      <c r="P310" s="109">
        <f t="shared" si="273"/>
        <v>0</v>
      </c>
      <c r="Q310" s="109">
        <f t="shared" si="274"/>
        <v>60111.784</v>
      </c>
      <c r="R310" s="109">
        <f t="shared" si="275"/>
        <v>60111.784</v>
      </c>
      <c r="S310" s="109">
        <f t="shared" si="276"/>
        <v>0</v>
      </c>
    </row>
    <row r="311" spans="1:19" hidden="1" outlineLevel="1">
      <c r="A311" s="110"/>
      <c r="B311" s="111">
        <v>5045</v>
      </c>
      <c r="C311" s="110"/>
      <c r="D311" s="110" t="s">
        <v>688</v>
      </c>
      <c r="E311" s="110">
        <v>2019</v>
      </c>
      <c r="F311" s="110">
        <v>8</v>
      </c>
      <c r="G311" s="112">
        <v>0</v>
      </c>
      <c r="H311" s="110" t="s">
        <v>78</v>
      </c>
      <c r="I311" s="110">
        <f>+IF(J310-$M$4&gt;=3,J310-$M$4,3)</f>
        <v>3</v>
      </c>
      <c r="J311" s="110">
        <f t="shared" si="269"/>
        <v>2022</v>
      </c>
      <c r="K311" s="113">
        <f t="shared" si="270"/>
        <v>2022.6666666666667</v>
      </c>
      <c r="L311" s="114">
        <f>'Orig Trucks 2183'!N126-'Trucks 2183'!L310</f>
        <v>15027.945999999996</v>
      </c>
      <c r="M311" s="114">
        <f>L311-(L311*G311)</f>
        <v>15027.945999999996</v>
      </c>
      <c r="N311" s="114">
        <f t="shared" si="271"/>
        <v>417.44294444444432</v>
      </c>
      <c r="O311" s="114">
        <f t="shared" si="272"/>
        <v>5009.3153333333321</v>
      </c>
      <c r="P311" s="114">
        <f t="shared" si="273"/>
        <v>3339.5435555555546</v>
      </c>
      <c r="Q311" s="114">
        <f t="shared" si="274"/>
        <v>10018.630666666664</v>
      </c>
      <c r="R311" s="114">
        <f t="shared" si="275"/>
        <v>13358.174222222218</v>
      </c>
      <c r="S311" s="114">
        <f t="shared" si="276"/>
        <v>1669.771777777778</v>
      </c>
    </row>
    <row r="312" spans="1:19" hidden="1" outlineLevel="1">
      <c r="A312" s="105" t="s">
        <v>284</v>
      </c>
      <c r="B312" s="106"/>
      <c r="C312" s="105">
        <v>3602</v>
      </c>
      <c r="D312" s="105" t="s">
        <v>161</v>
      </c>
      <c r="E312" s="105">
        <v>2007</v>
      </c>
      <c r="F312" s="105">
        <v>3</v>
      </c>
      <c r="G312" s="107">
        <v>0</v>
      </c>
      <c r="H312" s="105" t="s">
        <v>78</v>
      </c>
      <c r="I312" s="105">
        <v>7</v>
      </c>
      <c r="J312" s="105">
        <f t="shared" si="269"/>
        <v>2014</v>
      </c>
      <c r="K312" s="108">
        <f t="shared" si="270"/>
        <v>2014.25</v>
      </c>
      <c r="L312" s="109">
        <f>'Orig Trucks 2183'!P131</f>
        <v>155764.03200000001</v>
      </c>
      <c r="M312" s="109">
        <f>L312-L312*G312</f>
        <v>155764.03200000001</v>
      </c>
      <c r="N312" s="109">
        <f t="shared" si="271"/>
        <v>1854.3337142857144</v>
      </c>
      <c r="O312" s="109">
        <f t="shared" si="272"/>
        <v>22252.004571428573</v>
      </c>
      <c r="P312" s="109">
        <f t="shared" si="273"/>
        <v>0</v>
      </c>
      <c r="Q312" s="109">
        <f t="shared" si="274"/>
        <v>155764.03200000001</v>
      </c>
      <c r="R312" s="109">
        <f t="shared" si="275"/>
        <v>155764.03200000001</v>
      </c>
      <c r="S312" s="109">
        <f t="shared" si="276"/>
        <v>0</v>
      </c>
    </row>
    <row r="313" spans="1:19" hidden="1" outlineLevel="1">
      <c r="A313" s="110"/>
      <c r="B313" s="111">
        <v>3602</v>
      </c>
      <c r="C313" s="110"/>
      <c r="D313" s="110" t="s">
        <v>693</v>
      </c>
      <c r="E313" s="110">
        <v>2019</v>
      </c>
      <c r="F313" s="110">
        <v>8</v>
      </c>
      <c r="G313" s="112">
        <v>0</v>
      </c>
      <c r="H313" s="110" t="s">
        <v>78</v>
      </c>
      <c r="I313" s="110">
        <f>+IF(J312-$M$4&gt;=3,J312-$M$4,3)</f>
        <v>3</v>
      </c>
      <c r="J313" s="110">
        <f t="shared" si="269"/>
        <v>2022</v>
      </c>
      <c r="K313" s="113">
        <f t="shared" si="270"/>
        <v>2022.6666666666667</v>
      </c>
      <c r="L313" s="114">
        <f>'Orig Trucks 2183'!N131-'Trucks 2183'!L312</f>
        <v>38941.008000000002</v>
      </c>
      <c r="M313" s="114">
        <f>L313-(L313*G313)</f>
        <v>38941.008000000002</v>
      </c>
      <c r="N313" s="114">
        <f t="shared" si="271"/>
        <v>1081.6946666666668</v>
      </c>
      <c r="O313" s="114">
        <f t="shared" si="272"/>
        <v>12980.336000000001</v>
      </c>
      <c r="P313" s="114">
        <f t="shared" si="273"/>
        <v>8653.5573333333341</v>
      </c>
      <c r="Q313" s="114">
        <f t="shared" si="274"/>
        <v>25960.672000000002</v>
      </c>
      <c r="R313" s="114">
        <f t="shared" si="275"/>
        <v>34614.229333333336</v>
      </c>
      <c r="S313" s="114">
        <f t="shared" si="276"/>
        <v>4326.7786666666652</v>
      </c>
    </row>
    <row r="314" spans="1:19" hidden="1" outlineLevel="1">
      <c r="A314" s="105">
        <v>114277</v>
      </c>
      <c r="B314" s="106" t="s">
        <v>283</v>
      </c>
      <c r="C314" s="105">
        <v>4512</v>
      </c>
      <c r="D314" s="105" t="s">
        <v>536</v>
      </c>
      <c r="E314" s="105">
        <v>1998</v>
      </c>
      <c r="F314" s="105">
        <v>2</v>
      </c>
      <c r="G314" s="107">
        <v>0</v>
      </c>
      <c r="H314" s="105" t="s">
        <v>78</v>
      </c>
      <c r="I314" s="105">
        <v>5</v>
      </c>
      <c r="J314" s="105">
        <f t="shared" si="269"/>
        <v>2003</v>
      </c>
      <c r="K314" s="108">
        <f t="shared" si="270"/>
        <v>2003.1666666666667</v>
      </c>
      <c r="L314" s="109">
        <v>0</v>
      </c>
      <c r="M314" s="109">
        <f>L314-L314*G314</f>
        <v>0</v>
      </c>
      <c r="N314" s="109">
        <f t="shared" si="271"/>
        <v>0</v>
      </c>
      <c r="O314" s="109">
        <f t="shared" si="272"/>
        <v>0</v>
      </c>
      <c r="P314" s="109">
        <f t="shared" si="273"/>
        <v>0</v>
      </c>
      <c r="Q314" s="109">
        <f t="shared" si="274"/>
        <v>0</v>
      </c>
      <c r="R314" s="109">
        <f t="shared" si="275"/>
        <v>0</v>
      </c>
      <c r="S314" s="109">
        <f t="shared" si="276"/>
        <v>0</v>
      </c>
    </row>
    <row r="315" spans="1:19" hidden="1" outlineLevel="1">
      <c r="A315" s="110"/>
      <c r="B315" s="111">
        <v>4512</v>
      </c>
      <c r="C315" s="110"/>
      <c r="D315" s="110" t="s">
        <v>700</v>
      </c>
      <c r="E315" s="110">
        <v>2019</v>
      </c>
      <c r="F315" s="110">
        <v>8</v>
      </c>
      <c r="G315" s="112">
        <v>0</v>
      </c>
      <c r="H315" s="110" t="s">
        <v>78</v>
      </c>
      <c r="I315" s="110">
        <f>+IF(J314-$M$4&gt;=3,J314-$M$4,3)</f>
        <v>3</v>
      </c>
      <c r="J315" s="110">
        <f t="shared" si="269"/>
        <v>2022</v>
      </c>
      <c r="K315" s="113">
        <f t="shared" si="270"/>
        <v>2022.6666666666667</v>
      </c>
      <c r="L315" s="114">
        <v>0</v>
      </c>
      <c r="M315" s="114">
        <f>L315-(L315*G315)</f>
        <v>0</v>
      </c>
      <c r="N315" s="114">
        <f t="shared" si="271"/>
        <v>0</v>
      </c>
      <c r="O315" s="114">
        <f t="shared" si="272"/>
        <v>0</v>
      </c>
      <c r="P315" s="114">
        <f t="shared" si="273"/>
        <v>0</v>
      </c>
      <c r="Q315" s="114">
        <f t="shared" si="274"/>
        <v>0</v>
      </c>
      <c r="R315" s="114">
        <f t="shared" si="275"/>
        <v>0</v>
      </c>
      <c r="S315" s="114">
        <f t="shared" si="276"/>
        <v>0</v>
      </c>
    </row>
    <row r="316" spans="1:19" hidden="1" outlineLevel="1">
      <c r="A316" s="59" t="s">
        <v>283</v>
      </c>
      <c r="C316" s="59">
        <v>4033</v>
      </c>
      <c r="D316" s="59" t="s">
        <v>82</v>
      </c>
      <c r="E316" s="59">
        <v>2009</v>
      </c>
      <c r="F316" s="59">
        <v>5</v>
      </c>
      <c r="G316" s="30">
        <v>0</v>
      </c>
      <c r="H316" s="59" t="s">
        <v>78</v>
      </c>
      <c r="I316" s="59">
        <v>3</v>
      </c>
      <c r="J316" s="59">
        <f>E316+I316</f>
        <v>2012</v>
      </c>
      <c r="K316" s="72">
        <f>+J316+(F316/12)</f>
        <v>2012.4166666666667</v>
      </c>
      <c r="L316" s="27">
        <v>3577.2</v>
      </c>
      <c r="M316" s="27">
        <f>L316-L316*G316</f>
        <v>3577.2</v>
      </c>
      <c r="N316" s="27">
        <f>M316/I316/12</f>
        <v>99.36666666666666</v>
      </c>
      <c r="O316" s="27">
        <f>+N316*12</f>
        <v>1192.3999999999999</v>
      </c>
      <c r="P316" s="27">
        <f>+IF(K316&lt;=$M$5,0,IF(J316&gt;$M$4,O316,N316*F316))</f>
        <v>0</v>
      </c>
      <c r="Q316" s="27">
        <f>+IF(P316=0,M316,IF($M$3-E316&lt;1,0,(($M$3-E316)*O316)))</f>
        <v>3577.2</v>
      </c>
      <c r="R316" s="27">
        <f>+IF(P316=0,Q316,Q316+P316)</f>
        <v>3577.2</v>
      </c>
      <c r="S316" s="27">
        <f>+L316-R316</f>
        <v>0</v>
      </c>
    </row>
    <row r="317" spans="1:19" hidden="1" outlineLevel="1">
      <c r="A317" s="59" t="s">
        <v>283</v>
      </c>
      <c r="C317" s="59">
        <v>4033</v>
      </c>
      <c r="D317" s="59" t="s">
        <v>331</v>
      </c>
      <c r="E317" s="59">
        <v>2009</v>
      </c>
      <c r="F317" s="59">
        <v>5</v>
      </c>
      <c r="G317" s="30">
        <v>0</v>
      </c>
      <c r="H317" s="59" t="s">
        <v>78</v>
      </c>
      <c r="I317" s="59">
        <v>3</v>
      </c>
      <c r="J317" s="59">
        <f>E317+I317</f>
        <v>2012</v>
      </c>
      <c r="K317" s="72">
        <f>+J317+(F317/12)</f>
        <v>2012.4166666666667</v>
      </c>
      <c r="L317" s="27">
        <v>5775.33</v>
      </c>
      <c r="M317" s="27">
        <f>L317-L317*G317</f>
        <v>5775.33</v>
      </c>
      <c r="N317" s="27">
        <f>M317/I317/12</f>
        <v>160.42583333333332</v>
      </c>
      <c r="O317" s="27">
        <f>+N317*12</f>
        <v>1925.1099999999997</v>
      </c>
      <c r="P317" s="27">
        <f>+IF(K317&lt;=$M$5,0,IF(J317&gt;$M$4,O317,N317*F317))</f>
        <v>0</v>
      </c>
      <c r="Q317" s="27">
        <f>+IF(P317=0,M317,IF($M$3-E317&lt;1,0,(($M$3-E317)*O317)))</f>
        <v>5775.33</v>
      </c>
      <c r="R317" s="27">
        <f>+IF(P317=0,Q317,Q317+P317)</f>
        <v>5775.33</v>
      </c>
      <c r="S317" s="27">
        <f>+L317-R317</f>
        <v>0</v>
      </c>
    </row>
    <row r="318" spans="1:19" hidden="1" outlineLevel="1">
      <c r="B318" s="28">
        <v>117825</v>
      </c>
      <c r="C318" s="59">
        <v>4033</v>
      </c>
      <c r="D318" s="59" t="s">
        <v>530</v>
      </c>
      <c r="E318" s="59">
        <v>2014</v>
      </c>
      <c r="F318" s="59">
        <v>11</v>
      </c>
      <c r="G318" s="30">
        <v>0</v>
      </c>
      <c r="H318" s="59" t="s">
        <v>78</v>
      </c>
      <c r="I318" s="59">
        <v>3</v>
      </c>
      <c r="J318" s="59">
        <f>E318+I318</f>
        <v>2017</v>
      </c>
      <c r="K318" s="72">
        <f>+J318+(F318/12)</f>
        <v>2017.9166666666667</v>
      </c>
      <c r="L318" s="27">
        <v>7331.82</v>
      </c>
      <c r="M318" s="27">
        <f>L318-L318*G318</f>
        <v>7331.82</v>
      </c>
      <c r="N318" s="27">
        <f>M318/I318/12</f>
        <v>203.66166666666666</v>
      </c>
      <c r="O318" s="27">
        <f>+N318*12</f>
        <v>2443.94</v>
      </c>
      <c r="P318" s="27">
        <f>+IF(K318&lt;=$M$5,0,IF(J318&gt;$M$4,O318,N318*F318))</f>
        <v>0</v>
      </c>
      <c r="Q318" s="27">
        <f>+IF(P318=0,M318,IF($M$3-E318&lt;1,0,(($M$3-E318)*O318)))</f>
        <v>7331.82</v>
      </c>
      <c r="R318" s="27">
        <f>+IF(P318=0,Q318,Q318+P318)</f>
        <v>7331.82</v>
      </c>
      <c r="S318" s="27">
        <f>+L318-R318</f>
        <v>0</v>
      </c>
    </row>
    <row r="319" spans="1:19" hidden="1" outlineLevel="1">
      <c r="A319" s="59" t="s">
        <v>288</v>
      </c>
      <c r="C319" s="59">
        <v>5001</v>
      </c>
      <c r="D319" s="59" t="s">
        <v>304</v>
      </c>
      <c r="E319" s="59">
        <v>2005</v>
      </c>
      <c r="F319" s="59">
        <v>8</v>
      </c>
      <c r="G319" s="30">
        <v>0</v>
      </c>
      <c r="H319" s="59" t="s">
        <v>78</v>
      </c>
      <c r="I319" s="59">
        <v>5</v>
      </c>
      <c r="J319" s="59">
        <f>E319+I319</f>
        <v>2010</v>
      </c>
      <c r="K319" s="26">
        <f>+J319+(F319/12)</f>
        <v>2010.6666666666667</v>
      </c>
      <c r="L319" s="35">
        <f>'Orig Trucks 2183'!P26</f>
        <v>6536.52</v>
      </c>
      <c r="M319" s="35">
        <f>L319-L319*G319</f>
        <v>6536.52</v>
      </c>
      <c r="N319" s="35">
        <f>M319/I319/12</f>
        <v>108.94200000000001</v>
      </c>
      <c r="O319" s="35">
        <f>+N319*12</f>
        <v>1307.3040000000001</v>
      </c>
      <c r="P319" s="35">
        <f>+IF(K319&lt;=$M$5,0,IF(J319=$M$4,N319*F319,O319))</f>
        <v>0</v>
      </c>
      <c r="Q319" s="35">
        <f>+IF(P319=0,M319,IF($M$3-E319&lt;1,0,(($M$3-E319)*O319)))</f>
        <v>6536.52</v>
      </c>
      <c r="R319" s="35">
        <f>+IF(P319=0,Q319,Q319+P319)</f>
        <v>6536.52</v>
      </c>
      <c r="S319" s="35">
        <f>+L319-R319</f>
        <v>0</v>
      </c>
    </row>
    <row r="320" spans="1:19" hidden="1" outlineLevel="1">
      <c r="A320" s="130"/>
      <c r="B320" s="131"/>
      <c r="C320" s="131">
        <v>5001</v>
      </c>
      <c r="D320" s="130" t="s">
        <v>654</v>
      </c>
      <c r="E320" s="130">
        <v>2019</v>
      </c>
      <c r="F320" s="130">
        <v>8</v>
      </c>
      <c r="G320" s="132">
        <v>0</v>
      </c>
      <c r="H320" s="130" t="s">
        <v>78</v>
      </c>
      <c r="I320" s="130">
        <f>+IF(J319-$M$4&gt;=3,J319-$M$4,3)</f>
        <v>3</v>
      </c>
      <c r="J320" s="130">
        <f>E320+I320</f>
        <v>2022</v>
      </c>
      <c r="K320" s="133">
        <f>+J320+(F320/12)</f>
        <v>2022.6666666666667</v>
      </c>
      <c r="L320" s="134">
        <f>'Orig Trucks 2183'!N26-'Trucks 2183'!L319</f>
        <v>3219.4799999999996</v>
      </c>
      <c r="M320" s="134">
        <f>L320-(L320*G320)</f>
        <v>3219.4799999999996</v>
      </c>
      <c r="N320" s="134">
        <f>M320/I320/12</f>
        <v>89.429999999999993</v>
      </c>
      <c r="O320" s="134">
        <f>+N320*12</f>
        <v>1073.1599999999999</v>
      </c>
      <c r="P320" s="134">
        <f>+IF(K320&lt;=$M$5,0,IF(J320=$M$4,N320*F320,O320))</f>
        <v>715.43999999999994</v>
      </c>
      <c r="Q320" s="134">
        <f>+IF(P320=0,M320,IF($M$3-E320&lt;1,0,(($M$3-E320)*O320)))</f>
        <v>2146.3199999999997</v>
      </c>
      <c r="R320" s="134">
        <f>+IF(P320=0,Q320,Q320+P320)</f>
        <v>2861.7599999999998</v>
      </c>
      <c r="S320" s="134">
        <f>+L320-R320</f>
        <v>357.7199999999998</v>
      </c>
    </row>
    <row r="321" spans="1:19" hidden="1" outlineLevel="1"/>
    <row r="322" spans="1:19" hidden="1" outlineLevel="1"/>
    <row r="323" spans="1:19" hidden="1" outlineLevel="1"/>
    <row r="324" spans="1:19" hidden="1" outlineLevel="1"/>
    <row r="325" spans="1:19" hidden="1" outlineLevel="1">
      <c r="B325" s="96" t="s">
        <v>2369</v>
      </c>
    </row>
    <row r="326" spans="1:19" hidden="1" outlineLevel="1">
      <c r="A326" s="59" t="s">
        <v>284</v>
      </c>
      <c r="C326" s="59">
        <v>3600</v>
      </c>
      <c r="D326" s="59" t="s">
        <v>161</v>
      </c>
      <c r="E326" s="59">
        <v>2007</v>
      </c>
      <c r="F326" s="59">
        <v>3</v>
      </c>
      <c r="G326" s="30">
        <v>0</v>
      </c>
      <c r="H326" s="59" t="s">
        <v>78</v>
      </c>
      <c r="I326" s="59">
        <v>7</v>
      </c>
      <c r="J326" s="59">
        <f t="shared" ref="J326:J334" si="277">E326+I326</f>
        <v>2014</v>
      </c>
      <c r="K326" s="26">
        <f t="shared" ref="K326:K334" si="278">+J326+(F326/12)</f>
        <v>2014.25</v>
      </c>
      <c r="L326" s="35">
        <f>'Orig Trucks 2183'!P129</f>
        <v>155764.03200000001</v>
      </c>
      <c r="M326" s="35">
        <f>L326-L326*G326</f>
        <v>155764.03200000001</v>
      </c>
      <c r="N326" s="35">
        <f t="shared" ref="N326:N334" si="279">M326/I326/12</f>
        <v>1854.3337142857144</v>
      </c>
      <c r="O326" s="35">
        <f t="shared" ref="O326:O334" si="280">+N326*12</f>
        <v>22252.004571428573</v>
      </c>
      <c r="P326" s="35">
        <f>+IF(K326&lt;=$M$5,0,IF(J326&gt;$M$4,O326,N326*F326))</f>
        <v>0</v>
      </c>
      <c r="Q326" s="35">
        <f t="shared" ref="Q326:Q334" si="281">+IF(P326=0,M326,IF($M$3-E326&lt;1,0,(($M$3-E326)*O326)))</f>
        <v>155764.03200000001</v>
      </c>
      <c r="R326" s="35">
        <f t="shared" ref="R326:R334" si="282">+IF(P326=0,Q326,Q326+P326)</f>
        <v>155764.03200000001</v>
      </c>
      <c r="S326" s="35">
        <f t="shared" ref="S326:S334" si="283">+L326-R326</f>
        <v>0</v>
      </c>
    </row>
    <row r="327" spans="1:19" hidden="1" outlineLevel="1">
      <c r="A327" s="130"/>
      <c r="B327" s="130"/>
      <c r="C327" s="131">
        <v>3600</v>
      </c>
      <c r="D327" s="130" t="s">
        <v>691</v>
      </c>
      <c r="E327" s="130">
        <v>2019</v>
      </c>
      <c r="F327" s="130">
        <v>8</v>
      </c>
      <c r="G327" s="132">
        <v>0</v>
      </c>
      <c r="H327" s="130" t="s">
        <v>78</v>
      </c>
      <c r="I327" s="130">
        <f>+IF(J326-$M$4&gt;=3,J326-$M$4,3)</f>
        <v>3</v>
      </c>
      <c r="J327" s="130">
        <f t="shared" si="277"/>
        <v>2022</v>
      </c>
      <c r="K327" s="133">
        <f t="shared" si="278"/>
        <v>2022.6666666666667</v>
      </c>
      <c r="L327" s="134">
        <f>'Orig Trucks 2183'!N129-'Trucks 2183'!L326</f>
        <v>38941.008000000002</v>
      </c>
      <c r="M327" s="134">
        <f>L327-(L327*G327)</f>
        <v>38941.008000000002</v>
      </c>
      <c r="N327" s="134">
        <f t="shared" si="279"/>
        <v>1081.6946666666668</v>
      </c>
      <c r="O327" s="134">
        <f t="shared" si="280"/>
        <v>12980.336000000001</v>
      </c>
      <c r="P327" s="134">
        <f>+IF(K327&lt;=$M$5,0,IF(J327&gt;$M$4,O327,N327*F327))</f>
        <v>8653.5573333333341</v>
      </c>
      <c r="Q327" s="134">
        <f t="shared" si="281"/>
        <v>25960.672000000002</v>
      </c>
      <c r="R327" s="134">
        <f t="shared" si="282"/>
        <v>34614.229333333336</v>
      </c>
      <c r="S327" s="134">
        <f t="shared" si="283"/>
        <v>4326.7786666666652</v>
      </c>
    </row>
    <row r="328" spans="1:19" hidden="1" outlineLevel="1">
      <c r="A328" s="59" t="s">
        <v>284</v>
      </c>
      <c r="C328" s="59">
        <v>3601</v>
      </c>
      <c r="D328" s="59" t="s">
        <v>161</v>
      </c>
      <c r="E328" s="59">
        <v>2007</v>
      </c>
      <c r="F328" s="59">
        <v>3</v>
      </c>
      <c r="G328" s="30">
        <v>0</v>
      </c>
      <c r="H328" s="59" t="s">
        <v>78</v>
      </c>
      <c r="I328" s="59">
        <v>7</v>
      </c>
      <c r="J328" s="59">
        <f t="shared" si="277"/>
        <v>2014</v>
      </c>
      <c r="K328" s="26">
        <f t="shared" si="278"/>
        <v>2014.25</v>
      </c>
      <c r="L328" s="35">
        <f>'Orig Trucks 2183'!P130</f>
        <v>155764.03200000001</v>
      </c>
      <c r="M328" s="35">
        <f>L328-L328*G328</f>
        <v>155764.03200000001</v>
      </c>
      <c r="N328" s="35">
        <f t="shared" si="279"/>
        <v>1854.3337142857144</v>
      </c>
      <c r="O328" s="35">
        <f t="shared" si="280"/>
        <v>22252.004571428573</v>
      </c>
      <c r="P328" s="35">
        <f>+IF(K328&lt;=$M$5,0,IF(J328&gt;$M$4,O328,N328*F328))</f>
        <v>0</v>
      </c>
      <c r="Q328" s="35">
        <f t="shared" si="281"/>
        <v>155764.03200000001</v>
      </c>
      <c r="R328" s="35">
        <f t="shared" si="282"/>
        <v>155764.03200000001</v>
      </c>
      <c r="S328" s="35">
        <f t="shared" si="283"/>
        <v>0</v>
      </c>
    </row>
    <row r="329" spans="1:19" hidden="1" outlineLevel="1">
      <c r="A329" s="130"/>
      <c r="B329" s="130"/>
      <c r="C329" s="131">
        <v>3601</v>
      </c>
      <c r="D329" s="130" t="s">
        <v>692</v>
      </c>
      <c r="E329" s="130">
        <v>2019</v>
      </c>
      <c r="F329" s="130">
        <v>8</v>
      </c>
      <c r="G329" s="132">
        <v>0</v>
      </c>
      <c r="H329" s="130" t="s">
        <v>78</v>
      </c>
      <c r="I329" s="130">
        <f>+IF(J328-$M$4&gt;=3,J328-$M$4,3)</f>
        <v>3</v>
      </c>
      <c r="J329" s="130">
        <f t="shared" si="277"/>
        <v>2022</v>
      </c>
      <c r="K329" s="133">
        <f t="shared" si="278"/>
        <v>2022.6666666666667</v>
      </c>
      <c r="L329" s="134">
        <f>'Orig Trucks 2183'!N130-'Trucks 2183'!L328</f>
        <v>38941.008000000002</v>
      </c>
      <c r="M329" s="134">
        <f>L329-(L329*G329)</f>
        <v>38941.008000000002</v>
      </c>
      <c r="N329" s="134">
        <f t="shared" si="279"/>
        <v>1081.6946666666668</v>
      </c>
      <c r="O329" s="134">
        <f t="shared" si="280"/>
        <v>12980.336000000001</v>
      </c>
      <c r="P329" s="134">
        <f>+IF(K329&lt;=$M$5,0,IF(J329&gt;$M$4,O329,N329*F329))</f>
        <v>8653.5573333333341</v>
      </c>
      <c r="Q329" s="134">
        <f t="shared" si="281"/>
        <v>25960.672000000002</v>
      </c>
      <c r="R329" s="134">
        <f t="shared" si="282"/>
        <v>34614.229333333336</v>
      </c>
      <c r="S329" s="134">
        <f t="shared" si="283"/>
        <v>4326.7786666666652</v>
      </c>
    </row>
    <row r="330" spans="1:19" hidden="1" outlineLevel="1">
      <c r="A330" s="59" t="s">
        <v>284</v>
      </c>
      <c r="C330" s="59">
        <v>3603</v>
      </c>
      <c r="D330" s="59" t="s">
        <v>161</v>
      </c>
      <c r="E330" s="59">
        <v>2007</v>
      </c>
      <c r="F330" s="59">
        <v>3</v>
      </c>
      <c r="G330" s="30">
        <v>0</v>
      </c>
      <c r="H330" s="59" t="s">
        <v>78</v>
      </c>
      <c r="I330" s="59">
        <v>7</v>
      </c>
      <c r="J330" s="59">
        <f t="shared" si="277"/>
        <v>2014</v>
      </c>
      <c r="K330" s="26">
        <f t="shared" si="278"/>
        <v>2014.25</v>
      </c>
      <c r="L330" s="35">
        <f>'Orig Trucks 2183'!P38</f>
        <v>155764.03200000001</v>
      </c>
      <c r="M330" s="35">
        <f>L330-L330*G330</f>
        <v>155764.03200000001</v>
      </c>
      <c r="N330" s="35">
        <f t="shared" si="279"/>
        <v>1854.3337142857144</v>
      </c>
      <c r="O330" s="35">
        <f t="shared" si="280"/>
        <v>22252.004571428573</v>
      </c>
      <c r="P330" s="35">
        <f>+IF(K330&lt;=$M$5,0,IF(J330=$M$4,N330*F330,O330))</f>
        <v>0</v>
      </c>
      <c r="Q330" s="35">
        <f t="shared" si="281"/>
        <v>155764.03200000001</v>
      </c>
      <c r="R330" s="35">
        <f t="shared" si="282"/>
        <v>155764.03200000001</v>
      </c>
      <c r="S330" s="35">
        <f t="shared" si="283"/>
        <v>0</v>
      </c>
    </row>
    <row r="331" spans="1:19" hidden="1" outlineLevel="1">
      <c r="A331" s="130"/>
      <c r="B331" s="130"/>
      <c r="C331" s="131">
        <v>3603</v>
      </c>
      <c r="D331" s="130" t="s">
        <v>660</v>
      </c>
      <c r="E331" s="130">
        <v>2019</v>
      </c>
      <c r="F331" s="130">
        <v>8</v>
      </c>
      <c r="G331" s="132">
        <v>0</v>
      </c>
      <c r="H331" s="130" t="s">
        <v>78</v>
      </c>
      <c r="I331" s="130">
        <f>+IF(J330-$M$4&gt;=3,J330-$M$4,3)</f>
        <v>3</v>
      </c>
      <c r="J331" s="130">
        <f t="shared" si="277"/>
        <v>2022</v>
      </c>
      <c r="K331" s="133">
        <f t="shared" si="278"/>
        <v>2022.6666666666667</v>
      </c>
      <c r="L331" s="134">
        <f>'Orig Trucks 2183'!N38-'Trucks 2183'!L330</f>
        <v>38941.008000000002</v>
      </c>
      <c r="M331" s="134">
        <f>L331-(L331*G331)</f>
        <v>38941.008000000002</v>
      </c>
      <c r="N331" s="134">
        <f t="shared" si="279"/>
        <v>1081.6946666666668</v>
      </c>
      <c r="O331" s="134">
        <f t="shared" si="280"/>
        <v>12980.336000000001</v>
      </c>
      <c r="P331" s="134">
        <f>+IF(K331&lt;=$M$5,0,IF(J331=$M$4,N331*F331,O331))</f>
        <v>8653.5573333333341</v>
      </c>
      <c r="Q331" s="134">
        <f t="shared" si="281"/>
        <v>25960.672000000002</v>
      </c>
      <c r="R331" s="134">
        <f t="shared" si="282"/>
        <v>34614.229333333336</v>
      </c>
      <c r="S331" s="134">
        <f t="shared" si="283"/>
        <v>4326.7786666666652</v>
      </c>
    </row>
    <row r="332" spans="1:19" hidden="1" outlineLevel="1">
      <c r="A332" s="59">
        <v>114278</v>
      </c>
      <c r="B332" s="28" t="s">
        <v>285</v>
      </c>
      <c r="C332" s="59">
        <v>1029</v>
      </c>
      <c r="D332" s="59" t="s">
        <v>537</v>
      </c>
      <c r="E332" s="59">
        <v>2000</v>
      </c>
      <c r="F332" s="59">
        <v>6</v>
      </c>
      <c r="G332" s="30">
        <v>0.2</v>
      </c>
      <c r="H332" s="59" t="s">
        <v>78</v>
      </c>
      <c r="I332" s="59">
        <v>7</v>
      </c>
      <c r="J332" s="59">
        <f t="shared" si="277"/>
        <v>2007</v>
      </c>
      <c r="K332" s="26">
        <f t="shared" si="278"/>
        <v>2007.5</v>
      </c>
      <c r="L332" s="35">
        <v>95126.41</v>
      </c>
      <c r="M332" s="35">
        <f>L332</f>
        <v>95126.41</v>
      </c>
      <c r="N332" s="35">
        <f t="shared" si="279"/>
        <v>1132.4572619047619</v>
      </c>
      <c r="O332" s="35">
        <f t="shared" si="280"/>
        <v>13589.487142857142</v>
      </c>
      <c r="P332" s="35">
        <f>+IF(K332&lt;=$M$5,0,IF(J332&gt;$M$4,O332,N332*F332))</f>
        <v>0</v>
      </c>
      <c r="Q332" s="35">
        <f t="shared" si="281"/>
        <v>95126.41</v>
      </c>
      <c r="R332" s="35">
        <f t="shared" si="282"/>
        <v>95126.41</v>
      </c>
      <c r="S332" s="35">
        <f t="shared" si="283"/>
        <v>0</v>
      </c>
    </row>
    <row r="333" spans="1:19" hidden="1" outlineLevel="1">
      <c r="A333" s="59">
        <v>114279</v>
      </c>
      <c r="B333" s="28" t="s">
        <v>285</v>
      </c>
      <c r="C333" s="59">
        <v>1029</v>
      </c>
      <c r="D333" s="59" t="s">
        <v>544</v>
      </c>
      <c r="E333" s="59">
        <v>2009</v>
      </c>
      <c r="F333" s="59">
        <v>6</v>
      </c>
      <c r="G333" s="30">
        <v>0</v>
      </c>
      <c r="H333" s="59" t="s">
        <v>78</v>
      </c>
      <c r="I333" s="59">
        <v>3</v>
      </c>
      <c r="J333" s="59">
        <f t="shared" si="277"/>
        <v>2012</v>
      </c>
      <c r="K333" s="26">
        <f t="shared" si="278"/>
        <v>2012.5</v>
      </c>
      <c r="L333" s="35">
        <v>2915.87</v>
      </c>
      <c r="M333" s="35">
        <f>L333</f>
        <v>2915.87</v>
      </c>
      <c r="N333" s="35">
        <f t="shared" si="279"/>
        <v>80.996388888888887</v>
      </c>
      <c r="O333" s="35">
        <f t="shared" si="280"/>
        <v>971.95666666666671</v>
      </c>
      <c r="P333" s="35">
        <f>+IF(K333&lt;=$M$5,0,IF(J333&gt;$M$4,O333,N333*F333))</f>
        <v>0</v>
      </c>
      <c r="Q333" s="35">
        <f t="shared" si="281"/>
        <v>2915.87</v>
      </c>
      <c r="R333" s="35">
        <f t="shared" si="282"/>
        <v>2915.87</v>
      </c>
      <c r="S333" s="35">
        <f t="shared" si="283"/>
        <v>0</v>
      </c>
    </row>
    <row r="334" spans="1:19" hidden="1" outlineLevel="1">
      <c r="A334" s="59" t="s">
        <v>151</v>
      </c>
      <c r="B334" s="28">
        <v>114280</v>
      </c>
      <c r="C334" s="59">
        <v>1035</v>
      </c>
      <c r="D334" s="59" t="s">
        <v>538</v>
      </c>
      <c r="E334" s="59">
        <v>2002</v>
      </c>
      <c r="F334" s="59">
        <v>6</v>
      </c>
      <c r="G334" s="30">
        <v>0.2</v>
      </c>
      <c r="H334" s="59" t="s">
        <v>78</v>
      </c>
      <c r="I334" s="59">
        <v>7</v>
      </c>
      <c r="J334" s="59">
        <f t="shared" si="277"/>
        <v>2009</v>
      </c>
      <c r="K334" s="26">
        <f t="shared" si="278"/>
        <v>2009.5</v>
      </c>
      <c r="L334" s="35">
        <v>101881.5</v>
      </c>
      <c r="M334" s="35">
        <f>L334</f>
        <v>101881.5</v>
      </c>
      <c r="N334" s="35">
        <f t="shared" si="279"/>
        <v>1212.875</v>
      </c>
      <c r="O334" s="35">
        <f t="shared" si="280"/>
        <v>14554.5</v>
      </c>
      <c r="P334" s="35">
        <f>+IF(K334&lt;=$M$5,0,IF(J334=$M$4,N334*F334,O334))</f>
        <v>0</v>
      </c>
      <c r="Q334" s="35">
        <f t="shared" si="281"/>
        <v>101881.5</v>
      </c>
      <c r="R334" s="35">
        <f t="shared" si="282"/>
        <v>101881.5</v>
      </c>
      <c r="S334" s="35">
        <f t="shared" si="283"/>
        <v>0</v>
      </c>
    </row>
    <row r="335" spans="1:19" hidden="1" outlineLevel="1"/>
    <row r="336" spans="1:19" hidden="1" outlineLevel="1"/>
    <row r="337" collapsed="1"/>
  </sheetData>
  <sortState ref="A112:S138">
    <sortCondition ref="F112:F138"/>
  </sortState>
  <phoneticPr fontId="12" type="noConversion"/>
  <pageMargins left="0.25" right="0.25" top="0.25" bottom="0.25" header="0.5" footer="0.5"/>
  <pageSetup scale="55" fitToHeight="0"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30"/>
  <sheetViews>
    <sheetView showGridLines="0" view="pageBreakPreview" zoomScale="60" zoomScaleNormal="100" workbookViewId="0">
      <pane xSplit="2" ySplit="11" topLeftCell="C406" activePane="bottomRight" state="frozen"/>
      <selection activeCell="K49" sqref="K49"/>
      <selection pane="topRight" activeCell="K49" sqref="K49"/>
      <selection pane="bottomLeft" activeCell="K49" sqref="K49"/>
      <selection pane="bottomRight" activeCell="G429" sqref="G429"/>
    </sheetView>
  </sheetViews>
  <sheetFormatPr defaultColWidth="11.42578125" defaultRowHeight="12.75" outlineLevelRow="1"/>
  <cols>
    <col min="1" max="1" width="25.42578125" style="52" bestFit="1" customWidth="1"/>
    <col min="2" max="2" width="8.7109375" style="25" bestFit="1" customWidth="1"/>
    <col min="3" max="3" width="49.85546875" bestFit="1" customWidth="1"/>
    <col min="4" max="4" width="11" bestFit="1" customWidth="1"/>
    <col min="5" max="5" width="4.28515625" bestFit="1" customWidth="1"/>
    <col min="6" max="6" width="9.140625" bestFit="1" customWidth="1"/>
    <col min="7" max="7" width="8.7109375" bestFit="1" customWidth="1"/>
    <col min="8" max="8" width="6.42578125" style="5" bestFit="1" customWidth="1"/>
    <col min="9" max="9" width="6" bestFit="1" customWidth="1"/>
    <col min="10" max="10" width="9.28515625" bestFit="1" customWidth="1"/>
    <col min="11" max="12" width="14" bestFit="1" customWidth="1"/>
    <col min="13" max="13" width="12.28515625" customWidth="1"/>
    <col min="14" max="14" width="12.85546875" bestFit="1" customWidth="1"/>
    <col min="15" max="15" width="11.42578125" bestFit="1" customWidth="1"/>
    <col min="16" max="17" width="14" bestFit="1" customWidth="1"/>
    <col min="18" max="18" width="12.85546875" bestFit="1" customWidth="1"/>
    <col min="19" max="21" width="11.42578125" style="25"/>
    <col min="22" max="22" width="11.5703125" style="25" bestFit="1" customWidth="1"/>
    <col min="23" max="16384" width="11.42578125" style="25"/>
  </cols>
  <sheetData>
    <row r="1" spans="1:18" s="59" customFormat="1">
      <c r="A1" s="53"/>
      <c r="C1" s="51" t="s">
        <v>341</v>
      </c>
      <c r="H1" s="28"/>
    </row>
    <row r="2" spans="1:18" s="59" customFormat="1">
      <c r="A2" s="53"/>
      <c r="C2" s="51" t="s">
        <v>26</v>
      </c>
      <c r="H2" s="28"/>
      <c r="L2" s="59">
        <f>'Trucks 2183'!M2</f>
        <v>3</v>
      </c>
      <c r="M2" s="73" t="s">
        <v>742</v>
      </c>
    </row>
    <row r="3" spans="1:18" s="59" customFormat="1">
      <c r="A3" s="53"/>
      <c r="C3" s="74">
        <f>'Summary 2183'!H8</f>
        <v>44500</v>
      </c>
      <c r="H3" s="28"/>
      <c r="L3" s="59">
        <f>'Trucks 2183'!M3</f>
        <v>2021</v>
      </c>
      <c r="M3" s="73" t="s">
        <v>743</v>
      </c>
    </row>
    <row r="4" spans="1:18" s="59" customFormat="1">
      <c r="A4" s="53"/>
      <c r="H4" s="28"/>
      <c r="L4" s="59">
        <f>'Trucks 2183'!M4</f>
        <v>2022</v>
      </c>
      <c r="M4" s="73" t="s">
        <v>249</v>
      </c>
    </row>
    <row r="5" spans="1:18" s="59" customFormat="1">
      <c r="A5" s="53"/>
      <c r="H5" s="28"/>
      <c r="L5" s="34">
        <f>'Trucks 2183'!M5</f>
        <v>2022.25</v>
      </c>
      <c r="M5" s="73" t="s">
        <v>744</v>
      </c>
    </row>
    <row r="6" spans="1:18" s="59" customFormat="1">
      <c r="A6" s="53"/>
      <c r="H6" s="28"/>
      <c r="K6" s="92">
        <f>SUM(K502:K504,K446:K447,K401:K403,K315:K321,K163:K172)</f>
        <v>569590.71999999986</v>
      </c>
    </row>
    <row r="7" spans="1:18" s="59" customFormat="1">
      <c r="A7" s="53"/>
      <c r="D7" s="29"/>
      <c r="E7" s="29"/>
      <c r="F7" s="29"/>
      <c r="G7" s="29"/>
      <c r="H7" s="29"/>
      <c r="I7" s="29"/>
      <c r="J7" s="29"/>
      <c r="K7" s="93">
        <f>K6-569590.52</f>
        <v>0.19999999983701855</v>
      </c>
      <c r="L7" s="29"/>
      <c r="M7" s="29"/>
      <c r="N7" s="29"/>
      <c r="O7" s="29"/>
      <c r="P7" s="29"/>
      <c r="Q7" s="29"/>
      <c r="R7" s="29"/>
    </row>
    <row r="8" spans="1:18" s="59" customFormat="1">
      <c r="A8" s="53"/>
      <c r="D8" s="29"/>
      <c r="E8" s="29"/>
      <c r="F8" s="29"/>
      <c r="G8" s="29"/>
      <c r="H8" s="29"/>
      <c r="I8" s="29"/>
      <c r="J8" s="29"/>
      <c r="K8" s="29"/>
      <c r="L8" s="29"/>
      <c r="M8" s="29"/>
      <c r="N8" s="29"/>
      <c r="O8" s="29"/>
      <c r="P8" s="29" t="s">
        <v>188</v>
      </c>
      <c r="Q8" s="29" t="s">
        <v>43</v>
      </c>
      <c r="R8" s="29"/>
    </row>
    <row r="9" spans="1:18" s="59" customFormat="1">
      <c r="A9" s="53"/>
      <c r="B9" s="59" t="s">
        <v>45</v>
      </c>
      <c r="D9" s="29" t="s">
        <v>46</v>
      </c>
      <c r="E9" s="29"/>
      <c r="F9" s="29" t="s">
        <v>47</v>
      </c>
      <c r="G9" s="29" t="s">
        <v>45</v>
      </c>
      <c r="H9" s="29"/>
      <c r="I9" s="29" t="s">
        <v>48</v>
      </c>
      <c r="J9" s="29"/>
      <c r="K9" s="29" t="s">
        <v>45</v>
      </c>
      <c r="L9" s="29" t="s">
        <v>45</v>
      </c>
      <c r="M9" s="29"/>
      <c r="N9" s="29"/>
      <c r="O9" s="29"/>
      <c r="P9" s="29" t="s">
        <v>54</v>
      </c>
      <c r="Q9" s="29" t="s">
        <v>54</v>
      </c>
      <c r="R9" s="29" t="s">
        <v>55</v>
      </c>
    </row>
    <row r="10" spans="1:18" s="59" customFormat="1">
      <c r="A10" s="53"/>
      <c r="B10" s="59" t="s">
        <v>189</v>
      </c>
      <c r="D10" s="29" t="s">
        <v>57</v>
      </c>
      <c r="E10" s="29"/>
      <c r="F10" s="29" t="s">
        <v>58</v>
      </c>
      <c r="G10" s="29" t="s">
        <v>100</v>
      </c>
      <c r="H10" s="29" t="s">
        <v>59</v>
      </c>
      <c r="I10" s="29" t="s">
        <v>60</v>
      </c>
      <c r="J10" s="29" t="s">
        <v>740</v>
      </c>
      <c r="K10" s="29" t="s">
        <v>49</v>
      </c>
      <c r="L10" s="29" t="s">
        <v>62</v>
      </c>
      <c r="M10" s="29" t="s">
        <v>63</v>
      </c>
      <c r="N10" s="29" t="s">
        <v>745</v>
      </c>
      <c r="O10" s="29" t="s">
        <v>65</v>
      </c>
      <c r="P10" s="29" t="s">
        <v>68</v>
      </c>
      <c r="Q10" s="29" t="s">
        <v>68</v>
      </c>
      <c r="R10" s="29" t="s">
        <v>6</v>
      </c>
    </row>
    <row r="11" spans="1:18" s="59" customFormat="1">
      <c r="A11" s="53" t="s">
        <v>71</v>
      </c>
      <c r="B11" s="59" t="s">
        <v>72</v>
      </c>
      <c r="C11" s="59" t="s">
        <v>73</v>
      </c>
      <c r="D11" s="29" t="s">
        <v>48</v>
      </c>
      <c r="E11" s="29" t="s">
        <v>74</v>
      </c>
      <c r="F11" s="29" t="s">
        <v>51</v>
      </c>
      <c r="G11" s="29" t="s">
        <v>75</v>
      </c>
      <c r="H11" s="29" t="s">
        <v>76</v>
      </c>
      <c r="I11" s="29" t="s">
        <v>62</v>
      </c>
      <c r="J11" s="29" t="s">
        <v>741</v>
      </c>
      <c r="K11" s="29" t="s">
        <v>173</v>
      </c>
      <c r="L11" s="29" t="s">
        <v>173</v>
      </c>
      <c r="M11" s="29" t="s">
        <v>62</v>
      </c>
      <c r="N11" s="29" t="s">
        <v>62</v>
      </c>
      <c r="O11" s="29" t="s">
        <v>77</v>
      </c>
      <c r="P11" s="94">
        <f>+'Summary 2183'!F8</f>
        <v>44136</v>
      </c>
      <c r="Q11" s="94">
        <f>+C3</f>
        <v>44500</v>
      </c>
      <c r="R11" s="94">
        <f>Q11</f>
        <v>44500</v>
      </c>
    </row>
    <row r="12" spans="1:18" s="59" customFormat="1">
      <c r="A12" s="53"/>
      <c r="C12" s="91" t="s">
        <v>390</v>
      </c>
      <c r="H12" s="28"/>
    </row>
    <row r="13" spans="1:18" s="59" customFormat="1" hidden="1" outlineLevel="1">
      <c r="A13" s="53"/>
      <c r="B13" s="59">
        <v>15</v>
      </c>
      <c r="C13" s="59" t="s">
        <v>193</v>
      </c>
      <c r="D13" s="59">
        <v>1993</v>
      </c>
      <c r="E13" s="59">
        <v>10</v>
      </c>
      <c r="F13" s="59">
        <v>0</v>
      </c>
      <c r="G13" s="59" t="s">
        <v>78</v>
      </c>
      <c r="H13" s="28" t="s">
        <v>9</v>
      </c>
      <c r="I13" s="59">
        <f t="shared" ref="I13:I44" si="0">D13+H13</f>
        <v>2003</v>
      </c>
      <c r="J13" s="34">
        <f t="shared" ref="J13:J44" si="1">+I13+(E13/12)</f>
        <v>2003.8333333333333</v>
      </c>
      <c r="K13" s="35">
        <v>4039</v>
      </c>
      <c r="L13" s="35">
        <f t="shared" ref="L13:L44" si="2">K13-K13*F13</f>
        <v>4039</v>
      </c>
      <c r="M13" s="35">
        <f t="shared" ref="M13:M44" si="3">L13/H13/12</f>
        <v>33.658333333333331</v>
      </c>
      <c r="N13" s="35">
        <f t="shared" ref="N13:N44" si="4">+M13*12</f>
        <v>403.9</v>
      </c>
      <c r="O13" s="35">
        <f t="shared" ref="O13:O44" si="5">+IF(J13&lt;=$L$5,0,IF(I13&gt;$L$4,N13,(M13*E13)))</f>
        <v>0</v>
      </c>
      <c r="P13" s="35">
        <f t="shared" ref="P13:P44" si="6">+IF(O13=0,L13,IF($L$3-D13&lt;1,0,(($L$3-D13)*O13)))</f>
        <v>4039</v>
      </c>
      <c r="Q13" s="35">
        <f t="shared" ref="Q13:Q44" si="7">+IF(O13=0,P13,P13+O13)</f>
        <v>4039</v>
      </c>
      <c r="R13" s="35">
        <f t="shared" ref="R13:R44" si="8">+K13-Q13</f>
        <v>0</v>
      </c>
    </row>
    <row r="14" spans="1:18" s="59" customFormat="1" hidden="1" outlineLevel="1">
      <c r="A14" s="53"/>
      <c r="B14" s="59">
        <v>18</v>
      </c>
      <c r="C14" s="59" t="s">
        <v>243</v>
      </c>
      <c r="D14" s="59">
        <v>1993</v>
      </c>
      <c r="E14" s="59">
        <v>7</v>
      </c>
      <c r="F14" s="59">
        <v>0</v>
      </c>
      <c r="G14" s="59" t="s">
        <v>78</v>
      </c>
      <c r="H14" s="28" t="s">
        <v>9</v>
      </c>
      <c r="I14" s="59">
        <f t="shared" si="0"/>
        <v>2003</v>
      </c>
      <c r="J14" s="34">
        <f t="shared" si="1"/>
        <v>2003.5833333333333</v>
      </c>
      <c r="K14" s="35">
        <v>5477</v>
      </c>
      <c r="L14" s="35">
        <f t="shared" si="2"/>
        <v>5477</v>
      </c>
      <c r="M14" s="35">
        <f t="shared" si="3"/>
        <v>45.641666666666673</v>
      </c>
      <c r="N14" s="35">
        <f t="shared" si="4"/>
        <v>547.70000000000005</v>
      </c>
      <c r="O14" s="35">
        <f t="shared" si="5"/>
        <v>0</v>
      </c>
      <c r="P14" s="35">
        <f t="shared" si="6"/>
        <v>5477</v>
      </c>
      <c r="Q14" s="35">
        <f t="shared" si="7"/>
        <v>5477</v>
      </c>
      <c r="R14" s="35">
        <f t="shared" si="8"/>
        <v>0</v>
      </c>
    </row>
    <row r="15" spans="1:18" s="59" customFormat="1" hidden="1" outlineLevel="1">
      <c r="A15" s="53"/>
      <c r="B15" s="59">
        <v>2</v>
      </c>
      <c r="C15" s="59" t="s">
        <v>242</v>
      </c>
      <c r="D15" s="59">
        <v>1993</v>
      </c>
      <c r="E15" s="59">
        <v>8</v>
      </c>
      <c r="F15" s="59">
        <v>0</v>
      </c>
      <c r="G15" s="59" t="s">
        <v>78</v>
      </c>
      <c r="H15" s="28" t="s">
        <v>9</v>
      </c>
      <c r="I15" s="59">
        <f t="shared" si="0"/>
        <v>2003</v>
      </c>
      <c r="J15" s="34">
        <f t="shared" si="1"/>
        <v>2003.6666666666667</v>
      </c>
      <c r="K15" s="35">
        <v>609</v>
      </c>
      <c r="L15" s="35">
        <f t="shared" si="2"/>
        <v>609</v>
      </c>
      <c r="M15" s="35">
        <f t="shared" si="3"/>
        <v>5.0750000000000002</v>
      </c>
      <c r="N15" s="35">
        <f t="shared" si="4"/>
        <v>60.900000000000006</v>
      </c>
      <c r="O15" s="35">
        <f t="shared" si="5"/>
        <v>0</v>
      </c>
      <c r="P15" s="35">
        <f t="shared" si="6"/>
        <v>609</v>
      </c>
      <c r="Q15" s="35">
        <f t="shared" si="7"/>
        <v>609</v>
      </c>
      <c r="R15" s="35">
        <f t="shared" si="8"/>
        <v>0</v>
      </c>
    </row>
    <row r="16" spans="1:18" s="59" customFormat="1" hidden="1" outlineLevel="1">
      <c r="A16" s="53"/>
      <c r="B16" s="59">
        <v>4</v>
      </c>
      <c r="C16" s="59" t="s">
        <v>178</v>
      </c>
      <c r="D16" s="59">
        <v>1993</v>
      </c>
      <c r="E16" s="59">
        <v>5</v>
      </c>
      <c r="F16" s="59">
        <v>0</v>
      </c>
      <c r="G16" s="59" t="s">
        <v>78</v>
      </c>
      <c r="H16" s="28" t="s">
        <v>9</v>
      </c>
      <c r="I16" s="59">
        <f t="shared" si="0"/>
        <v>2003</v>
      </c>
      <c r="J16" s="34">
        <f t="shared" si="1"/>
        <v>2003.4166666666667</v>
      </c>
      <c r="K16" s="35">
        <v>2007</v>
      </c>
      <c r="L16" s="35">
        <f t="shared" si="2"/>
        <v>2007</v>
      </c>
      <c r="M16" s="35">
        <f t="shared" si="3"/>
        <v>16.724999999999998</v>
      </c>
      <c r="N16" s="35">
        <f t="shared" si="4"/>
        <v>200.7</v>
      </c>
      <c r="O16" s="35">
        <f t="shared" si="5"/>
        <v>0</v>
      </c>
      <c r="P16" s="35">
        <f t="shared" si="6"/>
        <v>2007</v>
      </c>
      <c r="Q16" s="35">
        <f t="shared" si="7"/>
        <v>2007</v>
      </c>
      <c r="R16" s="35">
        <f t="shared" si="8"/>
        <v>0</v>
      </c>
    </row>
    <row r="17" spans="1:18" s="59" customFormat="1" hidden="1" outlineLevel="1">
      <c r="A17" s="53"/>
      <c r="B17" s="59">
        <v>3</v>
      </c>
      <c r="C17" s="59" t="s">
        <v>178</v>
      </c>
      <c r="D17" s="59">
        <v>1993</v>
      </c>
      <c r="E17" s="59">
        <v>5</v>
      </c>
      <c r="F17" s="59">
        <v>0</v>
      </c>
      <c r="G17" s="59" t="s">
        <v>78</v>
      </c>
      <c r="H17" s="28" t="s">
        <v>9</v>
      </c>
      <c r="I17" s="59">
        <f t="shared" si="0"/>
        <v>2003</v>
      </c>
      <c r="J17" s="34">
        <f t="shared" si="1"/>
        <v>2003.4166666666667</v>
      </c>
      <c r="K17" s="35">
        <v>1505</v>
      </c>
      <c r="L17" s="35">
        <f t="shared" si="2"/>
        <v>1505</v>
      </c>
      <c r="M17" s="35">
        <f t="shared" si="3"/>
        <v>12.541666666666666</v>
      </c>
      <c r="N17" s="35">
        <f t="shared" si="4"/>
        <v>150.5</v>
      </c>
      <c r="O17" s="35">
        <f t="shared" si="5"/>
        <v>0</v>
      </c>
      <c r="P17" s="35">
        <f t="shared" si="6"/>
        <v>1505</v>
      </c>
      <c r="Q17" s="35">
        <f t="shared" si="7"/>
        <v>1505</v>
      </c>
      <c r="R17" s="35">
        <f t="shared" si="8"/>
        <v>0</v>
      </c>
    </row>
    <row r="18" spans="1:18" s="59" customFormat="1" hidden="1" outlineLevel="1">
      <c r="A18" s="53"/>
      <c r="B18" s="59">
        <v>3</v>
      </c>
      <c r="C18" s="59" t="s">
        <v>178</v>
      </c>
      <c r="D18" s="59">
        <v>1993</v>
      </c>
      <c r="E18" s="59">
        <v>5</v>
      </c>
      <c r="F18" s="59">
        <v>0</v>
      </c>
      <c r="G18" s="59" t="s">
        <v>78</v>
      </c>
      <c r="H18" s="28" t="s">
        <v>9</v>
      </c>
      <c r="I18" s="59">
        <f t="shared" si="0"/>
        <v>2003</v>
      </c>
      <c r="J18" s="34">
        <f t="shared" si="1"/>
        <v>2003.4166666666667</v>
      </c>
      <c r="K18" s="35">
        <v>1505</v>
      </c>
      <c r="L18" s="35">
        <f t="shared" si="2"/>
        <v>1505</v>
      </c>
      <c r="M18" s="35">
        <f t="shared" si="3"/>
        <v>12.541666666666666</v>
      </c>
      <c r="N18" s="35">
        <f t="shared" si="4"/>
        <v>150.5</v>
      </c>
      <c r="O18" s="35">
        <f t="shared" si="5"/>
        <v>0</v>
      </c>
      <c r="P18" s="35">
        <f t="shared" si="6"/>
        <v>1505</v>
      </c>
      <c r="Q18" s="35">
        <f t="shared" si="7"/>
        <v>1505</v>
      </c>
      <c r="R18" s="35">
        <f t="shared" si="8"/>
        <v>0</v>
      </c>
    </row>
    <row r="19" spans="1:18" s="59" customFormat="1" hidden="1" outlineLevel="1">
      <c r="A19" s="53"/>
      <c r="B19" s="59">
        <v>20</v>
      </c>
      <c r="C19" s="59" t="s">
        <v>194</v>
      </c>
      <c r="D19" s="59">
        <v>1994</v>
      </c>
      <c r="E19" s="59">
        <v>7</v>
      </c>
      <c r="F19" s="59">
        <v>0</v>
      </c>
      <c r="G19" s="59" t="s">
        <v>78</v>
      </c>
      <c r="H19" s="28" t="s">
        <v>9</v>
      </c>
      <c r="I19" s="59">
        <f t="shared" si="0"/>
        <v>2004</v>
      </c>
      <c r="J19" s="34">
        <f t="shared" si="1"/>
        <v>2004.5833333333333</v>
      </c>
      <c r="K19" s="35">
        <v>5578</v>
      </c>
      <c r="L19" s="35">
        <f t="shared" si="2"/>
        <v>5578</v>
      </c>
      <c r="M19" s="35">
        <f t="shared" si="3"/>
        <v>46.483333333333327</v>
      </c>
      <c r="N19" s="35">
        <f t="shared" si="4"/>
        <v>557.79999999999995</v>
      </c>
      <c r="O19" s="35">
        <f t="shared" si="5"/>
        <v>0</v>
      </c>
      <c r="P19" s="35">
        <f t="shared" si="6"/>
        <v>5578</v>
      </c>
      <c r="Q19" s="35">
        <f t="shared" si="7"/>
        <v>5578</v>
      </c>
      <c r="R19" s="35">
        <f t="shared" si="8"/>
        <v>0</v>
      </c>
    </row>
    <row r="20" spans="1:18" s="59" customFormat="1" hidden="1" outlineLevel="1">
      <c r="A20" s="53"/>
      <c r="B20" s="59">
        <v>22</v>
      </c>
      <c r="C20" s="59" t="s">
        <v>195</v>
      </c>
      <c r="D20" s="59">
        <v>1994</v>
      </c>
      <c r="E20" s="59">
        <v>8</v>
      </c>
      <c r="F20" s="59">
        <v>0</v>
      </c>
      <c r="G20" s="59" t="s">
        <v>78</v>
      </c>
      <c r="H20" s="28" t="s">
        <v>8</v>
      </c>
      <c r="I20" s="59">
        <f t="shared" si="0"/>
        <v>1999</v>
      </c>
      <c r="J20" s="34">
        <f t="shared" si="1"/>
        <v>1999.6666666666667</v>
      </c>
      <c r="K20" s="35">
        <v>7033</v>
      </c>
      <c r="L20" s="35">
        <f t="shared" si="2"/>
        <v>7033</v>
      </c>
      <c r="M20" s="35">
        <f t="shared" si="3"/>
        <v>117.21666666666665</v>
      </c>
      <c r="N20" s="35">
        <f t="shared" si="4"/>
        <v>1406.6</v>
      </c>
      <c r="O20" s="35">
        <f t="shared" si="5"/>
        <v>0</v>
      </c>
      <c r="P20" s="35">
        <f t="shared" si="6"/>
        <v>7033</v>
      </c>
      <c r="Q20" s="35">
        <f t="shared" si="7"/>
        <v>7033</v>
      </c>
      <c r="R20" s="35">
        <f t="shared" si="8"/>
        <v>0</v>
      </c>
    </row>
    <row r="21" spans="1:18" s="59" customFormat="1" hidden="1" outlineLevel="1">
      <c r="A21" s="53"/>
      <c r="B21" s="59">
        <v>5</v>
      </c>
      <c r="C21" s="59" t="s">
        <v>175</v>
      </c>
      <c r="D21" s="59">
        <v>1994</v>
      </c>
      <c r="E21" s="59">
        <v>9</v>
      </c>
      <c r="F21" s="59">
        <v>0</v>
      </c>
      <c r="G21" s="59" t="s">
        <v>78</v>
      </c>
      <c r="H21" s="28" t="s">
        <v>9</v>
      </c>
      <c r="I21" s="59">
        <f t="shared" si="0"/>
        <v>2004</v>
      </c>
      <c r="J21" s="34">
        <f t="shared" si="1"/>
        <v>2004.75</v>
      </c>
      <c r="K21" s="35">
        <v>1812</v>
      </c>
      <c r="L21" s="35">
        <f t="shared" si="2"/>
        <v>1812</v>
      </c>
      <c r="M21" s="35">
        <f t="shared" si="3"/>
        <v>15.1</v>
      </c>
      <c r="N21" s="35">
        <f t="shared" si="4"/>
        <v>181.2</v>
      </c>
      <c r="O21" s="35">
        <f t="shared" si="5"/>
        <v>0</v>
      </c>
      <c r="P21" s="35">
        <f t="shared" si="6"/>
        <v>1812</v>
      </c>
      <c r="Q21" s="35">
        <f t="shared" si="7"/>
        <v>1812</v>
      </c>
      <c r="R21" s="35">
        <f t="shared" si="8"/>
        <v>0</v>
      </c>
    </row>
    <row r="22" spans="1:18" s="59" customFormat="1" hidden="1" outlineLevel="1">
      <c r="A22" s="53"/>
      <c r="B22" s="59">
        <v>2</v>
      </c>
      <c r="C22" s="59" t="s">
        <v>299</v>
      </c>
      <c r="D22" s="59">
        <v>1994</v>
      </c>
      <c r="E22" s="59">
        <v>9</v>
      </c>
      <c r="F22" s="59">
        <v>0</v>
      </c>
      <c r="G22" s="59" t="s">
        <v>78</v>
      </c>
      <c r="H22" s="28" t="s">
        <v>9</v>
      </c>
      <c r="I22" s="59">
        <f t="shared" si="0"/>
        <v>2004</v>
      </c>
      <c r="J22" s="34">
        <f t="shared" si="1"/>
        <v>2004.75</v>
      </c>
      <c r="K22" s="35">
        <v>8396</v>
      </c>
      <c r="L22" s="35">
        <f t="shared" si="2"/>
        <v>8396</v>
      </c>
      <c r="M22" s="35">
        <f t="shared" si="3"/>
        <v>69.966666666666669</v>
      </c>
      <c r="N22" s="35">
        <f t="shared" si="4"/>
        <v>839.6</v>
      </c>
      <c r="O22" s="35">
        <f t="shared" si="5"/>
        <v>0</v>
      </c>
      <c r="P22" s="35">
        <f t="shared" si="6"/>
        <v>8396</v>
      </c>
      <c r="Q22" s="35">
        <f t="shared" si="7"/>
        <v>8396</v>
      </c>
      <c r="R22" s="35">
        <f t="shared" si="8"/>
        <v>0</v>
      </c>
    </row>
    <row r="23" spans="1:18" s="59" customFormat="1" hidden="1" outlineLevel="1">
      <c r="A23" s="53"/>
      <c r="B23" s="59">
        <v>6</v>
      </c>
      <c r="C23" s="59" t="s">
        <v>300</v>
      </c>
      <c r="D23" s="59">
        <v>1994</v>
      </c>
      <c r="E23" s="59">
        <v>9</v>
      </c>
      <c r="F23" s="59">
        <v>0</v>
      </c>
      <c r="G23" s="59" t="s">
        <v>78</v>
      </c>
      <c r="H23" s="28" t="s">
        <v>9</v>
      </c>
      <c r="I23" s="59">
        <f t="shared" si="0"/>
        <v>2004</v>
      </c>
      <c r="J23" s="34">
        <f t="shared" si="1"/>
        <v>2004.75</v>
      </c>
      <c r="K23" s="35">
        <v>2099</v>
      </c>
      <c r="L23" s="35">
        <f t="shared" si="2"/>
        <v>2099</v>
      </c>
      <c r="M23" s="35">
        <f t="shared" si="3"/>
        <v>17.491666666666667</v>
      </c>
      <c r="N23" s="35">
        <f t="shared" si="4"/>
        <v>209.9</v>
      </c>
      <c r="O23" s="35">
        <f t="shared" si="5"/>
        <v>0</v>
      </c>
      <c r="P23" s="35">
        <f t="shared" si="6"/>
        <v>2099</v>
      </c>
      <c r="Q23" s="35">
        <f t="shared" si="7"/>
        <v>2099</v>
      </c>
      <c r="R23" s="35">
        <f t="shared" si="8"/>
        <v>0</v>
      </c>
    </row>
    <row r="24" spans="1:18" s="59" customFormat="1" hidden="1" outlineLevel="1">
      <c r="A24" s="53"/>
      <c r="B24" s="59">
        <v>3</v>
      </c>
      <c r="C24" s="59" t="s">
        <v>137</v>
      </c>
      <c r="D24" s="59">
        <v>1994</v>
      </c>
      <c r="E24" s="59">
        <v>4</v>
      </c>
      <c r="F24" s="59">
        <v>0</v>
      </c>
      <c r="G24" s="59" t="s">
        <v>78</v>
      </c>
      <c r="H24" s="28" t="s">
        <v>9</v>
      </c>
      <c r="I24" s="59">
        <f t="shared" si="0"/>
        <v>2004</v>
      </c>
      <c r="J24" s="34">
        <f t="shared" si="1"/>
        <v>2004.3333333333333</v>
      </c>
      <c r="K24" s="35">
        <v>1602</v>
      </c>
      <c r="L24" s="35">
        <f t="shared" si="2"/>
        <v>1602</v>
      </c>
      <c r="M24" s="35">
        <f t="shared" si="3"/>
        <v>13.35</v>
      </c>
      <c r="N24" s="35">
        <f t="shared" si="4"/>
        <v>160.19999999999999</v>
      </c>
      <c r="O24" s="35">
        <f t="shared" si="5"/>
        <v>0</v>
      </c>
      <c r="P24" s="35">
        <f t="shared" si="6"/>
        <v>1602</v>
      </c>
      <c r="Q24" s="35">
        <f t="shared" si="7"/>
        <v>1602</v>
      </c>
      <c r="R24" s="35">
        <f t="shared" si="8"/>
        <v>0</v>
      </c>
    </row>
    <row r="25" spans="1:18" s="59" customFormat="1" hidden="1" outlineLevel="1">
      <c r="A25" s="53"/>
      <c r="B25" s="59">
        <v>7</v>
      </c>
      <c r="C25" s="59" t="s">
        <v>179</v>
      </c>
      <c r="D25" s="59">
        <v>1994</v>
      </c>
      <c r="E25" s="59">
        <v>4</v>
      </c>
      <c r="F25" s="59">
        <v>0</v>
      </c>
      <c r="G25" s="59" t="s">
        <v>78</v>
      </c>
      <c r="H25" s="28" t="s">
        <v>9</v>
      </c>
      <c r="I25" s="59">
        <f t="shared" si="0"/>
        <v>2004</v>
      </c>
      <c r="J25" s="34">
        <f t="shared" si="1"/>
        <v>2004.3333333333333</v>
      </c>
      <c r="K25" s="35">
        <v>3739</v>
      </c>
      <c r="L25" s="35">
        <f t="shared" si="2"/>
        <v>3739</v>
      </c>
      <c r="M25" s="35">
        <f t="shared" si="3"/>
        <v>31.158333333333331</v>
      </c>
      <c r="N25" s="35">
        <f t="shared" si="4"/>
        <v>373.9</v>
      </c>
      <c r="O25" s="35">
        <f t="shared" si="5"/>
        <v>0</v>
      </c>
      <c r="P25" s="35">
        <f t="shared" si="6"/>
        <v>3739</v>
      </c>
      <c r="Q25" s="35">
        <f t="shared" si="7"/>
        <v>3739</v>
      </c>
      <c r="R25" s="35">
        <f t="shared" si="8"/>
        <v>0</v>
      </c>
    </row>
    <row r="26" spans="1:18" s="59" customFormat="1" hidden="1" outlineLevel="1">
      <c r="A26" s="53"/>
      <c r="B26" s="59">
        <v>20</v>
      </c>
      <c r="C26" s="59" t="s">
        <v>263</v>
      </c>
      <c r="D26" s="59">
        <v>1995</v>
      </c>
      <c r="E26" s="59">
        <v>11</v>
      </c>
      <c r="F26" s="59">
        <v>0</v>
      </c>
      <c r="G26" s="59" t="s">
        <v>78</v>
      </c>
      <c r="H26" s="28" t="s">
        <v>9</v>
      </c>
      <c r="I26" s="59">
        <f t="shared" si="0"/>
        <v>2005</v>
      </c>
      <c r="J26" s="34">
        <f t="shared" si="1"/>
        <v>2005.9166666666667</v>
      </c>
      <c r="K26" s="35">
        <v>7466</v>
      </c>
      <c r="L26" s="35">
        <f t="shared" si="2"/>
        <v>7466</v>
      </c>
      <c r="M26" s="35">
        <f t="shared" si="3"/>
        <v>62.216666666666669</v>
      </c>
      <c r="N26" s="35">
        <f t="shared" si="4"/>
        <v>746.6</v>
      </c>
      <c r="O26" s="35">
        <f t="shared" si="5"/>
        <v>0</v>
      </c>
      <c r="P26" s="35">
        <f t="shared" si="6"/>
        <v>7466</v>
      </c>
      <c r="Q26" s="35">
        <f t="shared" si="7"/>
        <v>7466</v>
      </c>
      <c r="R26" s="35">
        <f t="shared" si="8"/>
        <v>0</v>
      </c>
    </row>
    <row r="27" spans="1:18" s="59" customFormat="1" hidden="1" outlineLevel="1">
      <c r="A27" s="53"/>
      <c r="B27" s="59">
        <v>15</v>
      </c>
      <c r="C27" s="59" t="s">
        <v>201</v>
      </c>
      <c r="D27" s="59">
        <v>1995</v>
      </c>
      <c r="E27" s="59">
        <v>7</v>
      </c>
      <c r="F27" s="59">
        <v>0</v>
      </c>
      <c r="G27" s="59" t="s">
        <v>78</v>
      </c>
      <c r="H27" s="28" t="s">
        <v>9</v>
      </c>
      <c r="I27" s="59">
        <f t="shared" si="0"/>
        <v>2005</v>
      </c>
      <c r="J27" s="34">
        <f t="shared" si="1"/>
        <v>2005.5833333333333</v>
      </c>
      <c r="K27" s="35">
        <v>4950</v>
      </c>
      <c r="L27" s="35">
        <f t="shared" si="2"/>
        <v>4950</v>
      </c>
      <c r="M27" s="35">
        <f t="shared" si="3"/>
        <v>41.25</v>
      </c>
      <c r="N27" s="35">
        <f t="shared" si="4"/>
        <v>495</v>
      </c>
      <c r="O27" s="35">
        <f t="shared" si="5"/>
        <v>0</v>
      </c>
      <c r="P27" s="35">
        <f t="shared" si="6"/>
        <v>4950</v>
      </c>
      <c r="Q27" s="35">
        <f t="shared" si="7"/>
        <v>4950</v>
      </c>
      <c r="R27" s="35">
        <f t="shared" si="8"/>
        <v>0</v>
      </c>
    </row>
    <row r="28" spans="1:18" s="59" customFormat="1" hidden="1" outlineLevel="1">
      <c r="A28" s="53"/>
      <c r="B28" s="59">
        <v>15</v>
      </c>
      <c r="C28" s="59" t="s">
        <v>23</v>
      </c>
      <c r="D28" s="59">
        <v>1995</v>
      </c>
      <c r="E28" s="59">
        <v>11</v>
      </c>
      <c r="F28" s="59">
        <v>0</v>
      </c>
      <c r="G28" s="59" t="s">
        <v>78</v>
      </c>
      <c r="H28" s="28" t="s">
        <v>9</v>
      </c>
      <c r="I28" s="59">
        <f t="shared" si="0"/>
        <v>2005</v>
      </c>
      <c r="J28" s="34">
        <f t="shared" si="1"/>
        <v>2005.9166666666667</v>
      </c>
      <c r="K28" s="35">
        <v>9251</v>
      </c>
      <c r="L28" s="35">
        <f t="shared" si="2"/>
        <v>9251</v>
      </c>
      <c r="M28" s="35">
        <f t="shared" si="3"/>
        <v>77.091666666666669</v>
      </c>
      <c r="N28" s="35">
        <f t="shared" si="4"/>
        <v>925.1</v>
      </c>
      <c r="O28" s="35">
        <f t="shared" si="5"/>
        <v>0</v>
      </c>
      <c r="P28" s="35">
        <f t="shared" si="6"/>
        <v>9251</v>
      </c>
      <c r="Q28" s="35">
        <f t="shared" si="7"/>
        <v>9251</v>
      </c>
      <c r="R28" s="35">
        <f t="shared" si="8"/>
        <v>0</v>
      </c>
    </row>
    <row r="29" spans="1:18" s="59" customFormat="1" hidden="1" outlineLevel="1">
      <c r="A29" s="53"/>
      <c r="B29" s="59">
        <v>50</v>
      </c>
      <c r="C29" s="59" t="s">
        <v>191</v>
      </c>
      <c r="D29" s="59">
        <v>1996</v>
      </c>
      <c r="E29" s="59">
        <v>9</v>
      </c>
      <c r="F29" s="59">
        <v>0</v>
      </c>
      <c r="G29" s="59" t="s">
        <v>78</v>
      </c>
      <c r="H29" s="28" t="s">
        <v>9</v>
      </c>
      <c r="I29" s="59">
        <f t="shared" si="0"/>
        <v>2006</v>
      </c>
      <c r="J29" s="34">
        <f t="shared" si="1"/>
        <v>2006.75</v>
      </c>
      <c r="K29" s="35">
        <v>17853</v>
      </c>
      <c r="L29" s="35">
        <f t="shared" si="2"/>
        <v>17853</v>
      </c>
      <c r="M29" s="35">
        <f t="shared" si="3"/>
        <v>148.77500000000001</v>
      </c>
      <c r="N29" s="35">
        <f t="shared" si="4"/>
        <v>1785.3000000000002</v>
      </c>
      <c r="O29" s="35">
        <f t="shared" si="5"/>
        <v>0</v>
      </c>
      <c r="P29" s="35">
        <f t="shared" si="6"/>
        <v>17853</v>
      </c>
      <c r="Q29" s="35">
        <f t="shared" si="7"/>
        <v>17853</v>
      </c>
      <c r="R29" s="35">
        <f t="shared" si="8"/>
        <v>0</v>
      </c>
    </row>
    <row r="30" spans="1:18" s="59" customFormat="1" hidden="1" outlineLevel="1">
      <c r="A30" s="53"/>
      <c r="B30" s="59">
        <v>50</v>
      </c>
      <c r="C30" s="59" t="s">
        <v>191</v>
      </c>
      <c r="D30" s="59">
        <v>1996</v>
      </c>
      <c r="E30" s="59">
        <v>12</v>
      </c>
      <c r="F30" s="59">
        <v>0</v>
      </c>
      <c r="G30" s="59" t="s">
        <v>78</v>
      </c>
      <c r="H30" s="28" t="s">
        <v>9</v>
      </c>
      <c r="I30" s="59">
        <f t="shared" si="0"/>
        <v>2006</v>
      </c>
      <c r="J30" s="34">
        <f t="shared" si="1"/>
        <v>2007</v>
      </c>
      <c r="K30" s="35">
        <v>17853</v>
      </c>
      <c r="L30" s="35">
        <f t="shared" si="2"/>
        <v>17853</v>
      </c>
      <c r="M30" s="35">
        <f t="shared" si="3"/>
        <v>148.77500000000001</v>
      </c>
      <c r="N30" s="35">
        <f t="shared" si="4"/>
        <v>1785.3000000000002</v>
      </c>
      <c r="O30" s="35">
        <f t="shared" si="5"/>
        <v>0</v>
      </c>
      <c r="P30" s="35">
        <f t="shared" si="6"/>
        <v>17853</v>
      </c>
      <c r="Q30" s="35">
        <f t="shared" si="7"/>
        <v>17853</v>
      </c>
      <c r="R30" s="35">
        <f t="shared" si="8"/>
        <v>0</v>
      </c>
    </row>
    <row r="31" spans="1:18" s="59" customFormat="1" hidden="1" outlineLevel="1">
      <c r="A31" s="53"/>
      <c r="B31" s="59">
        <v>25</v>
      </c>
      <c r="C31" s="59" t="s">
        <v>263</v>
      </c>
      <c r="D31" s="59">
        <v>1996</v>
      </c>
      <c r="E31" s="59">
        <v>7</v>
      </c>
      <c r="F31" s="59">
        <v>0</v>
      </c>
      <c r="G31" s="59" t="s">
        <v>78</v>
      </c>
      <c r="H31" s="28" t="s">
        <v>9</v>
      </c>
      <c r="I31" s="59">
        <f t="shared" si="0"/>
        <v>2006</v>
      </c>
      <c r="J31" s="34">
        <f t="shared" si="1"/>
        <v>2006.5833333333333</v>
      </c>
      <c r="K31" s="35">
        <v>9332</v>
      </c>
      <c r="L31" s="35">
        <f t="shared" si="2"/>
        <v>9332</v>
      </c>
      <c r="M31" s="35">
        <f t="shared" si="3"/>
        <v>77.766666666666666</v>
      </c>
      <c r="N31" s="35">
        <f t="shared" si="4"/>
        <v>933.2</v>
      </c>
      <c r="O31" s="35">
        <f t="shared" si="5"/>
        <v>0</v>
      </c>
      <c r="P31" s="35">
        <f t="shared" si="6"/>
        <v>9332</v>
      </c>
      <c r="Q31" s="35">
        <f t="shared" si="7"/>
        <v>9332</v>
      </c>
      <c r="R31" s="35">
        <f t="shared" si="8"/>
        <v>0</v>
      </c>
    </row>
    <row r="32" spans="1:18" s="59" customFormat="1" hidden="1" outlineLevel="1">
      <c r="A32" s="53"/>
      <c r="B32" s="59">
        <v>12</v>
      </c>
      <c r="C32" s="59" t="s">
        <v>221</v>
      </c>
      <c r="D32" s="59">
        <v>1996</v>
      </c>
      <c r="E32" s="59">
        <v>3</v>
      </c>
      <c r="F32" s="59">
        <v>0</v>
      </c>
      <c r="G32" s="59" t="s">
        <v>78</v>
      </c>
      <c r="H32" s="28" t="s">
        <v>9</v>
      </c>
      <c r="I32" s="59">
        <f t="shared" si="0"/>
        <v>2006</v>
      </c>
      <c r="J32" s="34">
        <f t="shared" si="1"/>
        <v>2006.25</v>
      </c>
      <c r="K32" s="35">
        <v>2072</v>
      </c>
      <c r="L32" s="35">
        <f t="shared" si="2"/>
        <v>2072</v>
      </c>
      <c r="M32" s="35">
        <f t="shared" si="3"/>
        <v>17.266666666666666</v>
      </c>
      <c r="N32" s="35">
        <f t="shared" si="4"/>
        <v>207.2</v>
      </c>
      <c r="O32" s="35">
        <f t="shared" si="5"/>
        <v>0</v>
      </c>
      <c r="P32" s="35">
        <f t="shared" si="6"/>
        <v>2072</v>
      </c>
      <c r="Q32" s="35">
        <f t="shared" si="7"/>
        <v>2072</v>
      </c>
      <c r="R32" s="35">
        <f t="shared" si="8"/>
        <v>0</v>
      </c>
    </row>
    <row r="33" spans="1:18" s="59" customFormat="1" hidden="1" outlineLevel="1">
      <c r="A33" s="53"/>
      <c r="B33" s="59">
        <v>10</v>
      </c>
      <c r="C33" s="59" t="s">
        <v>221</v>
      </c>
      <c r="D33" s="59">
        <v>1996</v>
      </c>
      <c r="E33" s="59">
        <v>8</v>
      </c>
      <c r="F33" s="59">
        <v>0</v>
      </c>
      <c r="G33" s="59" t="s">
        <v>78</v>
      </c>
      <c r="H33" s="28" t="s">
        <v>9</v>
      </c>
      <c r="I33" s="59">
        <f t="shared" si="0"/>
        <v>2006</v>
      </c>
      <c r="J33" s="34">
        <f t="shared" si="1"/>
        <v>2006.6666666666667</v>
      </c>
      <c r="K33" s="35">
        <v>4155</v>
      </c>
      <c r="L33" s="35">
        <f t="shared" si="2"/>
        <v>4155</v>
      </c>
      <c r="M33" s="35">
        <f t="shared" si="3"/>
        <v>34.625</v>
      </c>
      <c r="N33" s="35">
        <f t="shared" si="4"/>
        <v>415.5</v>
      </c>
      <c r="O33" s="35">
        <f t="shared" si="5"/>
        <v>0</v>
      </c>
      <c r="P33" s="35">
        <f t="shared" si="6"/>
        <v>4155</v>
      </c>
      <c r="Q33" s="35">
        <f t="shared" si="7"/>
        <v>4155</v>
      </c>
      <c r="R33" s="35">
        <f t="shared" si="8"/>
        <v>0</v>
      </c>
    </row>
    <row r="34" spans="1:18" s="59" customFormat="1" hidden="1" outlineLevel="1">
      <c r="A34" s="53"/>
      <c r="B34" s="59">
        <v>12</v>
      </c>
      <c r="C34" s="59" t="s">
        <v>222</v>
      </c>
      <c r="D34" s="59">
        <v>1996</v>
      </c>
      <c r="E34" s="59">
        <v>9</v>
      </c>
      <c r="F34" s="59">
        <v>0</v>
      </c>
      <c r="G34" s="59" t="s">
        <v>78</v>
      </c>
      <c r="H34" s="28" t="s">
        <v>9</v>
      </c>
      <c r="I34" s="59">
        <f t="shared" si="0"/>
        <v>2006</v>
      </c>
      <c r="J34" s="34">
        <f t="shared" si="1"/>
        <v>2006.75</v>
      </c>
      <c r="K34" s="35">
        <v>4986</v>
      </c>
      <c r="L34" s="35">
        <f t="shared" si="2"/>
        <v>4986</v>
      </c>
      <c r="M34" s="35">
        <f t="shared" si="3"/>
        <v>41.550000000000004</v>
      </c>
      <c r="N34" s="35">
        <f t="shared" si="4"/>
        <v>498.6</v>
      </c>
      <c r="O34" s="35">
        <f t="shared" si="5"/>
        <v>0</v>
      </c>
      <c r="P34" s="35">
        <f t="shared" si="6"/>
        <v>4986</v>
      </c>
      <c r="Q34" s="35">
        <f t="shared" si="7"/>
        <v>4986</v>
      </c>
      <c r="R34" s="35">
        <f t="shared" si="8"/>
        <v>0</v>
      </c>
    </row>
    <row r="35" spans="1:18" s="59" customFormat="1" hidden="1" outlineLevel="1">
      <c r="A35" s="53"/>
      <c r="B35" s="59">
        <v>4</v>
      </c>
      <c r="C35" s="59" t="s">
        <v>198</v>
      </c>
      <c r="D35" s="59">
        <v>1997</v>
      </c>
      <c r="E35" s="59">
        <v>12</v>
      </c>
      <c r="F35" s="59">
        <v>0</v>
      </c>
      <c r="G35" s="59" t="s">
        <v>78</v>
      </c>
      <c r="H35" s="28" t="s">
        <v>9</v>
      </c>
      <c r="I35" s="59">
        <f t="shared" si="0"/>
        <v>2007</v>
      </c>
      <c r="J35" s="34">
        <f t="shared" si="1"/>
        <v>2008</v>
      </c>
      <c r="K35" s="35">
        <v>1620</v>
      </c>
      <c r="L35" s="35">
        <f t="shared" si="2"/>
        <v>1620</v>
      </c>
      <c r="M35" s="35">
        <f t="shared" si="3"/>
        <v>13.5</v>
      </c>
      <c r="N35" s="35">
        <f t="shared" si="4"/>
        <v>162</v>
      </c>
      <c r="O35" s="35">
        <f t="shared" si="5"/>
        <v>0</v>
      </c>
      <c r="P35" s="35">
        <f t="shared" si="6"/>
        <v>1620</v>
      </c>
      <c r="Q35" s="35">
        <f t="shared" si="7"/>
        <v>1620</v>
      </c>
      <c r="R35" s="35">
        <f t="shared" si="8"/>
        <v>0</v>
      </c>
    </row>
    <row r="36" spans="1:18" s="59" customFormat="1" hidden="1" outlineLevel="1">
      <c r="A36" s="53"/>
      <c r="B36" s="59">
        <v>10</v>
      </c>
      <c r="C36" s="59" t="s">
        <v>200</v>
      </c>
      <c r="D36" s="59">
        <v>1997</v>
      </c>
      <c r="E36" s="59">
        <v>8</v>
      </c>
      <c r="F36" s="59">
        <v>0</v>
      </c>
      <c r="G36" s="59" t="s">
        <v>78</v>
      </c>
      <c r="H36" s="28" t="s">
        <v>9</v>
      </c>
      <c r="I36" s="59">
        <f t="shared" si="0"/>
        <v>2007</v>
      </c>
      <c r="J36" s="34">
        <f t="shared" si="1"/>
        <v>2007.6666666666667</v>
      </c>
      <c r="K36" s="35">
        <v>3475.2</v>
      </c>
      <c r="L36" s="35">
        <f t="shared" si="2"/>
        <v>3475.2</v>
      </c>
      <c r="M36" s="35">
        <f t="shared" si="3"/>
        <v>28.959999999999997</v>
      </c>
      <c r="N36" s="35">
        <f t="shared" si="4"/>
        <v>347.52</v>
      </c>
      <c r="O36" s="35">
        <f t="shared" si="5"/>
        <v>0</v>
      </c>
      <c r="P36" s="35">
        <f t="shared" si="6"/>
        <v>3475.2</v>
      </c>
      <c r="Q36" s="35">
        <f t="shared" si="7"/>
        <v>3475.2</v>
      </c>
      <c r="R36" s="35">
        <f t="shared" si="8"/>
        <v>0</v>
      </c>
    </row>
    <row r="37" spans="1:18" s="59" customFormat="1" hidden="1" outlineLevel="1">
      <c r="A37" s="53"/>
      <c r="B37" s="59">
        <v>10</v>
      </c>
      <c r="C37" s="59" t="s">
        <v>200</v>
      </c>
      <c r="D37" s="59">
        <v>1997</v>
      </c>
      <c r="E37" s="59">
        <v>11</v>
      </c>
      <c r="F37" s="59">
        <v>0</v>
      </c>
      <c r="G37" s="59" t="s">
        <v>78</v>
      </c>
      <c r="H37" s="28" t="s">
        <v>9</v>
      </c>
      <c r="I37" s="59">
        <f t="shared" si="0"/>
        <v>2007</v>
      </c>
      <c r="J37" s="34">
        <f t="shared" si="1"/>
        <v>2007.9166666666667</v>
      </c>
      <c r="K37" s="35">
        <v>3475.2</v>
      </c>
      <c r="L37" s="35">
        <f t="shared" si="2"/>
        <v>3475.2</v>
      </c>
      <c r="M37" s="35">
        <f t="shared" si="3"/>
        <v>28.959999999999997</v>
      </c>
      <c r="N37" s="35">
        <f t="shared" si="4"/>
        <v>347.52</v>
      </c>
      <c r="O37" s="35">
        <f t="shared" si="5"/>
        <v>0</v>
      </c>
      <c r="P37" s="35">
        <f t="shared" si="6"/>
        <v>3475.2</v>
      </c>
      <c r="Q37" s="35">
        <f t="shared" si="7"/>
        <v>3475.2</v>
      </c>
      <c r="R37" s="35">
        <f t="shared" si="8"/>
        <v>0</v>
      </c>
    </row>
    <row r="38" spans="1:18" s="59" customFormat="1" hidden="1" outlineLevel="1">
      <c r="A38" s="53"/>
      <c r="B38" s="59">
        <v>10</v>
      </c>
      <c r="C38" s="59" t="s">
        <v>200</v>
      </c>
      <c r="D38" s="59">
        <v>1998</v>
      </c>
      <c r="E38" s="59">
        <v>3</v>
      </c>
      <c r="F38" s="59">
        <v>0</v>
      </c>
      <c r="G38" s="59" t="s">
        <v>78</v>
      </c>
      <c r="H38" s="28" t="s">
        <v>9</v>
      </c>
      <c r="I38" s="59">
        <f t="shared" si="0"/>
        <v>2008</v>
      </c>
      <c r="J38" s="34">
        <f t="shared" si="1"/>
        <v>2008.25</v>
      </c>
      <c r="K38" s="35">
        <v>3475.2</v>
      </c>
      <c r="L38" s="35">
        <f t="shared" si="2"/>
        <v>3475.2</v>
      </c>
      <c r="M38" s="35">
        <f t="shared" si="3"/>
        <v>28.959999999999997</v>
      </c>
      <c r="N38" s="35">
        <f t="shared" si="4"/>
        <v>347.52</v>
      </c>
      <c r="O38" s="35">
        <f t="shared" si="5"/>
        <v>0</v>
      </c>
      <c r="P38" s="35">
        <f t="shared" si="6"/>
        <v>3475.2</v>
      </c>
      <c r="Q38" s="35">
        <f t="shared" si="7"/>
        <v>3475.2</v>
      </c>
      <c r="R38" s="35">
        <f t="shared" si="8"/>
        <v>0</v>
      </c>
    </row>
    <row r="39" spans="1:18" s="59" customFormat="1" hidden="1" outlineLevel="1">
      <c r="A39" s="53"/>
      <c r="B39" s="59">
        <v>20</v>
      </c>
      <c r="C39" s="59" t="s">
        <v>298</v>
      </c>
      <c r="D39" s="59">
        <v>1998</v>
      </c>
      <c r="E39" s="59">
        <v>9</v>
      </c>
      <c r="F39" s="59">
        <v>0</v>
      </c>
      <c r="G39" s="59" t="s">
        <v>78</v>
      </c>
      <c r="H39" s="28" t="s">
        <v>9</v>
      </c>
      <c r="I39" s="59">
        <f t="shared" si="0"/>
        <v>2008</v>
      </c>
      <c r="J39" s="34">
        <f t="shared" si="1"/>
        <v>2008.75</v>
      </c>
      <c r="K39" s="35">
        <v>6950.4</v>
      </c>
      <c r="L39" s="35">
        <f t="shared" si="2"/>
        <v>6950.4</v>
      </c>
      <c r="M39" s="35">
        <f t="shared" si="3"/>
        <v>57.919999999999995</v>
      </c>
      <c r="N39" s="35">
        <f t="shared" si="4"/>
        <v>695.04</v>
      </c>
      <c r="O39" s="35">
        <f t="shared" si="5"/>
        <v>0</v>
      </c>
      <c r="P39" s="35">
        <f t="shared" si="6"/>
        <v>6950.4</v>
      </c>
      <c r="Q39" s="35">
        <f t="shared" si="7"/>
        <v>6950.4</v>
      </c>
      <c r="R39" s="35">
        <f t="shared" si="8"/>
        <v>0</v>
      </c>
    </row>
    <row r="40" spans="1:18" s="59" customFormat="1" hidden="1" outlineLevel="1">
      <c r="A40" s="53"/>
      <c r="B40" s="59">
        <v>17</v>
      </c>
      <c r="C40" s="59" t="s">
        <v>178</v>
      </c>
      <c r="D40" s="59">
        <v>1998</v>
      </c>
      <c r="E40" s="59">
        <v>6</v>
      </c>
      <c r="F40" s="59">
        <v>0</v>
      </c>
      <c r="G40" s="59" t="s">
        <v>78</v>
      </c>
      <c r="H40" s="28" t="s">
        <v>9</v>
      </c>
      <c r="I40" s="59">
        <f t="shared" si="0"/>
        <v>2008</v>
      </c>
      <c r="J40" s="34">
        <f t="shared" si="1"/>
        <v>2008.5</v>
      </c>
      <c r="K40" s="35">
        <v>7387.2</v>
      </c>
      <c r="L40" s="35">
        <f t="shared" si="2"/>
        <v>7387.2</v>
      </c>
      <c r="M40" s="35">
        <f t="shared" si="3"/>
        <v>61.56</v>
      </c>
      <c r="N40" s="35">
        <f t="shared" si="4"/>
        <v>738.72</v>
      </c>
      <c r="O40" s="35">
        <f t="shared" si="5"/>
        <v>0</v>
      </c>
      <c r="P40" s="35">
        <f t="shared" si="6"/>
        <v>7387.2</v>
      </c>
      <c r="Q40" s="35">
        <f t="shared" si="7"/>
        <v>7387.2</v>
      </c>
      <c r="R40" s="35">
        <f t="shared" si="8"/>
        <v>0</v>
      </c>
    </row>
    <row r="41" spans="1:18" s="59" customFormat="1" hidden="1" outlineLevel="1">
      <c r="A41" s="53"/>
      <c r="B41" s="59">
        <v>24</v>
      </c>
      <c r="C41" s="59" t="s">
        <v>279</v>
      </c>
      <c r="D41" s="59">
        <v>1999</v>
      </c>
      <c r="E41" s="59">
        <v>12</v>
      </c>
      <c r="F41" s="59">
        <v>0</v>
      </c>
      <c r="G41" s="59" t="s">
        <v>78</v>
      </c>
      <c r="H41" s="28" t="s">
        <v>9</v>
      </c>
      <c r="I41" s="59">
        <f t="shared" si="0"/>
        <v>2009</v>
      </c>
      <c r="J41" s="34">
        <f t="shared" si="1"/>
        <v>2010</v>
      </c>
      <c r="K41" s="35">
        <v>6906.96</v>
      </c>
      <c r="L41" s="35">
        <f t="shared" si="2"/>
        <v>6906.96</v>
      </c>
      <c r="M41" s="35">
        <f t="shared" si="3"/>
        <v>57.558</v>
      </c>
      <c r="N41" s="35">
        <f t="shared" si="4"/>
        <v>690.69600000000003</v>
      </c>
      <c r="O41" s="35">
        <f t="shared" si="5"/>
        <v>0</v>
      </c>
      <c r="P41" s="35">
        <f t="shared" si="6"/>
        <v>6906.96</v>
      </c>
      <c r="Q41" s="35">
        <f t="shared" si="7"/>
        <v>6906.96</v>
      </c>
      <c r="R41" s="35">
        <f t="shared" si="8"/>
        <v>0</v>
      </c>
    </row>
    <row r="42" spans="1:18" s="59" customFormat="1" hidden="1" outlineLevel="1">
      <c r="A42" s="53"/>
      <c r="B42" s="59">
        <v>25</v>
      </c>
      <c r="C42" s="59" t="s">
        <v>297</v>
      </c>
      <c r="D42" s="59">
        <v>1999</v>
      </c>
      <c r="E42" s="59">
        <v>4</v>
      </c>
      <c r="F42" s="59">
        <v>0</v>
      </c>
      <c r="G42" s="59" t="s">
        <v>78</v>
      </c>
      <c r="H42" s="28" t="s">
        <v>9</v>
      </c>
      <c r="I42" s="59">
        <f t="shared" si="0"/>
        <v>2009</v>
      </c>
      <c r="J42" s="34">
        <f t="shared" si="1"/>
        <v>2009.3333333333333</v>
      </c>
      <c r="K42" s="35">
        <v>6689.76</v>
      </c>
      <c r="L42" s="35">
        <f t="shared" si="2"/>
        <v>6689.76</v>
      </c>
      <c r="M42" s="35">
        <f t="shared" si="3"/>
        <v>55.747999999999998</v>
      </c>
      <c r="N42" s="35">
        <f t="shared" si="4"/>
        <v>668.976</v>
      </c>
      <c r="O42" s="35">
        <f t="shared" si="5"/>
        <v>0</v>
      </c>
      <c r="P42" s="35">
        <f t="shared" si="6"/>
        <v>6689.76</v>
      </c>
      <c r="Q42" s="35">
        <f t="shared" si="7"/>
        <v>6689.76</v>
      </c>
      <c r="R42" s="35">
        <f t="shared" si="8"/>
        <v>0</v>
      </c>
    </row>
    <row r="43" spans="1:18" s="59" customFormat="1" hidden="1" outlineLevel="1">
      <c r="A43" s="53"/>
      <c r="B43" s="59">
        <v>20</v>
      </c>
      <c r="C43" s="59" t="s">
        <v>297</v>
      </c>
      <c r="D43" s="59">
        <v>1999</v>
      </c>
      <c r="E43" s="59">
        <v>7</v>
      </c>
      <c r="F43" s="59">
        <v>0</v>
      </c>
      <c r="G43" s="59" t="s">
        <v>78</v>
      </c>
      <c r="H43" s="28" t="s">
        <v>9</v>
      </c>
      <c r="I43" s="59">
        <f t="shared" si="0"/>
        <v>2009</v>
      </c>
      <c r="J43" s="34">
        <f t="shared" si="1"/>
        <v>2009.5833333333333</v>
      </c>
      <c r="K43" s="35">
        <v>4013.86</v>
      </c>
      <c r="L43" s="35">
        <f t="shared" si="2"/>
        <v>4013.86</v>
      </c>
      <c r="M43" s="35">
        <f t="shared" si="3"/>
        <v>33.448833333333333</v>
      </c>
      <c r="N43" s="35">
        <f t="shared" si="4"/>
        <v>401.38599999999997</v>
      </c>
      <c r="O43" s="35">
        <f t="shared" si="5"/>
        <v>0</v>
      </c>
      <c r="P43" s="35">
        <f t="shared" si="6"/>
        <v>4013.86</v>
      </c>
      <c r="Q43" s="35">
        <f t="shared" si="7"/>
        <v>4013.86</v>
      </c>
      <c r="R43" s="35">
        <f t="shared" si="8"/>
        <v>0</v>
      </c>
    </row>
    <row r="44" spans="1:18" s="59" customFormat="1" hidden="1" outlineLevel="1">
      <c r="A44" s="53"/>
      <c r="B44" s="59">
        <v>23</v>
      </c>
      <c r="C44" s="59" t="s">
        <v>190</v>
      </c>
      <c r="D44" s="59">
        <v>1999</v>
      </c>
      <c r="E44" s="59">
        <v>12</v>
      </c>
      <c r="F44" s="59">
        <v>0</v>
      </c>
      <c r="G44" s="59" t="s">
        <v>78</v>
      </c>
      <c r="H44" s="28" t="s">
        <v>9</v>
      </c>
      <c r="I44" s="59">
        <f t="shared" si="0"/>
        <v>2009</v>
      </c>
      <c r="J44" s="34">
        <f t="shared" si="1"/>
        <v>2010</v>
      </c>
      <c r="K44" s="35">
        <v>6429.12</v>
      </c>
      <c r="L44" s="35">
        <f t="shared" si="2"/>
        <v>6429.12</v>
      </c>
      <c r="M44" s="35">
        <f t="shared" si="3"/>
        <v>53.576000000000001</v>
      </c>
      <c r="N44" s="35">
        <f t="shared" si="4"/>
        <v>642.91200000000003</v>
      </c>
      <c r="O44" s="35">
        <f t="shared" si="5"/>
        <v>0</v>
      </c>
      <c r="P44" s="35">
        <f t="shared" si="6"/>
        <v>6429.12</v>
      </c>
      <c r="Q44" s="35">
        <f t="shared" si="7"/>
        <v>6429.12</v>
      </c>
      <c r="R44" s="35">
        <f t="shared" si="8"/>
        <v>0</v>
      </c>
    </row>
    <row r="45" spans="1:18" s="59" customFormat="1" hidden="1" outlineLevel="1">
      <c r="A45" s="53"/>
      <c r="B45" s="59">
        <v>22</v>
      </c>
      <c r="C45" s="59" t="s">
        <v>95</v>
      </c>
      <c r="D45" s="59">
        <v>1999</v>
      </c>
      <c r="E45" s="59">
        <v>7</v>
      </c>
      <c r="F45" s="59">
        <v>0</v>
      </c>
      <c r="G45" s="59" t="s">
        <v>78</v>
      </c>
      <c r="H45" s="28" t="s">
        <v>9</v>
      </c>
      <c r="I45" s="59">
        <f t="shared" ref="I45:I76" si="9">D45+H45</f>
        <v>2009</v>
      </c>
      <c r="J45" s="34">
        <f t="shared" ref="J45:J76" si="10">+I45+(E45/12)</f>
        <v>2009.5833333333333</v>
      </c>
      <c r="K45" s="35">
        <v>6298.8</v>
      </c>
      <c r="L45" s="35">
        <f t="shared" ref="L45:L76" si="11">K45-K45*F45</f>
        <v>6298.8</v>
      </c>
      <c r="M45" s="35">
        <f t="shared" ref="M45:M76" si="12">L45/H45/12</f>
        <v>52.49</v>
      </c>
      <c r="N45" s="35">
        <f t="shared" ref="N45:N76" si="13">+M45*12</f>
        <v>629.88</v>
      </c>
      <c r="O45" s="35">
        <f t="shared" ref="O45:O76" si="14">+IF(J45&lt;=$L$5,0,IF(I45&gt;$L$4,N45,(M45*E45)))</f>
        <v>0</v>
      </c>
      <c r="P45" s="35">
        <f t="shared" ref="P45:P76" si="15">+IF(O45=0,L45,IF($L$3-D45&lt;1,0,(($L$3-D45)*O45)))</f>
        <v>6298.8</v>
      </c>
      <c r="Q45" s="35">
        <f t="shared" ref="Q45:Q76" si="16">+IF(O45=0,P45,P45+O45)</f>
        <v>6298.8</v>
      </c>
      <c r="R45" s="35">
        <f t="shared" ref="R45:R76" si="17">+K45-Q45</f>
        <v>0</v>
      </c>
    </row>
    <row r="46" spans="1:18" s="59" customFormat="1" hidden="1" outlineLevel="1">
      <c r="A46" s="53"/>
      <c r="B46" s="59">
        <v>25</v>
      </c>
      <c r="C46" s="59" t="s">
        <v>97</v>
      </c>
      <c r="D46" s="59">
        <v>1999</v>
      </c>
      <c r="E46" s="59">
        <v>10</v>
      </c>
      <c r="F46" s="59">
        <v>0</v>
      </c>
      <c r="G46" s="59" t="s">
        <v>78</v>
      </c>
      <c r="H46" s="28" t="s">
        <v>9</v>
      </c>
      <c r="I46" s="59">
        <f t="shared" si="9"/>
        <v>2009</v>
      </c>
      <c r="J46" s="34">
        <f t="shared" si="10"/>
        <v>2009.8333333333333</v>
      </c>
      <c r="K46" s="35">
        <v>8427.36</v>
      </c>
      <c r="L46" s="35">
        <f t="shared" si="11"/>
        <v>8427.36</v>
      </c>
      <c r="M46" s="35">
        <f t="shared" si="12"/>
        <v>70.228000000000009</v>
      </c>
      <c r="N46" s="35">
        <f t="shared" si="13"/>
        <v>842.7360000000001</v>
      </c>
      <c r="O46" s="35">
        <f t="shared" si="14"/>
        <v>0</v>
      </c>
      <c r="P46" s="35">
        <f t="shared" si="15"/>
        <v>8427.36</v>
      </c>
      <c r="Q46" s="35">
        <f t="shared" si="16"/>
        <v>8427.36</v>
      </c>
      <c r="R46" s="35">
        <f t="shared" si="17"/>
        <v>0</v>
      </c>
    </row>
    <row r="47" spans="1:18" s="59" customFormat="1" hidden="1" outlineLevel="1">
      <c r="A47" s="53"/>
      <c r="B47" s="59">
        <v>20</v>
      </c>
      <c r="C47" s="59" t="s">
        <v>199</v>
      </c>
      <c r="D47" s="59">
        <v>1999</v>
      </c>
      <c r="E47" s="59">
        <v>4</v>
      </c>
      <c r="F47" s="59">
        <v>0</v>
      </c>
      <c r="G47" s="59" t="s">
        <v>78</v>
      </c>
      <c r="H47" s="28" t="s">
        <v>9</v>
      </c>
      <c r="I47" s="59">
        <f t="shared" si="9"/>
        <v>2009</v>
      </c>
      <c r="J47" s="34">
        <f t="shared" si="10"/>
        <v>2009.3333333333333</v>
      </c>
      <c r="K47" s="35">
        <v>6739.2</v>
      </c>
      <c r="L47" s="35">
        <f t="shared" si="11"/>
        <v>6739.2</v>
      </c>
      <c r="M47" s="35">
        <f t="shared" si="12"/>
        <v>56.16</v>
      </c>
      <c r="N47" s="35">
        <f t="shared" si="13"/>
        <v>673.92</v>
      </c>
      <c r="O47" s="35">
        <f t="shared" si="14"/>
        <v>0</v>
      </c>
      <c r="P47" s="35">
        <f t="shared" si="15"/>
        <v>6739.2</v>
      </c>
      <c r="Q47" s="35">
        <f t="shared" si="16"/>
        <v>6739.2</v>
      </c>
      <c r="R47" s="35">
        <f t="shared" si="17"/>
        <v>0</v>
      </c>
    </row>
    <row r="48" spans="1:18" s="59" customFormat="1" hidden="1" outlineLevel="1">
      <c r="A48" s="53"/>
      <c r="B48" s="59">
        <v>22</v>
      </c>
      <c r="C48" s="59" t="s">
        <v>230</v>
      </c>
      <c r="D48" s="59">
        <v>1999</v>
      </c>
      <c r="E48" s="59">
        <v>12</v>
      </c>
      <c r="F48" s="59">
        <v>0</v>
      </c>
      <c r="G48" s="59" t="s">
        <v>78</v>
      </c>
      <c r="H48" s="28" t="s">
        <v>9</v>
      </c>
      <c r="I48" s="59">
        <f t="shared" si="9"/>
        <v>2009</v>
      </c>
      <c r="J48" s="34">
        <f t="shared" si="10"/>
        <v>2010</v>
      </c>
      <c r="K48" s="35">
        <v>7645.44</v>
      </c>
      <c r="L48" s="35">
        <f t="shared" si="11"/>
        <v>7645.44</v>
      </c>
      <c r="M48" s="35">
        <f t="shared" si="12"/>
        <v>63.711999999999996</v>
      </c>
      <c r="N48" s="35">
        <f t="shared" si="13"/>
        <v>764.54399999999998</v>
      </c>
      <c r="O48" s="35">
        <f t="shared" si="14"/>
        <v>0</v>
      </c>
      <c r="P48" s="35">
        <f t="shared" si="15"/>
        <v>7645.44</v>
      </c>
      <c r="Q48" s="35">
        <f t="shared" si="16"/>
        <v>7645.44</v>
      </c>
      <c r="R48" s="35">
        <f t="shared" si="17"/>
        <v>0</v>
      </c>
    </row>
    <row r="49" spans="1:18" s="59" customFormat="1" hidden="1" outlineLevel="1">
      <c r="A49" s="53"/>
      <c r="B49" s="59">
        <v>20</v>
      </c>
      <c r="C49" s="59" t="s">
        <v>94</v>
      </c>
      <c r="D49" s="59">
        <v>1999</v>
      </c>
      <c r="E49" s="59">
        <v>5</v>
      </c>
      <c r="F49" s="59">
        <v>0</v>
      </c>
      <c r="G49" s="59" t="s">
        <v>78</v>
      </c>
      <c r="H49" s="28" t="s">
        <v>9</v>
      </c>
      <c r="I49" s="59">
        <f t="shared" si="9"/>
        <v>2009</v>
      </c>
      <c r="J49" s="34">
        <f t="shared" si="10"/>
        <v>2009.4166666666667</v>
      </c>
      <c r="K49" s="35">
        <v>6950.4</v>
      </c>
      <c r="L49" s="35">
        <f t="shared" si="11"/>
        <v>6950.4</v>
      </c>
      <c r="M49" s="35">
        <f t="shared" si="12"/>
        <v>57.919999999999995</v>
      </c>
      <c r="N49" s="35">
        <f t="shared" si="13"/>
        <v>695.04</v>
      </c>
      <c r="O49" s="35">
        <f t="shared" si="14"/>
        <v>0</v>
      </c>
      <c r="P49" s="35">
        <f t="shared" si="15"/>
        <v>6950.4</v>
      </c>
      <c r="Q49" s="35">
        <f t="shared" si="16"/>
        <v>6950.4</v>
      </c>
      <c r="R49" s="35">
        <f t="shared" si="17"/>
        <v>0</v>
      </c>
    </row>
    <row r="50" spans="1:18" s="59" customFormat="1" hidden="1" outlineLevel="1">
      <c r="A50" s="53"/>
      <c r="B50" s="59">
        <v>24</v>
      </c>
      <c r="C50" s="59" t="s">
        <v>96</v>
      </c>
      <c r="D50" s="59">
        <v>1999</v>
      </c>
      <c r="E50" s="59">
        <v>7</v>
      </c>
      <c r="F50" s="59">
        <v>0</v>
      </c>
      <c r="G50" s="59" t="s">
        <v>78</v>
      </c>
      <c r="H50" s="28" t="s">
        <v>9</v>
      </c>
      <c r="I50" s="59">
        <f t="shared" si="9"/>
        <v>2009</v>
      </c>
      <c r="J50" s="34">
        <f t="shared" si="10"/>
        <v>2009.5833333333333</v>
      </c>
      <c r="K50" s="35">
        <v>9035.52</v>
      </c>
      <c r="L50" s="35">
        <f t="shared" si="11"/>
        <v>9035.52</v>
      </c>
      <c r="M50" s="35">
        <f t="shared" si="12"/>
        <v>75.296000000000006</v>
      </c>
      <c r="N50" s="35">
        <f t="shared" si="13"/>
        <v>903.55200000000013</v>
      </c>
      <c r="O50" s="35">
        <f t="shared" si="14"/>
        <v>0</v>
      </c>
      <c r="P50" s="35">
        <f t="shared" si="15"/>
        <v>9035.52</v>
      </c>
      <c r="Q50" s="35">
        <f t="shared" si="16"/>
        <v>9035.52</v>
      </c>
      <c r="R50" s="35">
        <f t="shared" si="17"/>
        <v>0</v>
      </c>
    </row>
    <row r="51" spans="1:18" s="59" customFormat="1" hidden="1" outlineLevel="1">
      <c r="A51" s="53"/>
      <c r="B51" s="59">
        <v>30</v>
      </c>
      <c r="C51" s="59" t="s">
        <v>279</v>
      </c>
      <c r="D51" s="59">
        <v>2000</v>
      </c>
      <c r="E51" s="59">
        <v>5</v>
      </c>
      <c r="F51" s="59">
        <v>0</v>
      </c>
      <c r="G51" s="59" t="s">
        <v>78</v>
      </c>
      <c r="H51" s="28" t="s">
        <v>9</v>
      </c>
      <c r="I51" s="59">
        <f t="shared" si="9"/>
        <v>2010</v>
      </c>
      <c r="J51" s="34">
        <f t="shared" si="10"/>
        <v>2010.4166666666667</v>
      </c>
      <c r="K51" s="35">
        <v>8688</v>
      </c>
      <c r="L51" s="35">
        <f t="shared" si="11"/>
        <v>8688</v>
      </c>
      <c r="M51" s="35">
        <f t="shared" si="12"/>
        <v>72.399999999999991</v>
      </c>
      <c r="N51" s="35">
        <f t="shared" si="13"/>
        <v>868.8</v>
      </c>
      <c r="O51" s="35">
        <f t="shared" si="14"/>
        <v>0</v>
      </c>
      <c r="P51" s="35">
        <f t="shared" si="15"/>
        <v>8688</v>
      </c>
      <c r="Q51" s="35">
        <f t="shared" si="16"/>
        <v>8688</v>
      </c>
      <c r="R51" s="35">
        <f t="shared" si="17"/>
        <v>0</v>
      </c>
    </row>
    <row r="52" spans="1:18" s="59" customFormat="1" hidden="1" outlineLevel="1">
      <c r="A52" s="53"/>
      <c r="B52" s="59">
        <v>23</v>
      </c>
      <c r="C52" s="59" t="s">
        <v>98</v>
      </c>
      <c r="D52" s="59">
        <v>2000</v>
      </c>
      <c r="E52" s="59">
        <v>4</v>
      </c>
      <c r="F52" s="59">
        <v>0</v>
      </c>
      <c r="G52" s="59" t="s">
        <v>78</v>
      </c>
      <c r="H52" s="28" t="s">
        <v>9</v>
      </c>
      <c r="I52" s="59">
        <f t="shared" si="9"/>
        <v>2010</v>
      </c>
      <c r="J52" s="34">
        <f t="shared" si="10"/>
        <v>2010.3333333333333</v>
      </c>
      <c r="K52" s="35">
        <v>6429.12</v>
      </c>
      <c r="L52" s="35">
        <f t="shared" si="11"/>
        <v>6429.12</v>
      </c>
      <c r="M52" s="35">
        <f t="shared" si="12"/>
        <v>53.576000000000001</v>
      </c>
      <c r="N52" s="35">
        <f t="shared" si="13"/>
        <v>642.91200000000003</v>
      </c>
      <c r="O52" s="35">
        <f t="shared" si="14"/>
        <v>0</v>
      </c>
      <c r="P52" s="35">
        <f t="shared" si="15"/>
        <v>6429.12</v>
      </c>
      <c r="Q52" s="35">
        <f t="shared" si="16"/>
        <v>6429.12</v>
      </c>
      <c r="R52" s="35">
        <f t="shared" si="17"/>
        <v>0</v>
      </c>
    </row>
    <row r="53" spans="1:18" s="59" customFormat="1" hidden="1" outlineLevel="1">
      <c r="A53" s="53"/>
      <c r="B53" s="59">
        <v>23</v>
      </c>
      <c r="C53" s="59" t="s">
        <v>134</v>
      </c>
      <c r="D53" s="59">
        <v>2000</v>
      </c>
      <c r="E53" s="59">
        <v>5</v>
      </c>
      <c r="F53" s="59">
        <v>0</v>
      </c>
      <c r="G53" s="59" t="s">
        <v>78</v>
      </c>
      <c r="H53" s="28" t="s">
        <v>9</v>
      </c>
      <c r="I53" s="59">
        <f t="shared" si="9"/>
        <v>2010</v>
      </c>
      <c r="J53" s="34">
        <f t="shared" si="10"/>
        <v>2010.4166666666667</v>
      </c>
      <c r="K53" s="35">
        <v>7384.8</v>
      </c>
      <c r="L53" s="35">
        <f t="shared" si="11"/>
        <v>7384.8</v>
      </c>
      <c r="M53" s="35">
        <f t="shared" si="12"/>
        <v>61.54</v>
      </c>
      <c r="N53" s="35">
        <f t="shared" si="13"/>
        <v>738.48</v>
      </c>
      <c r="O53" s="35">
        <f t="shared" si="14"/>
        <v>0</v>
      </c>
      <c r="P53" s="35">
        <f t="shared" si="15"/>
        <v>7384.8</v>
      </c>
      <c r="Q53" s="35">
        <f t="shared" si="16"/>
        <v>7384.8</v>
      </c>
      <c r="R53" s="35">
        <f t="shared" si="17"/>
        <v>0</v>
      </c>
    </row>
    <row r="54" spans="1:18" s="59" customFormat="1" hidden="1" outlineLevel="1">
      <c r="A54" s="53"/>
      <c r="B54" s="59">
        <v>21</v>
      </c>
      <c r="C54" s="59" t="s">
        <v>133</v>
      </c>
      <c r="D54" s="59">
        <v>2000</v>
      </c>
      <c r="E54" s="59">
        <v>9</v>
      </c>
      <c r="F54" s="59">
        <v>0</v>
      </c>
      <c r="G54" s="59" t="s">
        <v>78</v>
      </c>
      <c r="H54" s="28" t="s">
        <v>9</v>
      </c>
      <c r="I54" s="59">
        <f t="shared" si="9"/>
        <v>2010</v>
      </c>
      <c r="J54" s="34">
        <f t="shared" si="10"/>
        <v>2010.75</v>
      </c>
      <c r="K54" s="35">
        <v>6550.18</v>
      </c>
      <c r="L54" s="35">
        <f t="shared" si="11"/>
        <v>6550.18</v>
      </c>
      <c r="M54" s="35">
        <f t="shared" si="12"/>
        <v>54.584833333333336</v>
      </c>
      <c r="N54" s="35">
        <f t="shared" si="13"/>
        <v>655.01800000000003</v>
      </c>
      <c r="O54" s="35">
        <f t="shared" si="14"/>
        <v>0</v>
      </c>
      <c r="P54" s="35">
        <f t="shared" si="15"/>
        <v>6550.18</v>
      </c>
      <c r="Q54" s="35">
        <f t="shared" si="16"/>
        <v>6550.18</v>
      </c>
      <c r="R54" s="35">
        <f t="shared" si="17"/>
        <v>0</v>
      </c>
    </row>
    <row r="55" spans="1:18" s="59" customFormat="1" hidden="1" outlineLevel="1">
      <c r="A55" s="53"/>
      <c r="B55" s="59">
        <v>24</v>
      </c>
      <c r="C55" s="59" t="s">
        <v>263</v>
      </c>
      <c r="D55" s="59">
        <v>2000</v>
      </c>
      <c r="E55" s="59">
        <v>2</v>
      </c>
      <c r="F55" s="59">
        <v>0</v>
      </c>
      <c r="G55" s="59" t="s">
        <v>78</v>
      </c>
      <c r="H55" s="28" t="s">
        <v>9</v>
      </c>
      <c r="I55" s="59">
        <f t="shared" si="9"/>
        <v>2010</v>
      </c>
      <c r="J55" s="34">
        <f t="shared" si="10"/>
        <v>2010.1666666666667</v>
      </c>
      <c r="K55" s="35">
        <v>8145</v>
      </c>
      <c r="L55" s="35">
        <f t="shared" si="11"/>
        <v>8145</v>
      </c>
      <c r="M55" s="35">
        <f t="shared" si="12"/>
        <v>67.875</v>
      </c>
      <c r="N55" s="35">
        <f t="shared" si="13"/>
        <v>814.5</v>
      </c>
      <c r="O55" s="35">
        <f t="shared" si="14"/>
        <v>0</v>
      </c>
      <c r="P55" s="35">
        <f t="shared" si="15"/>
        <v>8145</v>
      </c>
      <c r="Q55" s="35">
        <f t="shared" si="16"/>
        <v>8145</v>
      </c>
      <c r="R55" s="35">
        <f t="shared" si="17"/>
        <v>0</v>
      </c>
    </row>
    <row r="56" spans="1:18" s="59" customFormat="1" hidden="1" outlineLevel="1">
      <c r="A56" s="53"/>
      <c r="B56" s="59">
        <v>25</v>
      </c>
      <c r="C56" s="59" t="s">
        <v>263</v>
      </c>
      <c r="D56" s="59">
        <v>2000</v>
      </c>
      <c r="E56" s="59">
        <v>6</v>
      </c>
      <c r="F56" s="59">
        <v>0</v>
      </c>
      <c r="G56" s="59" t="s">
        <v>78</v>
      </c>
      <c r="H56" s="28" t="s">
        <v>9</v>
      </c>
      <c r="I56" s="59">
        <f t="shared" si="9"/>
        <v>2010</v>
      </c>
      <c r="J56" s="34">
        <f t="shared" si="10"/>
        <v>2010.5</v>
      </c>
      <c r="K56" s="35">
        <v>8427.36</v>
      </c>
      <c r="L56" s="35">
        <f t="shared" si="11"/>
        <v>8427.36</v>
      </c>
      <c r="M56" s="35">
        <f t="shared" si="12"/>
        <v>70.228000000000009</v>
      </c>
      <c r="N56" s="35">
        <f t="shared" si="13"/>
        <v>842.7360000000001</v>
      </c>
      <c r="O56" s="35">
        <f t="shared" si="14"/>
        <v>0</v>
      </c>
      <c r="P56" s="35">
        <f t="shared" si="15"/>
        <v>8427.36</v>
      </c>
      <c r="Q56" s="35">
        <f t="shared" si="16"/>
        <v>8427.36</v>
      </c>
      <c r="R56" s="35">
        <f t="shared" si="17"/>
        <v>0</v>
      </c>
    </row>
    <row r="57" spans="1:18" s="59" customFormat="1" hidden="1" outlineLevel="1">
      <c r="A57" s="53"/>
      <c r="B57" s="59">
        <v>24</v>
      </c>
      <c r="C57" s="59" t="s">
        <v>230</v>
      </c>
      <c r="D57" s="59">
        <v>2000</v>
      </c>
      <c r="E57" s="59">
        <v>5</v>
      </c>
      <c r="F57" s="59">
        <v>0</v>
      </c>
      <c r="G57" s="59" t="s">
        <v>78</v>
      </c>
      <c r="H57" s="28" t="s">
        <v>9</v>
      </c>
      <c r="I57" s="59">
        <f t="shared" si="9"/>
        <v>2010</v>
      </c>
      <c r="J57" s="34">
        <f t="shared" si="10"/>
        <v>2010.4166666666667</v>
      </c>
      <c r="K57" s="35">
        <v>8145</v>
      </c>
      <c r="L57" s="35">
        <f t="shared" si="11"/>
        <v>8145</v>
      </c>
      <c r="M57" s="35">
        <f t="shared" si="12"/>
        <v>67.875</v>
      </c>
      <c r="N57" s="35">
        <f t="shared" si="13"/>
        <v>814.5</v>
      </c>
      <c r="O57" s="35">
        <f t="shared" si="14"/>
        <v>0</v>
      </c>
      <c r="P57" s="35">
        <f t="shared" si="15"/>
        <v>8145</v>
      </c>
      <c r="Q57" s="35">
        <f t="shared" si="16"/>
        <v>8145</v>
      </c>
      <c r="R57" s="35">
        <f t="shared" si="17"/>
        <v>0</v>
      </c>
    </row>
    <row r="58" spans="1:18" s="59" customFormat="1" hidden="1" outlineLevel="1">
      <c r="A58" s="53"/>
      <c r="B58" s="59">
        <v>11</v>
      </c>
      <c r="C58" s="59" t="s">
        <v>230</v>
      </c>
      <c r="D58" s="59">
        <v>2000</v>
      </c>
      <c r="E58" s="59">
        <v>9</v>
      </c>
      <c r="F58" s="59">
        <v>0</v>
      </c>
      <c r="G58" s="59" t="s">
        <v>78</v>
      </c>
      <c r="H58" s="28" t="s">
        <v>9</v>
      </c>
      <c r="I58" s="59">
        <f t="shared" si="9"/>
        <v>2010</v>
      </c>
      <c r="J58" s="34">
        <f t="shared" si="10"/>
        <v>2010.75</v>
      </c>
      <c r="K58" s="35">
        <v>3822.72</v>
      </c>
      <c r="L58" s="35">
        <f t="shared" si="11"/>
        <v>3822.72</v>
      </c>
      <c r="M58" s="35">
        <f t="shared" si="12"/>
        <v>31.855999999999998</v>
      </c>
      <c r="N58" s="35">
        <f t="shared" si="13"/>
        <v>382.27199999999999</v>
      </c>
      <c r="O58" s="35">
        <f t="shared" si="14"/>
        <v>0</v>
      </c>
      <c r="P58" s="35">
        <f t="shared" si="15"/>
        <v>3822.72</v>
      </c>
      <c r="Q58" s="35">
        <f t="shared" si="16"/>
        <v>3822.72</v>
      </c>
      <c r="R58" s="35">
        <f t="shared" si="17"/>
        <v>0</v>
      </c>
    </row>
    <row r="59" spans="1:18" s="59" customFormat="1" hidden="1" outlineLevel="1">
      <c r="A59" s="53"/>
      <c r="B59" s="59">
        <v>13</v>
      </c>
      <c r="C59" s="59" t="s">
        <v>260</v>
      </c>
      <c r="D59" s="59">
        <v>2000</v>
      </c>
      <c r="E59" s="59">
        <v>5</v>
      </c>
      <c r="F59" s="59">
        <v>0</v>
      </c>
      <c r="G59" s="59" t="s">
        <v>78</v>
      </c>
      <c r="H59" s="28" t="s">
        <v>9</v>
      </c>
      <c r="I59" s="59">
        <f t="shared" si="9"/>
        <v>2010</v>
      </c>
      <c r="J59" s="34">
        <f t="shared" si="10"/>
        <v>2010.4166666666667</v>
      </c>
      <c r="K59" s="35">
        <v>4865.28</v>
      </c>
      <c r="L59" s="35">
        <f t="shared" si="11"/>
        <v>4865.28</v>
      </c>
      <c r="M59" s="35">
        <f t="shared" si="12"/>
        <v>40.543999999999997</v>
      </c>
      <c r="N59" s="35">
        <f t="shared" si="13"/>
        <v>486.52799999999996</v>
      </c>
      <c r="O59" s="35">
        <f t="shared" si="14"/>
        <v>0</v>
      </c>
      <c r="P59" s="35">
        <f t="shared" si="15"/>
        <v>4865.28</v>
      </c>
      <c r="Q59" s="35">
        <f t="shared" si="16"/>
        <v>4865.28</v>
      </c>
      <c r="R59" s="35">
        <f t="shared" si="17"/>
        <v>0</v>
      </c>
    </row>
    <row r="60" spans="1:18" s="59" customFormat="1" hidden="1" outlineLevel="1">
      <c r="A60" s="53"/>
      <c r="B60" s="59">
        <v>13</v>
      </c>
      <c r="C60" s="59" t="s">
        <v>260</v>
      </c>
      <c r="D60" s="59">
        <v>2000</v>
      </c>
      <c r="E60" s="59">
        <v>12</v>
      </c>
      <c r="F60" s="59">
        <v>0</v>
      </c>
      <c r="G60" s="59" t="s">
        <v>78</v>
      </c>
      <c r="H60" s="28" t="s">
        <v>9</v>
      </c>
      <c r="I60" s="59">
        <f t="shared" si="9"/>
        <v>2010</v>
      </c>
      <c r="J60" s="34">
        <f t="shared" si="10"/>
        <v>2011</v>
      </c>
      <c r="K60" s="35">
        <v>4756.68</v>
      </c>
      <c r="L60" s="35">
        <f t="shared" si="11"/>
        <v>4756.68</v>
      </c>
      <c r="M60" s="35">
        <f t="shared" si="12"/>
        <v>39.639000000000003</v>
      </c>
      <c r="N60" s="35">
        <f t="shared" si="13"/>
        <v>475.66800000000001</v>
      </c>
      <c r="O60" s="35">
        <f t="shared" si="14"/>
        <v>0</v>
      </c>
      <c r="P60" s="35">
        <f t="shared" si="15"/>
        <v>4756.68</v>
      </c>
      <c r="Q60" s="35">
        <f t="shared" si="16"/>
        <v>4756.68</v>
      </c>
      <c r="R60" s="35">
        <f t="shared" si="17"/>
        <v>0</v>
      </c>
    </row>
    <row r="61" spans="1:18" s="59" customFormat="1" hidden="1" outlineLevel="1">
      <c r="A61" s="53"/>
      <c r="B61" s="59">
        <v>13</v>
      </c>
      <c r="C61" s="59" t="s">
        <v>140</v>
      </c>
      <c r="D61" s="59">
        <v>2000</v>
      </c>
      <c r="E61" s="59">
        <v>5</v>
      </c>
      <c r="F61" s="59">
        <v>0</v>
      </c>
      <c r="G61" s="59" t="s">
        <v>78</v>
      </c>
      <c r="H61" s="28" t="s">
        <v>9</v>
      </c>
      <c r="I61" s="59">
        <f t="shared" si="9"/>
        <v>2010</v>
      </c>
      <c r="J61" s="34">
        <f t="shared" si="10"/>
        <v>2010.4166666666667</v>
      </c>
      <c r="K61" s="35">
        <v>5408.28</v>
      </c>
      <c r="L61" s="35">
        <f t="shared" si="11"/>
        <v>5408.28</v>
      </c>
      <c r="M61" s="35">
        <f t="shared" si="12"/>
        <v>45.068999999999996</v>
      </c>
      <c r="N61" s="35">
        <f t="shared" si="13"/>
        <v>540.82799999999997</v>
      </c>
      <c r="O61" s="35">
        <f t="shared" si="14"/>
        <v>0</v>
      </c>
      <c r="P61" s="35">
        <f t="shared" si="15"/>
        <v>5408.28</v>
      </c>
      <c r="Q61" s="35">
        <f t="shared" si="16"/>
        <v>5408.28</v>
      </c>
      <c r="R61" s="35">
        <f t="shared" si="17"/>
        <v>0</v>
      </c>
    </row>
    <row r="62" spans="1:18" s="59" customFormat="1" hidden="1" outlineLevel="1">
      <c r="A62" s="53"/>
      <c r="B62" s="59">
        <v>13</v>
      </c>
      <c r="C62" s="59" t="s">
        <v>140</v>
      </c>
      <c r="D62" s="59">
        <v>2000</v>
      </c>
      <c r="E62" s="59">
        <v>11</v>
      </c>
      <c r="F62" s="59">
        <v>0</v>
      </c>
      <c r="G62" s="59" t="s">
        <v>78</v>
      </c>
      <c r="H62" s="28" t="s">
        <v>9</v>
      </c>
      <c r="I62" s="59">
        <f t="shared" si="9"/>
        <v>2010</v>
      </c>
      <c r="J62" s="34">
        <f t="shared" si="10"/>
        <v>2010.9166666666667</v>
      </c>
      <c r="K62" s="35">
        <v>5125.92</v>
      </c>
      <c r="L62" s="35">
        <f t="shared" si="11"/>
        <v>5125.92</v>
      </c>
      <c r="M62" s="35">
        <f t="shared" si="12"/>
        <v>42.716000000000001</v>
      </c>
      <c r="N62" s="35">
        <f t="shared" si="13"/>
        <v>512.59199999999998</v>
      </c>
      <c r="O62" s="35">
        <f t="shared" si="14"/>
        <v>0</v>
      </c>
      <c r="P62" s="35">
        <f t="shared" si="15"/>
        <v>5125.92</v>
      </c>
      <c r="Q62" s="35">
        <f t="shared" si="16"/>
        <v>5125.92</v>
      </c>
      <c r="R62" s="35">
        <f t="shared" si="17"/>
        <v>0</v>
      </c>
    </row>
    <row r="63" spans="1:18" s="59" customFormat="1" hidden="1" outlineLevel="1">
      <c r="A63" s="53"/>
      <c r="B63" s="59">
        <v>10</v>
      </c>
      <c r="C63" s="59" t="s">
        <v>140</v>
      </c>
      <c r="D63" s="59">
        <v>2000</v>
      </c>
      <c r="E63" s="59">
        <v>12</v>
      </c>
      <c r="F63" s="59">
        <v>0</v>
      </c>
      <c r="G63" s="59" t="s">
        <v>78</v>
      </c>
      <c r="H63" s="28" t="s">
        <v>9</v>
      </c>
      <c r="I63" s="59">
        <f t="shared" si="9"/>
        <v>2010</v>
      </c>
      <c r="J63" s="34">
        <f t="shared" si="10"/>
        <v>2011</v>
      </c>
      <c r="K63" s="35">
        <v>4083.36</v>
      </c>
      <c r="L63" s="35">
        <f t="shared" si="11"/>
        <v>4083.36</v>
      </c>
      <c r="M63" s="35">
        <f t="shared" si="12"/>
        <v>34.027999999999999</v>
      </c>
      <c r="N63" s="35">
        <f t="shared" si="13"/>
        <v>408.33600000000001</v>
      </c>
      <c r="O63" s="35">
        <f t="shared" si="14"/>
        <v>0</v>
      </c>
      <c r="P63" s="35">
        <f t="shared" si="15"/>
        <v>4083.36</v>
      </c>
      <c r="Q63" s="35">
        <f t="shared" si="16"/>
        <v>4083.36</v>
      </c>
      <c r="R63" s="35">
        <f t="shared" si="17"/>
        <v>0</v>
      </c>
    </row>
    <row r="64" spans="1:18" s="59" customFormat="1" hidden="1" outlineLevel="1">
      <c r="A64" s="53"/>
      <c r="B64" s="59">
        <v>33</v>
      </c>
      <c r="C64" s="59" t="s">
        <v>244</v>
      </c>
      <c r="D64" s="59">
        <v>2000</v>
      </c>
      <c r="E64" s="59">
        <v>3</v>
      </c>
      <c r="F64" s="59">
        <v>0</v>
      </c>
      <c r="G64" s="59" t="s">
        <v>78</v>
      </c>
      <c r="H64" s="28" t="s">
        <v>9</v>
      </c>
      <c r="I64" s="59">
        <f t="shared" si="9"/>
        <v>2010</v>
      </c>
      <c r="J64" s="34">
        <f t="shared" si="10"/>
        <v>2010.25</v>
      </c>
      <c r="K64" s="35">
        <v>14769.6</v>
      </c>
      <c r="L64" s="35">
        <f t="shared" si="11"/>
        <v>14769.6</v>
      </c>
      <c r="M64" s="35">
        <f t="shared" si="12"/>
        <v>123.08</v>
      </c>
      <c r="N64" s="35">
        <f t="shared" si="13"/>
        <v>1476.96</v>
      </c>
      <c r="O64" s="35">
        <f t="shared" si="14"/>
        <v>0</v>
      </c>
      <c r="P64" s="35">
        <f t="shared" si="15"/>
        <v>14769.6</v>
      </c>
      <c r="Q64" s="35">
        <f t="shared" si="16"/>
        <v>14769.6</v>
      </c>
      <c r="R64" s="35">
        <f t="shared" si="17"/>
        <v>0</v>
      </c>
    </row>
    <row r="65" spans="1:18" s="59" customFormat="1" hidden="1" outlineLevel="1">
      <c r="A65" s="53"/>
      <c r="B65" s="59">
        <v>15</v>
      </c>
      <c r="C65" s="59" t="s">
        <v>279</v>
      </c>
      <c r="D65" s="59">
        <v>2001</v>
      </c>
      <c r="E65" s="59">
        <v>3</v>
      </c>
      <c r="F65" s="59">
        <v>0</v>
      </c>
      <c r="G65" s="59" t="s">
        <v>78</v>
      </c>
      <c r="H65" s="28" t="s">
        <v>9</v>
      </c>
      <c r="I65" s="59">
        <f t="shared" si="9"/>
        <v>2011</v>
      </c>
      <c r="J65" s="34">
        <f t="shared" si="10"/>
        <v>2011.25</v>
      </c>
      <c r="K65" s="35">
        <v>4320.1099999999997</v>
      </c>
      <c r="L65" s="35">
        <f t="shared" si="11"/>
        <v>4320.1099999999997</v>
      </c>
      <c r="M65" s="35">
        <f t="shared" si="12"/>
        <v>36.000916666666662</v>
      </c>
      <c r="N65" s="35">
        <f t="shared" si="13"/>
        <v>432.01099999999997</v>
      </c>
      <c r="O65" s="35">
        <f t="shared" si="14"/>
        <v>0</v>
      </c>
      <c r="P65" s="35">
        <f t="shared" si="15"/>
        <v>4320.1099999999997</v>
      </c>
      <c r="Q65" s="35">
        <f t="shared" si="16"/>
        <v>4320.1099999999997</v>
      </c>
      <c r="R65" s="35">
        <f t="shared" si="17"/>
        <v>0</v>
      </c>
    </row>
    <row r="66" spans="1:18" s="59" customFormat="1" hidden="1" outlineLevel="1">
      <c r="A66" s="53"/>
      <c r="B66" s="59">
        <v>12</v>
      </c>
      <c r="C66" s="59" t="s">
        <v>279</v>
      </c>
      <c r="D66" s="59">
        <v>2001</v>
      </c>
      <c r="E66" s="59">
        <v>3</v>
      </c>
      <c r="F66" s="59">
        <v>0</v>
      </c>
      <c r="G66" s="59" t="s">
        <v>78</v>
      </c>
      <c r="H66" s="28" t="s">
        <v>9</v>
      </c>
      <c r="I66" s="59">
        <f t="shared" si="9"/>
        <v>2011</v>
      </c>
      <c r="J66" s="34">
        <f t="shared" si="10"/>
        <v>2011.25</v>
      </c>
      <c r="K66" s="35">
        <v>3492.58</v>
      </c>
      <c r="L66" s="35">
        <f t="shared" si="11"/>
        <v>3492.58</v>
      </c>
      <c r="M66" s="35">
        <f t="shared" si="12"/>
        <v>29.104833333333332</v>
      </c>
      <c r="N66" s="35">
        <f t="shared" si="13"/>
        <v>349.25799999999998</v>
      </c>
      <c r="O66" s="35">
        <f t="shared" si="14"/>
        <v>0</v>
      </c>
      <c r="P66" s="35">
        <f t="shared" si="15"/>
        <v>3492.58</v>
      </c>
      <c r="Q66" s="35">
        <f t="shared" si="16"/>
        <v>3492.58</v>
      </c>
      <c r="R66" s="35">
        <f t="shared" si="17"/>
        <v>0</v>
      </c>
    </row>
    <row r="67" spans="1:18" s="59" customFormat="1" hidden="1" outlineLevel="1">
      <c r="A67" s="53"/>
      <c r="B67" s="59">
        <v>12</v>
      </c>
      <c r="C67" s="59" t="s">
        <v>279</v>
      </c>
      <c r="D67" s="59">
        <v>2001</v>
      </c>
      <c r="E67" s="59">
        <v>6</v>
      </c>
      <c r="F67" s="59">
        <v>0</v>
      </c>
      <c r="G67" s="59" t="s">
        <v>78</v>
      </c>
      <c r="H67" s="28" t="s">
        <v>9</v>
      </c>
      <c r="I67" s="59">
        <f t="shared" si="9"/>
        <v>2011</v>
      </c>
      <c r="J67" s="34">
        <f t="shared" si="10"/>
        <v>2011.5</v>
      </c>
      <c r="K67" s="35">
        <v>3492.48</v>
      </c>
      <c r="L67" s="35">
        <f t="shared" si="11"/>
        <v>3492.48</v>
      </c>
      <c r="M67" s="35">
        <f t="shared" si="12"/>
        <v>29.103999999999999</v>
      </c>
      <c r="N67" s="35">
        <f t="shared" si="13"/>
        <v>349.24799999999999</v>
      </c>
      <c r="O67" s="35">
        <f t="shared" si="14"/>
        <v>0</v>
      </c>
      <c r="P67" s="35">
        <f t="shared" si="15"/>
        <v>3492.48</v>
      </c>
      <c r="Q67" s="35">
        <f t="shared" si="16"/>
        <v>3492.48</v>
      </c>
      <c r="R67" s="35">
        <f t="shared" si="17"/>
        <v>0</v>
      </c>
    </row>
    <row r="68" spans="1:18" s="59" customFormat="1" hidden="1" outlineLevel="1">
      <c r="A68" s="53"/>
      <c r="B68" s="59">
        <v>23</v>
      </c>
      <c r="C68" s="59" t="s">
        <v>263</v>
      </c>
      <c r="D68" s="59">
        <v>2001</v>
      </c>
      <c r="E68" s="59">
        <v>7</v>
      </c>
      <c r="F68" s="59">
        <v>0</v>
      </c>
      <c r="G68" s="59" t="s">
        <v>78</v>
      </c>
      <c r="H68" s="28" t="s">
        <v>9</v>
      </c>
      <c r="I68" s="59">
        <f t="shared" si="9"/>
        <v>2011</v>
      </c>
      <c r="J68" s="34">
        <f t="shared" si="10"/>
        <v>2011.5833333333333</v>
      </c>
      <c r="K68" s="35">
        <v>7659.52</v>
      </c>
      <c r="L68" s="35">
        <f t="shared" si="11"/>
        <v>7659.52</v>
      </c>
      <c r="M68" s="35">
        <f t="shared" si="12"/>
        <v>63.829333333333331</v>
      </c>
      <c r="N68" s="35">
        <f t="shared" si="13"/>
        <v>765.952</v>
      </c>
      <c r="O68" s="35">
        <f t="shared" si="14"/>
        <v>0</v>
      </c>
      <c r="P68" s="35">
        <f t="shared" si="15"/>
        <v>7659.52</v>
      </c>
      <c r="Q68" s="35">
        <f t="shared" si="16"/>
        <v>7659.52</v>
      </c>
      <c r="R68" s="35">
        <f t="shared" si="17"/>
        <v>0</v>
      </c>
    </row>
    <row r="69" spans="1:18" s="59" customFormat="1" hidden="1" outlineLevel="1">
      <c r="A69" s="53"/>
      <c r="B69" s="59">
        <v>7</v>
      </c>
      <c r="C69" s="59" t="s">
        <v>279</v>
      </c>
      <c r="D69" s="59">
        <v>2002</v>
      </c>
      <c r="E69" s="59">
        <v>8</v>
      </c>
      <c r="F69" s="59">
        <v>0</v>
      </c>
      <c r="G69" s="59" t="s">
        <v>78</v>
      </c>
      <c r="H69" s="28" t="s">
        <v>9</v>
      </c>
      <c r="I69" s="59">
        <f t="shared" si="9"/>
        <v>2012</v>
      </c>
      <c r="J69" s="34">
        <f t="shared" si="10"/>
        <v>2012.6666666666667</v>
      </c>
      <c r="K69" s="35">
        <v>1931.2</v>
      </c>
      <c r="L69" s="35">
        <f t="shared" si="11"/>
        <v>1931.2</v>
      </c>
      <c r="M69" s="35">
        <f t="shared" si="12"/>
        <v>16.093333333333334</v>
      </c>
      <c r="N69" s="35">
        <f t="shared" si="13"/>
        <v>193.12</v>
      </c>
      <c r="O69" s="35">
        <f t="shared" si="14"/>
        <v>0</v>
      </c>
      <c r="P69" s="35">
        <f t="shared" si="15"/>
        <v>1931.2</v>
      </c>
      <c r="Q69" s="35">
        <f t="shared" si="16"/>
        <v>1931.2</v>
      </c>
      <c r="R69" s="35">
        <f t="shared" si="17"/>
        <v>0</v>
      </c>
    </row>
    <row r="70" spans="1:18" s="59" customFormat="1" hidden="1" outlineLevel="1">
      <c r="A70" s="53"/>
      <c r="B70" s="59">
        <v>12</v>
      </c>
      <c r="C70" s="59" t="s">
        <v>260</v>
      </c>
      <c r="D70" s="59">
        <v>2002</v>
      </c>
      <c r="E70" s="59">
        <v>6</v>
      </c>
      <c r="F70" s="59">
        <v>0</v>
      </c>
      <c r="G70" s="59" t="s">
        <v>78</v>
      </c>
      <c r="H70" s="28" t="s">
        <v>9</v>
      </c>
      <c r="I70" s="59">
        <f t="shared" si="9"/>
        <v>2012</v>
      </c>
      <c r="J70" s="34">
        <f t="shared" si="10"/>
        <v>2012.5</v>
      </c>
      <c r="K70" s="35">
        <v>4613.12</v>
      </c>
      <c r="L70" s="35">
        <f t="shared" si="11"/>
        <v>4613.12</v>
      </c>
      <c r="M70" s="35">
        <f t="shared" si="12"/>
        <v>38.442666666666668</v>
      </c>
      <c r="N70" s="35">
        <f t="shared" si="13"/>
        <v>461.31200000000001</v>
      </c>
      <c r="O70" s="35">
        <f t="shared" si="14"/>
        <v>0</v>
      </c>
      <c r="P70" s="35">
        <f t="shared" si="15"/>
        <v>4613.12</v>
      </c>
      <c r="Q70" s="35">
        <f t="shared" si="16"/>
        <v>4613.12</v>
      </c>
      <c r="R70" s="35">
        <f t="shared" si="17"/>
        <v>0</v>
      </c>
    </row>
    <row r="71" spans="1:18" s="59" customFormat="1" hidden="1" outlineLevel="1">
      <c r="A71" s="53"/>
      <c r="B71" s="59">
        <v>35</v>
      </c>
      <c r="C71" s="59" t="s">
        <v>244</v>
      </c>
      <c r="D71" s="59">
        <v>2002</v>
      </c>
      <c r="E71" s="59">
        <v>11</v>
      </c>
      <c r="F71" s="59">
        <v>0</v>
      </c>
      <c r="G71" s="59" t="s">
        <v>78</v>
      </c>
      <c r="H71" s="28" t="s">
        <v>9</v>
      </c>
      <c r="I71" s="59">
        <f t="shared" si="9"/>
        <v>2012</v>
      </c>
      <c r="J71" s="34">
        <f t="shared" si="10"/>
        <v>2012.9166666666667</v>
      </c>
      <c r="K71" s="35">
        <v>15748.8</v>
      </c>
      <c r="L71" s="35">
        <f t="shared" si="11"/>
        <v>15748.8</v>
      </c>
      <c r="M71" s="35">
        <f t="shared" si="12"/>
        <v>131.23999999999998</v>
      </c>
      <c r="N71" s="35">
        <f t="shared" si="13"/>
        <v>1574.8799999999997</v>
      </c>
      <c r="O71" s="35">
        <f t="shared" si="14"/>
        <v>0</v>
      </c>
      <c r="P71" s="35">
        <f t="shared" si="15"/>
        <v>15748.8</v>
      </c>
      <c r="Q71" s="35">
        <f t="shared" si="16"/>
        <v>15748.8</v>
      </c>
      <c r="R71" s="35">
        <f t="shared" si="17"/>
        <v>0</v>
      </c>
    </row>
    <row r="72" spans="1:18" s="59" customFormat="1" ht="14.25" hidden="1" customHeight="1" outlineLevel="1">
      <c r="A72" s="53"/>
      <c r="B72" s="59">
        <v>12</v>
      </c>
      <c r="C72" s="59" t="s">
        <v>279</v>
      </c>
      <c r="D72" s="59">
        <v>2003</v>
      </c>
      <c r="E72" s="59">
        <v>11</v>
      </c>
      <c r="F72" s="59">
        <v>0</v>
      </c>
      <c r="G72" s="59" t="s">
        <v>78</v>
      </c>
      <c r="H72" s="28" t="s">
        <v>9</v>
      </c>
      <c r="I72" s="59">
        <f t="shared" si="9"/>
        <v>2013</v>
      </c>
      <c r="J72" s="34">
        <f t="shared" si="10"/>
        <v>2013.9166666666667</v>
      </c>
      <c r="K72" s="35">
        <v>3481.6</v>
      </c>
      <c r="L72" s="35">
        <f t="shared" si="11"/>
        <v>3481.6</v>
      </c>
      <c r="M72" s="35">
        <f t="shared" si="12"/>
        <v>29.013333333333332</v>
      </c>
      <c r="N72" s="35">
        <f t="shared" si="13"/>
        <v>348.15999999999997</v>
      </c>
      <c r="O72" s="35">
        <f t="shared" si="14"/>
        <v>0</v>
      </c>
      <c r="P72" s="35">
        <f t="shared" si="15"/>
        <v>3481.6</v>
      </c>
      <c r="Q72" s="35">
        <f t="shared" si="16"/>
        <v>3481.6</v>
      </c>
      <c r="R72" s="35">
        <f t="shared" si="17"/>
        <v>0</v>
      </c>
    </row>
    <row r="73" spans="1:18" s="59" customFormat="1" hidden="1" outlineLevel="1">
      <c r="A73" s="53"/>
      <c r="B73" s="59">
        <v>19</v>
      </c>
      <c r="C73" s="59" t="s">
        <v>190</v>
      </c>
      <c r="D73" s="59">
        <v>2003</v>
      </c>
      <c r="E73" s="59">
        <v>8</v>
      </c>
      <c r="F73" s="59">
        <v>0</v>
      </c>
      <c r="G73" s="59" t="s">
        <v>78</v>
      </c>
      <c r="H73" s="28" t="s">
        <v>9</v>
      </c>
      <c r="I73" s="59">
        <f t="shared" si="9"/>
        <v>2013</v>
      </c>
      <c r="J73" s="34">
        <f t="shared" si="10"/>
        <v>2013.6666666666667</v>
      </c>
      <c r="K73" s="35">
        <v>5304</v>
      </c>
      <c r="L73" s="35">
        <f t="shared" si="11"/>
        <v>5304</v>
      </c>
      <c r="M73" s="35">
        <f t="shared" si="12"/>
        <v>44.199999999999996</v>
      </c>
      <c r="N73" s="35">
        <f t="shared" si="13"/>
        <v>530.4</v>
      </c>
      <c r="O73" s="35">
        <f t="shared" si="14"/>
        <v>0</v>
      </c>
      <c r="P73" s="35">
        <f t="shared" si="15"/>
        <v>5304</v>
      </c>
      <c r="Q73" s="35">
        <f t="shared" si="16"/>
        <v>5304</v>
      </c>
      <c r="R73" s="35">
        <f t="shared" si="17"/>
        <v>0</v>
      </c>
    </row>
    <row r="74" spans="1:18" s="59" customFormat="1" hidden="1" outlineLevel="1">
      <c r="A74" s="53"/>
      <c r="B74" s="59">
        <v>12</v>
      </c>
      <c r="C74" s="59" t="s">
        <v>263</v>
      </c>
      <c r="D74" s="59">
        <v>2003</v>
      </c>
      <c r="E74" s="59">
        <v>6</v>
      </c>
      <c r="F74" s="59">
        <v>0</v>
      </c>
      <c r="G74" s="59" t="s">
        <v>78</v>
      </c>
      <c r="H74" s="28" t="s">
        <v>9</v>
      </c>
      <c r="I74" s="59">
        <f t="shared" si="9"/>
        <v>2013</v>
      </c>
      <c r="J74" s="34">
        <f t="shared" si="10"/>
        <v>2013.5</v>
      </c>
      <c r="K74" s="35">
        <v>4243.2</v>
      </c>
      <c r="L74" s="35">
        <f t="shared" si="11"/>
        <v>4243.2</v>
      </c>
      <c r="M74" s="35">
        <f t="shared" si="12"/>
        <v>35.36</v>
      </c>
      <c r="N74" s="35">
        <f t="shared" si="13"/>
        <v>424.32</v>
      </c>
      <c r="O74" s="35">
        <f t="shared" si="14"/>
        <v>0</v>
      </c>
      <c r="P74" s="35">
        <f t="shared" si="15"/>
        <v>4243.2</v>
      </c>
      <c r="Q74" s="35">
        <f t="shared" si="16"/>
        <v>4243.2</v>
      </c>
      <c r="R74" s="35">
        <f t="shared" si="17"/>
        <v>0</v>
      </c>
    </row>
    <row r="75" spans="1:18" s="59" customFormat="1" hidden="1" outlineLevel="1">
      <c r="A75" s="53"/>
      <c r="B75" s="59">
        <v>12</v>
      </c>
      <c r="C75" s="59" t="s">
        <v>263</v>
      </c>
      <c r="D75" s="59">
        <v>2003</v>
      </c>
      <c r="E75" s="59">
        <v>10</v>
      </c>
      <c r="F75" s="59">
        <v>0</v>
      </c>
      <c r="G75" s="59" t="s">
        <v>78</v>
      </c>
      <c r="H75" s="28" t="s">
        <v>9</v>
      </c>
      <c r="I75" s="59">
        <f t="shared" si="9"/>
        <v>2013</v>
      </c>
      <c r="J75" s="34">
        <f t="shared" si="10"/>
        <v>2013.8333333333333</v>
      </c>
      <c r="K75" s="35">
        <v>4243.2</v>
      </c>
      <c r="L75" s="35">
        <f t="shared" si="11"/>
        <v>4243.2</v>
      </c>
      <c r="M75" s="35">
        <f t="shared" si="12"/>
        <v>35.36</v>
      </c>
      <c r="N75" s="35">
        <f t="shared" si="13"/>
        <v>424.32</v>
      </c>
      <c r="O75" s="35">
        <f t="shared" si="14"/>
        <v>0</v>
      </c>
      <c r="P75" s="35">
        <f t="shared" si="15"/>
        <v>4243.2</v>
      </c>
      <c r="Q75" s="35">
        <f t="shared" si="16"/>
        <v>4243.2</v>
      </c>
      <c r="R75" s="35">
        <f t="shared" si="17"/>
        <v>0</v>
      </c>
    </row>
    <row r="76" spans="1:18" s="59" customFormat="1" hidden="1" outlineLevel="1">
      <c r="A76" s="53"/>
      <c r="B76" s="59">
        <v>7</v>
      </c>
      <c r="C76" s="59" t="s">
        <v>260</v>
      </c>
      <c r="D76" s="59">
        <v>2003</v>
      </c>
      <c r="E76" s="59">
        <v>12</v>
      </c>
      <c r="F76" s="59">
        <v>0</v>
      </c>
      <c r="G76" s="59" t="s">
        <v>78</v>
      </c>
      <c r="H76" s="28" t="s">
        <v>9</v>
      </c>
      <c r="I76" s="59">
        <f t="shared" si="9"/>
        <v>2013</v>
      </c>
      <c r="J76" s="34">
        <f t="shared" si="10"/>
        <v>2014</v>
      </c>
      <c r="K76" s="35">
        <v>2584</v>
      </c>
      <c r="L76" s="35">
        <f t="shared" si="11"/>
        <v>2584</v>
      </c>
      <c r="M76" s="35">
        <f t="shared" si="12"/>
        <v>21.533333333333331</v>
      </c>
      <c r="N76" s="35">
        <f t="shared" si="13"/>
        <v>258.39999999999998</v>
      </c>
      <c r="O76" s="35">
        <f t="shared" si="14"/>
        <v>0</v>
      </c>
      <c r="P76" s="35">
        <f t="shared" si="15"/>
        <v>2584</v>
      </c>
      <c r="Q76" s="35">
        <f t="shared" si="16"/>
        <v>2584</v>
      </c>
      <c r="R76" s="35">
        <f t="shared" si="17"/>
        <v>0</v>
      </c>
    </row>
    <row r="77" spans="1:18" s="59" customFormat="1" hidden="1" outlineLevel="1">
      <c r="A77" s="53"/>
      <c r="B77" s="59">
        <v>19</v>
      </c>
      <c r="C77" s="59" t="s">
        <v>178</v>
      </c>
      <c r="D77" s="59">
        <v>2003</v>
      </c>
      <c r="E77" s="59">
        <v>7</v>
      </c>
      <c r="F77" s="59">
        <v>0</v>
      </c>
      <c r="G77" s="59" t="s">
        <v>78</v>
      </c>
      <c r="H77" s="28" t="s">
        <v>9</v>
      </c>
      <c r="I77" s="59">
        <f t="shared" ref="I77:I108" si="18">D77+H77</f>
        <v>2013</v>
      </c>
      <c r="J77" s="34">
        <f t="shared" ref="J77:J88" si="19">+I77+(E77/12)</f>
        <v>2013.5833333333333</v>
      </c>
      <c r="K77" s="35">
        <v>8292.6</v>
      </c>
      <c r="L77" s="35">
        <f t="shared" ref="L77:L108" si="20">K77-K77*F77</f>
        <v>8292.6</v>
      </c>
      <c r="M77" s="35">
        <f t="shared" ref="M77:M108" si="21">L77/H77/12</f>
        <v>69.105000000000004</v>
      </c>
      <c r="N77" s="35">
        <f t="shared" ref="N77:N108" si="22">+M77*12</f>
        <v>829.26</v>
      </c>
      <c r="O77" s="35">
        <f t="shared" ref="O77:O108" si="23">+IF(J77&lt;=$L$5,0,IF(I77&gt;$L$4,N77,(M77*E77)))</f>
        <v>0</v>
      </c>
      <c r="P77" s="35">
        <f t="shared" ref="P77:P108" si="24">+IF(O77=0,L77,IF($L$3-D77&lt;1,0,(($L$3-D77)*O77)))</f>
        <v>8292.6</v>
      </c>
      <c r="Q77" s="35">
        <f t="shared" ref="Q77:Q108" si="25">+IF(O77=0,P77,P77+O77)</f>
        <v>8292.6</v>
      </c>
      <c r="R77" s="35">
        <f t="shared" ref="R77:R108" si="26">+K77-Q77</f>
        <v>0</v>
      </c>
    </row>
    <row r="78" spans="1:18" s="59" customFormat="1" hidden="1" outlineLevel="1">
      <c r="A78" s="53"/>
      <c r="B78" s="59">
        <v>35</v>
      </c>
      <c r="C78" s="59" t="s">
        <v>244</v>
      </c>
      <c r="D78" s="59">
        <v>2003</v>
      </c>
      <c r="E78" s="59">
        <v>2</v>
      </c>
      <c r="F78" s="59">
        <v>0</v>
      </c>
      <c r="G78" s="59" t="s">
        <v>78</v>
      </c>
      <c r="H78" s="28" t="s">
        <v>9</v>
      </c>
      <c r="I78" s="59">
        <f t="shared" si="18"/>
        <v>2013</v>
      </c>
      <c r="J78" s="34">
        <f t="shared" si="19"/>
        <v>2013.1666666666667</v>
      </c>
      <c r="K78" s="35">
        <v>15748.8</v>
      </c>
      <c r="L78" s="35">
        <f t="shared" si="20"/>
        <v>15748.8</v>
      </c>
      <c r="M78" s="35">
        <f t="shared" si="21"/>
        <v>131.23999999999998</v>
      </c>
      <c r="N78" s="35">
        <f t="shared" si="22"/>
        <v>1574.8799999999997</v>
      </c>
      <c r="O78" s="35">
        <f t="shared" si="23"/>
        <v>0</v>
      </c>
      <c r="P78" s="35">
        <f t="shared" si="24"/>
        <v>15748.8</v>
      </c>
      <c r="Q78" s="35">
        <f t="shared" si="25"/>
        <v>15748.8</v>
      </c>
      <c r="R78" s="35">
        <f t="shared" si="26"/>
        <v>0</v>
      </c>
    </row>
    <row r="79" spans="1:18" s="59" customFormat="1" hidden="1" outlineLevel="1">
      <c r="A79" s="53"/>
      <c r="B79" s="59">
        <v>35</v>
      </c>
      <c r="C79" s="59" t="s">
        <v>244</v>
      </c>
      <c r="D79" s="59">
        <v>2003</v>
      </c>
      <c r="E79" s="59">
        <v>8</v>
      </c>
      <c r="F79" s="59">
        <v>0</v>
      </c>
      <c r="G79" s="59" t="s">
        <v>78</v>
      </c>
      <c r="H79" s="28" t="s">
        <v>9</v>
      </c>
      <c r="I79" s="59">
        <f t="shared" si="18"/>
        <v>2013</v>
      </c>
      <c r="J79" s="34">
        <f t="shared" si="19"/>
        <v>2013.6666666666667</v>
      </c>
      <c r="K79" s="35">
        <v>15748.8</v>
      </c>
      <c r="L79" s="35">
        <f t="shared" si="20"/>
        <v>15748.8</v>
      </c>
      <c r="M79" s="35">
        <f t="shared" si="21"/>
        <v>131.23999999999998</v>
      </c>
      <c r="N79" s="35">
        <f t="shared" si="22"/>
        <v>1574.8799999999997</v>
      </c>
      <c r="O79" s="35">
        <f t="shared" si="23"/>
        <v>0</v>
      </c>
      <c r="P79" s="35">
        <f t="shared" si="24"/>
        <v>15748.8</v>
      </c>
      <c r="Q79" s="35">
        <f t="shared" si="25"/>
        <v>15748.8</v>
      </c>
      <c r="R79" s="35">
        <f t="shared" si="26"/>
        <v>0</v>
      </c>
    </row>
    <row r="80" spans="1:18" s="59" customFormat="1" hidden="1" outlineLevel="1">
      <c r="A80" s="53"/>
      <c r="B80" s="59">
        <v>14</v>
      </c>
      <c r="C80" s="59" t="s">
        <v>279</v>
      </c>
      <c r="D80" s="59">
        <v>2004</v>
      </c>
      <c r="E80" s="59">
        <v>3</v>
      </c>
      <c r="F80" s="59">
        <v>0</v>
      </c>
      <c r="G80" s="59" t="s">
        <v>78</v>
      </c>
      <c r="H80" s="28" t="s">
        <v>9</v>
      </c>
      <c r="I80" s="59">
        <f t="shared" si="18"/>
        <v>2014</v>
      </c>
      <c r="J80" s="34">
        <f t="shared" si="19"/>
        <v>2014.25</v>
      </c>
      <c r="K80" s="35">
        <v>3960.32</v>
      </c>
      <c r="L80" s="35">
        <f t="shared" si="20"/>
        <v>3960.32</v>
      </c>
      <c r="M80" s="35">
        <f t="shared" si="21"/>
        <v>33.00266666666667</v>
      </c>
      <c r="N80" s="35">
        <f t="shared" si="22"/>
        <v>396.03200000000004</v>
      </c>
      <c r="O80" s="35">
        <f t="shared" si="23"/>
        <v>0</v>
      </c>
      <c r="P80" s="35">
        <f t="shared" si="24"/>
        <v>3960.32</v>
      </c>
      <c r="Q80" s="35">
        <f t="shared" si="25"/>
        <v>3960.32</v>
      </c>
      <c r="R80" s="35">
        <f t="shared" si="26"/>
        <v>0</v>
      </c>
    </row>
    <row r="81" spans="1:18" s="59" customFormat="1" hidden="1" outlineLevel="1">
      <c r="A81" s="53"/>
      <c r="B81" s="59">
        <v>12</v>
      </c>
      <c r="C81" s="59" t="s">
        <v>279</v>
      </c>
      <c r="D81" s="59">
        <v>2004</v>
      </c>
      <c r="E81" s="59">
        <v>5</v>
      </c>
      <c r="F81" s="59">
        <v>0</v>
      </c>
      <c r="G81" s="59" t="s">
        <v>78</v>
      </c>
      <c r="H81" s="28" t="s">
        <v>9</v>
      </c>
      <c r="I81" s="59">
        <f t="shared" si="18"/>
        <v>2014</v>
      </c>
      <c r="J81" s="34">
        <f t="shared" si="19"/>
        <v>2014.4166666666667</v>
      </c>
      <c r="K81" s="35">
        <v>3525.12</v>
      </c>
      <c r="L81" s="35">
        <f t="shared" si="20"/>
        <v>3525.12</v>
      </c>
      <c r="M81" s="35">
        <f t="shared" si="21"/>
        <v>29.376000000000001</v>
      </c>
      <c r="N81" s="35">
        <f t="shared" si="22"/>
        <v>352.512</v>
      </c>
      <c r="O81" s="35">
        <f t="shared" si="23"/>
        <v>0</v>
      </c>
      <c r="P81" s="35">
        <f t="shared" si="24"/>
        <v>3525.12</v>
      </c>
      <c r="Q81" s="35">
        <f t="shared" si="25"/>
        <v>3525.12</v>
      </c>
      <c r="R81" s="35">
        <f t="shared" si="26"/>
        <v>0</v>
      </c>
    </row>
    <row r="82" spans="1:18" s="59" customFormat="1" hidden="1" outlineLevel="1">
      <c r="A82" s="53"/>
      <c r="B82" s="59">
        <v>15</v>
      </c>
      <c r="C82" s="59" t="s">
        <v>279</v>
      </c>
      <c r="D82" s="59">
        <v>2004</v>
      </c>
      <c r="E82" s="59">
        <v>6</v>
      </c>
      <c r="F82" s="59">
        <v>0</v>
      </c>
      <c r="G82" s="59" t="s">
        <v>78</v>
      </c>
      <c r="H82" s="28" t="s">
        <v>9</v>
      </c>
      <c r="I82" s="59">
        <f t="shared" si="18"/>
        <v>2014</v>
      </c>
      <c r="J82" s="34">
        <f t="shared" si="19"/>
        <v>2014.5</v>
      </c>
      <c r="K82" s="35">
        <v>4156.16</v>
      </c>
      <c r="L82" s="35">
        <f t="shared" si="20"/>
        <v>4156.16</v>
      </c>
      <c r="M82" s="35">
        <f t="shared" si="21"/>
        <v>34.634666666666668</v>
      </c>
      <c r="N82" s="35">
        <f t="shared" si="22"/>
        <v>415.61599999999999</v>
      </c>
      <c r="O82" s="35">
        <f t="shared" si="23"/>
        <v>0</v>
      </c>
      <c r="P82" s="35">
        <f t="shared" si="24"/>
        <v>4156.16</v>
      </c>
      <c r="Q82" s="35">
        <f t="shared" si="25"/>
        <v>4156.16</v>
      </c>
      <c r="R82" s="35">
        <f t="shared" si="26"/>
        <v>0</v>
      </c>
    </row>
    <row r="83" spans="1:18" s="59" customFormat="1" hidden="1" outlineLevel="1">
      <c r="A83" s="53"/>
      <c r="B83" s="59">
        <v>13</v>
      </c>
      <c r="C83" s="59" t="s">
        <v>279</v>
      </c>
      <c r="D83" s="59">
        <v>2004</v>
      </c>
      <c r="E83" s="59">
        <v>6</v>
      </c>
      <c r="F83" s="59">
        <v>0</v>
      </c>
      <c r="G83" s="59" t="s">
        <v>78</v>
      </c>
      <c r="H83" s="28" t="s">
        <v>9</v>
      </c>
      <c r="I83" s="59">
        <f t="shared" si="18"/>
        <v>2014</v>
      </c>
      <c r="J83" s="34">
        <f t="shared" si="19"/>
        <v>2014.5</v>
      </c>
      <c r="K83" s="35">
        <v>3720.96</v>
      </c>
      <c r="L83" s="35">
        <f t="shared" si="20"/>
        <v>3720.96</v>
      </c>
      <c r="M83" s="35">
        <f t="shared" si="21"/>
        <v>31.007999999999999</v>
      </c>
      <c r="N83" s="35">
        <f t="shared" si="22"/>
        <v>372.096</v>
      </c>
      <c r="O83" s="35">
        <f t="shared" si="23"/>
        <v>0</v>
      </c>
      <c r="P83" s="35">
        <f t="shared" si="24"/>
        <v>3720.96</v>
      </c>
      <c r="Q83" s="35">
        <f t="shared" si="25"/>
        <v>3720.96</v>
      </c>
      <c r="R83" s="35">
        <f t="shared" si="26"/>
        <v>0</v>
      </c>
    </row>
    <row r="84" spans="1:18" s="59" customFormat="1" hidden="1" outlineLevel="1">
      <c r="A84" s="53"/>
      <c r="B84" s="59">
        <v>17</v>
      </c>
      <c r="C84" s="59" t="s">
        <v>279</v>
      </c>
      <c r="D84" s="59">
        <v>2004</v>
      </c>
      <c r="E84" s="59">
        <v>7</v>
      </c>
      <c r="F84" s="59">
        <v>0</v>
      </c>
      <c r="G84" s="59" t="s">
        <v>78</v>
      </c>
      <c r="H84" s="28" t="s">
        <v>9</v>
      </c>
      <c r="I84" s="59">
        <f t="shared" si="18"/>
        <v>2014</v>
      </c>
      <c r="J84" s="34">
        <f t="shared" si="19"/>
        <v>2014.5833333333333</v>
      </c>
      <c r="K84" s="35">
        <v>4961.28</v>
      </c>
      <c r="L84" s="35">
        <f t="shared" si="20"/>
        <v>4961.28</v>
      </c>
      <c r="M84" s="35">
        <f t="shared" si="21"/>
        <v>41.344000000000001</v>
      </c>
      <c r="N84" s="35">
        <f t="shared" si="22"/>
        <v>496.12800000000004</v>
      </c>
      <c r="O84" s="35">
        <f t="shared" si="23"/>
        <v>0</v>
      </c>
      <c r="P84" s="35">
        <f t="shared" si="24"/>
        <v>4961.28</v>
      </c>
      <c r="Q84" s="35">
        <f t="shared" si="25"/>
        <v>4961.28</v>
      </c>
      <c r="R84" s="35">
        <f t="shared" si="26"/>
        <v>0</v>
      </c>
    </row>
    <row r="85" spans="1:18" s="59" customFormat="1" hidden="1" outlineLevel="1">
      <c r="A85" s="53"/>
      <c r="B85" s="59">
        <v>25</v>
      </c>
      <c r="C85" s="59" t="s">
        <v>263</v>
      </c>
      <c r="D85" s="59">
        <v>2004</v>
      </c>
      <c r="E85" s="59">
        <v>1</v>
      </c>
      <c r="F85" s="59">
        <v>0</v>
      </c>
      <c r="G85" s="59" t="s">
        <v>78</v>
      </c>
      <c r="H85" s="28" t="s">
        <v>9</v>
      </c>
      <c r="I85" s="59">
        <f t="shared" si="18"/>
        <v>2014</v>
      </c>
      <c r="J85" s="34">
        <f t="shared" si="19"/>
        <v>2014.0833333333333</v>
      </c>
      <c r="K85" s="35">
        <v>8486.4</v>
      </c>
      <c r="L85" s="35">
        <f t="shared" si="20"/>
        <v>8486.4</v>
      </c>
      <c r="M85" s="35">
        <f t="shared" si="21"/>
        <v>70.72</v>
      </c>
      <c r="N85" s="35">
        <f t="shared" si="22"/>
        <v>848.64</v>
      </c>
      <c r="O85" s="35">
        <f t="shared" si="23"/>
        <v>0</v>
      </c>
      <c r="P85" s="35">
        <f t="shared" si="24"/>
        <v>8486.4</v>
      </c>
      <c r="Q85" s="35">
        <f t="shared" si="25"/>
        <v>8486.4</v>
      </c>
      <c r="R85" s="35">
        <f t="shared" si="26"/>
        <v>0</v>
      </c>
    </row>
    <row r="86" spans="1:18" s="59" customFormat="1" hidden="1" outlineLevel="1">
      <c r="A86" s="53"/>
      <c r="B86" s="59">
        <v>19</v>
      </c>
      <c r="C86" s="59" t="s">
        <v>263</v>
      </c>
      <c r="D86" s="59">
        <v>2004</v>
      </c>
      <c r="E86" s="59">
        <v>2</v>
      </c>
      <c r="F86" s="59">
        <v>0</v>
      </c>
      <c r="G86" s="59" t="s">
        <v>78</v>
      </c>
      <c r="H86" s="28" t="s">
        <v>9</v>
      </c>
      <c r="I86" s="59">
        <f t="shared" si="18"/>
        <v>2014</v>
      </c>
      <c r="J86" s="34">
        <f t="shared" si="19"/>
        <v>2014.1666666666667</v>
      </c>
      <c r="K86" s="35">
        <v>6315.84</v>
      </c>
      <c r="L86" s="35">
        <f t="shared" si="20"/>
        <v>6315.84</v>
      </c>
      <c r="M86" s="35">
        <f t="shared" si="21"/>
        <v>52.632000000000005</v>
      </c>
      <c r="N86" s="35">
        <f t="shared" si="22"/>
        <v>631.58400000000006</v>
      </c>
      <c r="O86" s="35">
        <f t="shared" si="23"/>
        <v>0</v>
      </c>
      <c r="P86" s="35">
        <f t="shared" si="24"/>
        <v>6315.84</v>
      </c>
      <c r="Q86" s="35">
        <f t="shared" si="25"/>
        <v>6315.84</v>
      </c>
      <c r="R86" s="35">
        <f t="shared" si="26"/>
        <v>0</v>
      </c>
    </row>
    <row r="87" spans="1:18" s="59" customFormat="1" hidden="1" outlineLevel="1">
      <c r="A87" s="53"/>
      <c r="B87" s="59">
        <v>35</v>
      </c>
      <c r="C87" s="59" t="s">
        <v>244</v>
      </c>
      <c r="D87" s="59">
        <v>2004</v>
      </c>
      <c r="E87" s="59">
        <v>2</v>
      </c>
      <c r="F87" s="59">
        <v>0</v>
      </c>
      <c r="G87" s="59" t="s">
        <v>78</v>
      </c>
      <c r="H87" s="28" t="s">
        <v>9</v>
      </c>
      <c r="I87" s="59">
        <f t="shared" si="18"/>
        <v>2014</v>
      </c>
      <c r="J87" s="34">
        <f t="shared" si="19"/>
        <v>2014.1666666666667</v>
      </c>
      <c r="K87" s="35">
        <v>15748.8</v>
      </c>
      <c r="L87" s="35">
        <f t="shared" si="20"/>
        <v>15748.8</v>
      </c>
      <c r="M87" s="35">
        <f t="shared" si="21"/>
        <v>131.23999999999998</v>
      </c>
      <c r="N87" s="35">
        <f t="shared" si="22"/>
        <v>1574.8799999999997</v>
      </c>
      <c r="O87" s="35">
        <f t="shared" si="23"/>
        <v>0</v>
      </c>
      <c r="P87" s="35">
        <f t="shared" si="24"/>
        <v>15748.8</v>
      </c>
      <c r="Q87" s="35">
        <f t="shared" si="25"/>
        <v>15748.8</v>
      </c>
      <c r="R87" s="35">
        <f t="shared" si="26"/>
        <v>0</v>
      </c>
    </row>
    <row r="88" spans="1:18" s="59" customFormat="1" hidden="1" outlineLevel="1">
      <c r="A88" s="53"/>
      <c r="B88" s="59">
        <v>35</v>
      </c>
      <c r="C88" s="59" t="s">
        <v>244</v>
      </c>
      <c r="D88" s="59">
        <v>2004</v>
      </c>
      <c r="E88" s="59">
        <v>3</v>
      </c>
      <c r="F88" s="59">
        <v>0</v>
      </c>
      <c r="G88" s="59" t="s">
        <v>78</v>
      </c>
      <c r="H88" s="28" t="s">
        <v>9</v>
      </c>
      <c r="I88" s="59">
        <f t="shared" si="18"/>
        <v>2014</v>
      </c>
      <c r="J88" s="34">
        <f t="shared" si="19"/>
        <v>2014.25</v>
      </c>
      <c r="K88" s="35">
        <v>16102.4</v>
      </c>
      <c r="L88" s="35">
        <f t="shared" si="20"/>
        <v>16102.4</v>
      </c>
      <c r="M88" s="35">
        <f t="shared" si="21"/>
        <v>134.18666666666667</v>
      </c>
      <c r="N88" s="35">
        <f t="shared" si="22"/>
        <v>1610.24</v>
      </c>
      <c r="O88" s="35">
        <f t="shared" si="23"/>
        <v>0</v>
      </c>
      <c r="P88" s="35">
        <f t="shared" si="24"/>
        <v>16102.4</v>
      </c>
      <c r="Q88" s="35">
        <f t="shared" si="25"/>
        <v>16102.4</v>
      </c>
      <c r="R88" s="35">
        <f t="shared" si="26"/>
        <v>0</v>
      </c>
    </row>
    <row r="89" spans="1:18" s="59" customFormat="1" hidden="1" outlineLevel="1">
      <c r="A89" s="53"/>
      <c r="B89" s="59">
        <v>9</v>
      </c>
      <c r="C89" s="59" t="s">
        <v>561</v>
      </c>
      <c r="D89" s="59">
        <v>2004</v>
      </c>
      <c r="E89" s="59">
        <v>2</v>
      </c>
      <c r="F89" s="59">
        <v>0</v>
      </c>
      <c r="G89" s="59" t="s">
        <v>78</v>
      </c>
      <c r="H89" s="28" t="s">
        <v>9</v>
      </c>
      <c r="I89" s="59">
        <f t="shared" si="18"/>
        <v>2014</v>
      </c>
      <c r="K89" s="35">
        <v>4297.6000000000004</v>
      </c>
      <c r="L89" s="35">
        <f t="shared" si="20"/>
        <v>4297.6000000000004</v>
      </c>
      <c r="M89" s="35">
        <f t="shared" si="21"/>
        <v>35.81333333333334</v>
      </c>
      <c r="N89" s="35">
        <f t="shared" si="22"/>
        <v>429.7600000000001</v>
      </c>
      <c r="O89" s="35">
        <f t="shared" si="23"/>
        <v>0</v>
      </c>
      <c r="P89" s="35">
        <f t="shared" si="24"/>
        <v>4297.6000000000004</v>
      </c>
      <c r="Q89" s="35">
        <f t="shared" si="25"/>
        <v>4297.6000000000004</v>
      </c>
      <c r="R89" s="35">
        <f t="shared" si="26"/>
        <v>0</v>
      </c>
    </row>
    <row r="90" spans="1:18" s="59" customFormat="1" hidden="1" outlineLevel="1">
      <c r="A90" s="53"/>
      <c r="B90" s="59">
        <v>51</v>
      </c>
      <c r="C90" s="59" t="s">
        <v>561</v>
      </c>
      <c r="D90" s="59">
        <v>2004</v>
      </c>
      <c r="E90" s="59">
        <v>9</v>
      </c>
      <c r="F90" s="59">
        <v>0</v>
      </c>
      <c r="G90" s="59" t="s">
        <v>78</v>
      </c>
      <c r="H90" s="28" t="s">
        <v>9</v>
      </c>
      <c r="I90" s="59">
        <f t="shared" si="18"/>
        <v>2014</v>
      </c>
      <c r="K90" s="35">
        <v>23120</v>
      </c>
      <c r="L90" s="35">
        <f t="shared" si="20"/>
        <v>23120</v>
      </c>
      <c r="M90" s="35">
        <f t="shared" si="21"/>
        <v>192.66666666666666</v>
      </c>
      <c r="N90" s="35">
        <f t="shared" si="22"/>
        <v>2312</v>
      </c>
      <c r="O90" s="35">
        <f t="shared" si="23"/>
        <v>0</v>
      </c>
      <c r="P90" s="35">
        <f t="shared" si="24"/>
        <v>23120</v>
      </c>
      <c r="Q90" s="35">
        <f t="shared" si="25"/>
        <v>23120</v>
      </c>
      <c r="R90" s="35">
        <f t="shared" si="26"/>
        <v>0</v>
      </c>
    </row>
    <row r="91" spans="1:18" s="59" customFormat="1" hidden="1" outlineLevel="1">
      <c r="A91" s="53"/>
      <c r="B91" s="59">
        <v>17</v>
      </c>
      <c r="C91" s="59" t="s">
        <v>279</v>
      </c>
      <c r="D91" s="59">
        <v>2005</v>
      </c>
      <c r="E91" s="59">
        <v>3</v>
      </c>
      <c r="F91" s="59">
        <v>0</v>
      </c>
      <c r="G91" s="59" t="s">
        <v>78</v>
      </c>
      <c r="H91" s="28" t="s">
        <v>9</v>
      </c>
      <c r="I91" s="59">
        <f t="shared" si="18"/>
        <v>2015</v>
      </c>
      <c r="J91" s="34">
        <f t="shared" ref="J91:J98" si="27">+I91+(E91/12)</f>
        <v>2015.25</v>
      </c>
      <c r="K91" s="35">
        <v>4906.88</v>
      </c>
      <c r="L91" s="35">
        <f t="shared" si="20"/>
        <v>4906.88</v>
      </c>
      <c r="M91" s="35">
        <f t="shared" si="21"/>
        <v>40.890666666666668</v>
      </c>
      <c r="N91" s="35">
        <f t="shared" si="22"/>
        <v>490.68799999999999</v>
      </c>
      <c r="O91" s="35">
        <f t="shared" si="23"/>
        <v>0</v>
      </c>
      <c r="P91" s="35">
        <f t="shared" si="24"/>
        <v>4906.88</v>
      </c>
      <c r="Q91" s="35">
        <f t="shared" si="25"/>
        <v>4906.88</v>
      </c>
      <c r="R91" s="35">
        <f t="shared" si="26"/>
        <v>0</v>
      </c>
    </row>
    <row r="92" spans="1:18" s="59" customFormat="1" hidden="1" outlineLevel="1">
      <c r="A92" s="53"/>
      <c r="B92" s="59">
        <v>17</v>
      </c>
      <c r="C92" s="59" t="s">
        <v>279</v>
      </c>
      <c r="D92" s="59">
        <v>2005</v>
      </c>
      <c r="E92" s="59">
        <v>7</v>
      </c>
      <c r="F92" s="59">
        <v>0</v>
      </c>
      <c r="G92" s="59" t="s">
        <v>78</v>
      </c>
      <c r="H92" s="28" t="s">
        <v>9</v>
      </c>
      <c r="I92" s="59">
        <f t="shared" si="18"/>
        <v>2015</v>
      </c>
      <c r="J92" s="34">
        <f t="shared" si="27"/>
        <v>2015.5833333333333</v>
      </c>
      <c r="K92" s="35">
        <v>4906.88</v>
      </c>
      <c r="L92" s="35">
        <f t="shared" si="20"/>
        <v>4906.88</v>
      </c>
      <c r="M92" s="35">
        <f t="shared" si="21"/>
        <v>40.890666666666668</v>
      </c>
      <c r="N92" s="35">
        <f t="shared" si="22"/>
        <v>490.68799999999999</v>
      </c>
      <c r="O92" s="35">
        <f t="shared" si="23"/>
        <v>0</v>
      </c>
      <c r="P92" s="35">
        <f t="shared" si="24"/>
        <v>4906.88</v>
      </c>
      <c r="Q92" s="35">
        <f t="shared" si="25"/>
        <v>4906.88</v>
      </c>
      <c r="R92" s="35">
        <f t="shared" si="26"/>
        <v>0</v>
      </c>
    </row>
    <row r="93" spans="1:18" s="59" customFormat="1" hidden="1" outlineLevel="1">
      <c r="A93" s="53"/>
      <c r="B93" s="59">
        <v>37</v>
      </c>
      <c r="C93" s="59" t="s">
        <v>230</v>
      </c>
      <c r="D93" s="59">
        <v>2005</v>
      </c>
      <c r="E93" s="59">
        <v>6</v>
      </c>
      <c r="F93" s="59">
        <v>0</v>
      </c>
      <c r="G93" s="59" t="s">
        <v>78</v>
      </c>
      <c r="H93" s="28" t="s">
        <v>9</v>
      </c>
      <c r="I93" s="59">
        <f t="shared" si="18"/>
        <v>2015</v>
      </c>
      <c r="J93" s="34">
        <f t="shared" si="27"/>
        <v>2015.5</v>
      </c>
      <c r="K93" s="35">
        <v>12620.8</v>
      </c>
      <c r="L93" s="35">
        <f t="shared" si="20"/>
        <v>12620.8</v>
      </c>
      <c r="M93" s="35">
        <f t="shared" si="21"/>
        <v>105.17333333333333</v>
      </c>
      <c r="N93" s="35">
        <f t="shared" si="22"/>
        <v>1262.08</v>
      </c>
      <c r="O93" s="35">
        <f t="shared" si="23"/>
        <v>0</v>
      </c>
      <c r="P93" s="35">
        <f t="shared" si="24"/>
        <v>12620.8</v>
      </c>
      <c r="Q93" s="35">
        <f t="shared" si="25"/>
        <v>12620.8</v>
      </c>
      <c r="R93" s="35">
        <f t="shared" si="26"/>
        <v>0</v>
      </c>
    </row>
    <row r="94" spans="1:18" s="59" customFormat="1" hidden="1" outlineLevel="1">
      <c r="A94" s="53"/>
      <c r="B94" s="59">
        <v>61</v>
      </c>
      <c r="C94" s="59" t="s">
        <v>260</v>
      </c>
      <c r="D94" s="59">
        <v>2005</v>
      </c>
      <c r="E94" s="59">
        <v>2</v>
      </c>
      <c r="F94" s="59">
        <v>0</v>
      </c>
      <c r="G94" s="59" t="s">
        <v>78</v>
      </c>
      <c r="H94" s="28" t="s">
        <v>9</v>
      </c>
      <c r="I94" s="59">
        <f t="shared" si="18"/>
        <v>2015</v>
      </c>
      <c r="J94" s="34">
        <f t="shared" si="27"/>
        <v>2015.1666666666667</v>
      </c>
      <c r="K94" s="35">
        <v>22991.62</v>
      </c>
      <c r="L94" s="35">
        <f t="shared" si="20"/>
        <v>22991.62</v>
      </c>
      <c r="M94" s="35">
        <f t="shared" si="21"/>
        <v>191.59683333333331</v>
      </c>
      <c r="N94" s="35">
        <f t="shared" si="22"/>
        <v>2299.1619999999998</v>
      </c>
      <c r="O94" s="35">
        <f t="shared" si="23"/>
        <v>0</v>
      </c>
      <c r="P94" s="35">
        <f t="shared" si="24"/>
        <v>22991.62</v>
      </c>
      <c r="Q94" s="35">
        <f t="shared" si="25"/>
        <v>22991.62</v>
      </c>
      <c r="R94" s="35">
        <f t="shared" si="26"/>
        <v>0</v>
      </c>
    </row>
    <row r="95" spans="1:18" s="59" customFormat="1" hidden="1" outlineLevel="1">
      <c r="A95" s="53"/>
      <c r="B95" s="59">
        <v>17</v>
      </c>
      <c r="C95" s="59" t="s">
        <v>260</v>
      </c>
      <c r="D95" s="59">
        <v>2005</v>
      </c>
      <c r="E95" s="59">
        <v>3</v>
      </c>
      <c r="F95" s="59">
        <v>0</v>
      </c>
      <c r="G95" s="59" t="s">
        <v>78</v>
      </c>
      <c r="H95" s="28" t="s">
        <v>9</v>
      </c>
      <c r="I95" s="59">
        <f t="shared" si="18"/>
        <v>2015</v>
      </c>
      <c r="J95" s="34">
        <f t="shared" si="27"/>
        <v>2015.25</v>
      </c>
      <c r="K95" s="35">
        <v>6190.72</v>
      </c>
      <c r="L95" s="35">
        <f t="shared" si="20"/>
        <v>6190.72</v>
      </c>
      <c r="M95" s="35">
        <f t="shared" si="21"/>
        <v>51.589333333333336</v>
      </c>
      <c r="N95" s="35">
        <f t="shared" si="22"/>
        <v>619.072</v>
      </c>
      <c r="O95" s="35">
        <f t="shared" si="23"/>
        <v>0</v>
      </c>
      <c r="P95" s="35">
        <f t="shared" si="24"/>
        <v>6190.72</v>
      </c>
      <c r="Q95" s="35">
        <f t="shared" si="25"/>
        <v>6190.72</v>
      </c>
      <c r="R95" s="35">
        <f t="shared" si="26"/>
        <v>0</v>
      </c>
    </row>
    <row r="96" spans="1:18" s="59" customFormat="1" hidden="1" outlineLevel="1">
      <c r="A96" s="53"/>
      <c r="B96" s="59">
        <v>17</v>
      </c>
      <c r="C96" s="59" t="s">
        <v>260</v>
      </c>
      <c r="D96" s="59">
        <v>2005</v>
      </c>
      <c r="E96" s="59">
        <v>10</v>
      </c>
      <c r="F96" s="59">
        <v>0</v>
      </c>
      <c r="G96" s="59" t="s">
        <v>78</v>
      </c>
      <c r="H96" s="28" t="s">
        <v>9</v>
      </c>
      <c r="I96" s="59">
        <f t="shared" si="18"/>
        <v>2015</v>
      </c>
      <c r="J96" s="34">
        <f t="shared" si="27"/>
        <v>2015.8333333333333</v>
      </c>
      <c r="K96" s="35">
        <v>6245.12</v>
      </c>
      <c r="L96" s="35">
        <f t="shared" si="20"/>
        <v>6245.12</v>
      </c>
      <c r="M96" s="35">
        <f t="shared" si="21"/>
        <v>52.042666666666662</v>
      </c>
      <c r="N96" s="35">
        <f t="shared" si="22"/>
        <v>624.51199999999994</v>
      </c>
      <c r="O96" s="35">
        <f t="shared" si="23"/>
        <v>0</v>
      </c>
      <c r="P96" s="35">
        <f t="shared" si="24"/>
        <v>6245.12</v>
      </c>
      <c r="Q96" s="35">
        <f t="shared" si="25"/>
        <v>6245.12</v>
      </c>
      <c r="R96" s="35">
        <f t="shared" si="26"/>
        <v>0</v>
      </c>
    </row>
    <row r="97" spans="1:18" s="59" customFormat="1" hidden="1" outlineLevel="1">
      <c r="A97" s="53"/>
      <c r="B97" s="59">
        <v>2</v>
      </c>
      <c r="C97" s="59" t="s">
        <v>260</v>
      </c>
      <c r="D97" s="59">
        <v>2005</v>
      </c>
      <c r="E97" s="59">
        <v>11</v>
      </c>
      <c r="F97" s="59">
        <v>0</v>
      </c>
      <c r="G97" s="59" t="s">
        <v>78</v>
      </c>
      <c r="H97" s="28" t="s">
        <v>9</v>
      </c>
      <c r="I97" s="59">
        <f t="shared" si="18"/>
        <v>2015</v>
      </c>
      <c r="J97" s="34">
        <f t="shared" si="27"/>
        <v>2015.9166666666667</v>
      </c>
      <c r="K97" s="35">
        <v>4624</v>
      </c>
      <c r="L97" s="35">
        <f t="shared" si="20"/>
        <v>4624</v>
      </c>
      <c r="M97" s="35">
        <f t="shared" si="21"/>
        <v>38.533333333333331</v>
      </c>
      <c r="N97" s="35">
        <f t="shared" si="22"/>
        <v>462.4</v>
      </c>
      <c r="O97" s="35">
        <f t="shared" si="23"/>
        <v>0</v>
      </c>
      <c r="P97" s="35">
        <f t="shared" si="24"/>
        <v>4624</v>
      </c>
      <c r="Q97" s="35">
        <f t="shared" si="25"/>
        <v>4624</v>
      </c>
      <c r="R97" s="35">
        <f t="shared" si="26"/>
        <v>0</v>
      </c>
    </row>
    <row r="98" spans="1:18" s="59" customFormat="1" hidden="1" outlineLevel="1">
      <c r="A98" s="53"/>
      <c r="B98" s="59">
        <v>19</v>
      </c>
      <c r="C98" s="59" t="s">
        <v>23</v>
      </c>
      <c r="D98" s="59">
        <v>2005</v>
      </c>
      <c r="E98" s="59">
        <v>4</v>
      </c>
      <c r="F98" s="59">
        <v>0</v>
      </c>
      <c r="G98" s="59" t="s">
        <v>78</v>
      </c>
      <c r="H98" s="28" t="s">
        <v>9</v>
      </c>
      <c r="I98" s="59">
        <f t="shared" si="18"/>
        <v>2015</v>
      </c>
      <c r="J98" s="34">
        <f t="shared" si="27"/>
        <v>2015.3333333333333</v>
      </c>
      <c r="K98" s="35">
        <v>8160</v>
      </c>
      <c r="L98" s="35">
        <f t="shared" si="20"/>
        <v>8160</v>
      </c>
      <c r="M98" s="35">
        <f t="shared" si="21"/>
        <v>68</v>
      </c>
      <c r="N98" s="35">
        <f t="shared" si="22"/>
        <v>816</v>
      </c>
      <c r="O98" s="35">
        <f t="shared" si="23"/>
        <v>0</v>
      </c>
      <c r="P98" s="35">
        <f t="shared" si="24"/>
        <v>8160</v>
      </c>
      <c r="Q98" s="35">
        <f t="shared" si="25"/>
        <v>8160</v>
      </c>
      <c r="R98" s="35">
        <f t="shared" si="26"/>
        <v>0</v>
      </c>
    </row>
    <row r="99" spans="1:18" s="59" customFormat="1" hidden="1" outlineLevel="1">
      <c r="A99" s="53"/>
      <c r="B99" s="59">
        <v>20</v>
      </c>
      <c r="C99" s="59" t="s">
        <v>561</v>
      </c>
      <c r="D99" s="59">
        <v>2005</v>
      </c>
      <c r="E99" s="59">
        <v>2</v>
      </c>
      <c r="F99" s="59">
        <v>0</v>
      </c>
      <c r="G99" s="59" t="s">
        <v>78</v>
      </c>
      <c r="H99" s="28" t="s">
        <v>9</v>
      </c>
      <c r="I99" s="59">
        <f t="shared" si="18"/>
        <v>2015</v>
      </c>
      <c r="K99" s="35">
        <v>8997.76</v>
      </c>
      <c r="L99" s="35">
        <f t="shared" si="20"/>
        <v>8997.76</v>
      </c>
      <c r="M99" s="35">
        <f t="shared" si="21"/>
        <v>74.981333333333339</v>
      </c>
      <c r="N99" s="35">
        <f t="shared" si="22"/>
        <v>899.77600000000007</v>
      </c>
      <c r="O99" s="35">
        <f t="shared" si="23"/>
        <v>0</v>
      </c>
      <c r="P99" s="35">
        <f t="shared" si="24"/>
        <v>8997.76</v>
      </c>
      <c r="Q99" s="35">
        <f t="shared" si="25"/>
        <v>8997.76</v>
      </c>
      <c r="R99" s="35">
        <f t="shared" si="26"/>
        <v>0</v>
      </c>
    </row>
    <row r="100" spans="1:18" s="59" customFormat="1" hidden="1" outlineLevel="1">
      <c r="A100" s="53"/>
      <c r="B100" s="59">
        <v>40</v>
      </c>
      <c r="C100" s="59" t="s">
        <v>279</v>
      </c>
      <c r="D100" s="59">
        <v>2006</v>
      </c>
      <c r="E100" s="59">
        <v>1</v>
      </c>
      <c r="F100" s="59">
        <v>0</v>
      </c>
      <c r="G100" s="59" t="s">
        <v>78</v>
      </c>
      <c r="H100" s="28" t="s">
        <v>9</v>
      </c>
      <c r="I100" s="59">
        <f t="shared" si="18"/>
        <v>2016</v>
      </c>
      <c r="J100" s="34">
        <f>+I100+(E100/12)</f>
        <v>2016.0833333333333</v>
      </c>
      <c r="K100" s="35">
        <v>11332.6</v>
      </c>
      <c r="L100" s="35">
        <f t="shared" si="20"/>
        <v>11332.6</v>
      </c>
      <c r="M100" s="35">
        <f t="shared" si="21"/>
        <v>94.438333333333333</v>
      </c>
      <c r="N100" s="35">
        <f t="shared" si="22"/>
        <v>1133.26</v>
      </c>
      <c r="O100" s="35">
        <f t="shared" si="23"/>
        <v>0</v>
      </c>
      <c r="P100" s="35">
        <f t="shared" si="24"/>
        <v>11332.6</v>
      </c>
      <c r="Q100" s="35">
        <f t="shared" si="25"/>
        <v>11332.6</v>
      </c>
      <c r="R100" s="35">
        <f t="shared" si="26"/>
        <v>0</v>
      </c>
    </row>
    <row r="101" spans="1:18" s="59" customFormat="1" hidden="1" outlineLevel="1">
      <c r="A101" s="53"/>
      <c r="B101" s="59">
        <v>33</v>
      </c>
      <c r="C101" s="59" t="s">
        <v>190</v>
      </c>
      <c r="D101" s="59">
        <v>2006</v>
      </c>
      <c r="E101" s="59">
        <v>10</v>
      </c>
      <c r="F101" s="59">
        <v>0</v>
      </c>
      <c r="G101" s="59" t="s">
        <v>78</v>
      </c>
      <c r="H101" s="28" t="s">
        <v>9</v>
      </c>
      <c r="I101" s="59">
        <f t="shared" si="18"/>
        <v>2016</v>
      </c>
      <c r="J101" s="34">
        <f>+I101+(E101/12)</f>
        <v>2016.8333333333333</v>
      </c>
      <c r="K101" s="35">
        <v>9356.7999999999993</v>
      </c>
      <c r="L101" s="35">
        <f t="shared" si="20"/>
        <v>9356.7999999999993</v>
      </c>
      <c r="M101" s="35">
        <f t="shared" si="21"/>
        <v>77.973333333333329</v>
      </c>
      <c r="N101" s="35">
        <f t="shared" si="22"/>
        <v>935.68</v>
      </c>
      <c r="O101" s="35">
        <f t="shared" si="23"/>
        <v>0</v>
      </c>
      <c r="P101" s="35">
        <f t="shared" si="24"/>
        <v>9356.7999999999993</v>
      </c>
      <c r="Q101" s="35">
        <f t="shared" si="25"/>
        <v>9356.7999999999993</v>
      </c>
      <c r="R101" s="35">
        <f t="shared" si="26"/>
        <v>0</v>
      </c>
    </row>
    <row r="102" spans="1:18" s="59" customFormat="1" hidden="1" outlineLevel="1">
      <c r="A102" s="53"/>
      <c r="B102" s="59">
        <v>14</v>
      </c>
      <c r="C102" s="59" t="s">
        <v>561</v>
      </c>
      <c r="D102" s="59">
        <v>2006</v>
      </c>
      <c r="E102" s="59">
        <v>1</v>
      </c>
      <c r="F102" s="59">
        <v>0</v>
      </c>
      <c r="G102" s="59" t="s">
        <v>78</v>
      </c>
      <c r="H102" s="28" t="s">
        <v>9</v>
      </c>
      <c r="I102" s="59">
        <f t="shared" si="18"/>
        <v>2016</v>
      </c>
      <c r="K102" s="35">
        <v>5978.56</v>
      </c>
      <c r="L102" s="35">
        <f t="shared" si="20"/>
        <v>5978.56</v>
      </c>
      <c r="M102" s="35">
        <f t="shared" si="21"/>
        <v>49.821333333333335</v>
      </c>
      <c r="N102" s="35">
        <f t="shared" si="22"/>
        <v>597.85599999999999</v>
      </c>
      <c r="O102" s="35">
        <f t="shared" si="23"/>
        <v>0</v>
      </c>
      <c r="P102" s="35">
        <f t="shared" si="24"/>
        <v>5978.56</v>
      </c>
      <c r="Q102" s="35">
        <f t="shared" si="25"/>
        <v>5978.56</v>
      </c>
      <c r="R102" s="35">
        <f t="shared" si="26"/>
        <v>0</v>
      </c>
    </row>
    <row r="103" spans="1:18" s="59" customFormat="1" hidden="1" outlineLevel="1">
      <c r="A103" s="53"/>
      <c r="B103" s="59">
        <v>21</v>
      </c>
      <c r="C103" s="59" t="s">
        <v>561</v>
      </c>
      <c r="D103" s="59">
        <v>2006</v>
      </c>
      <c r="E103" s="59">
        <v>5</v>
      </c>
      <c r="F103" s="59">
        <v>0</v>
      </c>
      <c r="G103" s="59" t="s">
        <v>78</v>
      </c>
      <c r="H103" s="28" t="s">
        <v>9</v>
      </c>
      <c r="I103" s="59">
        <f t="shared" si="18"/>
        <v>2016</v>
      </c>
      <c r="K103" s="35">
        <v>9683.2000000000007</v>
      </c>
      <c r="L103" s="35">
        <f t="shared" si="20"/>
        <v>9683.2000000000007</v>
      </c>
      <c r="M103" s="35">
        <f t="shared" si="21"/>
        <v>80.693333333333342</v>
      </c>
      <c r="N103" s="35">
        <f t="shared" si="22"/>
        <v>968.32000000000016</v>
      </c>
      <c r="O103" s="35">
        <f t="shared" si="23"/>
        <v>0</v>
      </c>
      <c r="P103" s="35">
        <f t="shared" si="24"/>
        <v>9683.2000000000007</v>
      </c>
      <c r="Q103" s="35">
        <f t="shared" si="25"/>
        <v>9683.2000000000007</v>
      </c>
      <c r="R103" s="35">
        <f t="shared" si="26"/>
        <v>0</v>
      </c>
    </row>
    <row r="104" spans="1:18" s="59" customFormat="1" hidden="1" outlineLevel="1">
      <c r="A104" s="53"/>
      <c r="B104" s="59">
        <v>46</v>
      </c>
      <c r="C104" s="59" t="s">
        <v>561</v>
      </c>
      <c r="D104" s="59">
        <v>2006</v>
      </c>
      <c r="E104" s="59">
        <v>6</v>
      </c>
      <c r="F104" s="59">
        <v>0</v>
      </c>
      <c r="G104" s="59" t="s">
        <v>78</v>
      </c>
      <c r="H104" s="28" t="s">
        <v>9</v>
      </c>
      <c r="I104" s="59">
        <f t="shared" si="18"/>
        <v>2016</v>
      </c>
      <c r="K104" s="35">
        <v>20704.64</v>
      </c>
      <c r="L104" s="35">
        <f t="shared" si="20"/>
        <v>20704.64</v>
      </c>
      <c r="M104" s="35">
        <f t="shared" si="21"/>
        <v>172.53866666666667</v>
      </c>
      <c r="N104" s="35">
        <f t="shared" si="22"/>
        <v>2070.4639999999999</v>
      </c>
      <c r="O104" s="35">
        <f t="shared" si="23"/>
        <v>0</v>
      </c>
      <c r="P104" s="35">
        <f t="shared" si="24"/>
        <v>20704.64</v>
      </c>
      <c r="Q104" s="35">
        <f t="shared" si="25"/>
        <v>20704.64</v>
      </c>
      <c r="R104" s="35">
        <f t="shared" si="26"/>
        <v>0</v>
      </c>
    </row>
    <row r="105" spans="1:18" s="59" customFormat="1" hidden="1" outlineLevel="1">
      <c r="A105" s="53"/>
      <c r="B105" s="59">
        <v>0</v>
      </c>
      <c r="C105" s="59" t="s">
        <v>562</v>
      </c>
      <c r="D105" s="59">
        <v>2006</v>
      </c>
      <c r="E105" s="59">
        <v>9</v>
      </c>
      <c r="F105" s="59">
        <v>0</v>
      </c>
      <c r="G105" s="59" t="s">
        <v>78</v>
      </c>
      <c r="H105" s="28" t="s">
        <v>9</v>
      </c>
      <c r="I105" s="59">
        <f t="shared" si="18"/>
        <v>2016</v>
      </c>
      <c r="K105" s="35">
        <v>1784.32</v>
      </c>
      <c r="L105" s="35">
        <f t="shared" si="20"/>
        <v>1784.32</v>
      </c>
      <c r="M105" s="35">
        <f t="shared" si="21"/>
        <v>14.869333333333332</v>
      </c>
      <c r="N105" s="35">
        <f t="shared" si="22"/>
        <v>178.43199999999999</v>
      </c>
      <c r="O105" s="35">
        <f t="shared" si="23"/>
        <v>0</v>
      </c>
      <c r="P105" s="35">
        <f t="shared" si="24"/>
        <v>1784.32</v>
      </c>
      <c r="Q105" s="35">
        <f t="shared" si="25"/>
        <v>1784.32</v>
      </c>
      <c r="R105" s="35">
        <f t="shared" si="26"/>
        <v>0</v>
      </c>
    </row>
    <row r="106" spans="1:18" s="59" customFormat="1" hidden="1" outlineLevel="1">
      <c r="A106" s="53"/>
      <c r="B106" s="59">
        <v>21</v>
      </c>
      <c r="C106" s="59" t="s">
        <v>279</v>
      </c>
      <c r="D106" s="59">
        <v>2007</v>
      </c>
      <c r="E106" s="59">
        <v>9</v>
      </c>
      <c r="F106" s="59">
        <v>0</v>
      </c>
      <c r="G106" s="59" t="s">
        <v>78</v>
      </c>
      <c r="H106" s="28" t="s">
        <v>9</v>
      </c>
      <c r="I106" s="59">
        <f t="shared" si="18"/>
        <v>2017</v>
      </c>
      <c r="J106" s="34">
        <f>+I106+(E106/12)</f>
        <v>2017.75</v>
      </c>
      <c r="K106" s="35">
        <v>5880.6</v>
      </c>
      <c r="L106" s="35">
        <f t="shared" si="20"/>
        <v>5880.6</v>
      </c>
      <c r="M106" s="35">
        <f t="shared" si="21"/>
        <v>49.005000000000003</v>
      </c>
      <c r="N106" s="35">
        <f t="shared" si="22"/>
        <v>588.06000000000006</v>
      </c>
      <c r="O106" s="35">
        <f t="shared" si="23"/>
        <v>0</v>
      </c>
      <c r="P106" s="35">
        <f t="shared" si="24"/>
        <v>5880.6</v>
      </c>
      <c r="Q106" s="35">
        <f t="shared" si="25"/>
        <v>5880.6</v>
      </c>
      <c r="R106" s="35">
        <f t="shared" si="26"/>
        <v>0</v>
      </c>
    </row>
    <row r="107" spans="1:18" s="59" customFormat="1" hidden="1" outlineLevel="1">
      <c r="A107" s="53"/>
      <c r="B107" s="59">
        <v>34</v>
      </c>
      <c r="C107" s="59" t="s">
        <v>230</v>
      </c>
      <c r="D107" s="59">
        <v>2007</v>
      </c>
      <c r="E107" s="59">
        <v>6</v>
      </c>
      <c r="F107" s="59">
        <v>0</v>
      </c>
      <c r="G107" s="59" t="s">
        <v>78</v>
      </c>
      <c r="H107" s="28" t="s">
        <v>9</v>
      </c>
      <c r="I107" s="59">
        <f t="shared" si="18"/>
        <v>2017</v>
      </c>
      <c r="J107" s="34">
        <f>+I107+(E107/12)</f>
        <v>2017.5</v>
      </c>
      <c r="K107" s="35">
        <v>11412.73</v>
      </c>
      <c r="L107" s="35">
        <f t="shared" si="20"/>
        <v>11412.73</v>
      </c>
      <c r="M107" s="35">
        <f t="shared" si="21"/>
        <v>95.106083333333331</v>
      </c>
      <c r="N107" s="35">
        <f t="shared" si="22"/>
        <v>1141.2729999999999</v>
      </c>
      <c r="O107" s="35">
        <f t="shared" si="23"/>
        <v>0</v>
      </c>
      <c r="P107" s="35">
        <f t="shared" si="24"/>
        <v>11412.73</v>
      </c>
      <c r="Q107" s="35">
        <f t="shared" si="25"/>
        <v>11412.73</v>
      </c>
      <c r="R107" s="35">
        <f t="shared" si="26"/>
        <v>0</v>
      </c>
    </row>
    <row r="108" spans="1:18" s="59" customFormat="1" hidden="1" outlineLevel="1">
      <c r="A108" s="53"/>
      <c r="B108" s="59">
        <v>17</v>
      </c>
      <c r="C108" s="59" t="s">
        <v>260</v>
      </c>
      <c r="D108" s="59">
        <v>2007</v>
      </c>
      <c r="E108" s="59">
        <v>8</v>
      </c>
      <c r="F108" s="59">
        <v>0</v>
      </c>
      <c r="G108" s="59" t="s">
        <v>78</v>
      </c>
      <c r="H108" s="28" t="s">
        <v>9</v>
      </c>
      <c r="I108" s="59">
        <f t="shared" si="18"/>
        <v>2017</v>
      </c>
      <c r="J108" s="34">
        <f>+I108+(E108/12)</f>
        <v>2017.6666666666667</v>
      </c>
      <c r="K108" s="35">
        <v>6337.98</v>
      </c>
      <c r="L108" s="35">
        <f t="shared" si="20"/>
        <v>6337.98</v>
      </c>
      <c r="M108" s="35">
        <f t="shared" si="21"/>
        <v>52.816499999999998</v>
      </c>
      <c r="N108" s="35">
        <f t="shared" si="22"/>
        <v>633.798</v>
      </c>
      <c r="O108" s="35">
        <f t="shared" si="23"/>
        <v>0</v>
      </c>
      <c r="P108" s="35">
        <f t="shared" si="24"/>
        <v>6337.98</v>
      </c>
      <c r="Q108" s="35">
        <f t="shared" si="25"/>
        <v>6337.98</v>
      </c>
      <c r="R108" s="35">
        <f t="shared" si="26"/>
        <v>0</v>
      </c>
    </row>
    <row r="109" spans="1:18" s="59" customFormat="1" hidden="1" outlineLevel="1">
      <c r="A109" s="53"/>
      <c r="B109" s="59">
        <v>20</v>
      </c>
      <c r="C109" s="59" t="s">
        <v>561</v>
      </c>
      <c r="D109" s="59">
        <v>2007</v>
      </c>
      <c r="E109" s="59">
        <v>5</v>
      </c>
      <c r="F109" s="59">
        <v>0</v>
      </c>
      <c r="G109" s="59" t="s">
        <v>78</v>
      </c>
      <c r="H109" s="28" t="s">
        <v>9</v>
      </c>
      <c r="I109" s="59">
        <f t="shared" ref="I109:I139" si="28">D109+H109</f>
        <v>2017</v>
      </c>
      <c r="K109" s="35">
        <v>8548.66</v>
      </c>
      <c r="L109" s="35">
        <f t="shared" ref="L109:L139" si="29">K109-K109*F109</f>
        <v>8548.66</v>
      </c>
      <c r="M109" s="35">
        <f t="shared" ref="M109:M139" si="30">L109/H109/12</f>
        <v>71.238833333333332</v>
      </c>
      <c r="N109" s="35">
        <f t="shared" ref="N109:N139" si="31">+M109*12</f>
        <v>854.86599999999999</v>
      </c>
      <c r="O109" s="35">
        <f t="shared" ref="O109:O139" si="32">+IF(J109&lt;=$L$5,0,IF(I109&gt;$L$4,N109,(M109*E109)))</f>
        <v>0</v>
      </c>
      <c r="P109" s="35">
        <f t="shared" ref="P109:P139" si="33">+IF(O109=0,L109,IF($L$3-D109&lt;1,0,(($L$3-D109)*O109)))</f>
        <v>8548.66</v>
      </c>
      <c r="Q109" s="35">
        <f t="shared" ref="Q109:Q139" si="34">+IF(O109=0,P109,P109+O109)</f>
        <v>8548.66</v>
      </c>
      <c r="R109" s="35">
        <f t="shared" ref="R109:R139" si="35">+K109-Q109</f>
        <v>0</v>
      </c>
    </row>
    <row r="110" spans="1:18" s="59" customFormat="1" hidden="1" outlineLevel="1">
      <c r="A110" s="53"/>
      <c r="B110" s="59">
        <v>24</v>
      </c>
      <c r="C110" s="59" t="s">
        <v>561</v>
      </c>
      <c r="D110" s="59">
        <v>2007</v>
      </c>
      <c r="E110" s="59">
        <v>6</v>
      </c>
      <c r="F110" s="59">
        <v>0</v>
      </c>
      <c r="G110" s="59" t="s">
        <v>78</v>
      </c>
      <c r="H110" s="28" t="s">
        <v>9</v>
      </c>
      <c r="I110" s="59">
        <f t="shared" si="28"/>
        <v>2017</v>
      </c>
      <c r="K110" s="35">
        <v>10721.21</v>
      </c>
      <c r="L110" s="35">
        <f t="shared" si="29"/>
        <v>10721.21</v>
      </c>
      <c r="M110" s="35">
        <f t="shared" si="30"/>
        <v>89.343416666666656</v>
      </c>
      <c r="N110" s="35">
        <f t="shared" si="31"/>
        <v>1072.1209999999999</v>
      </c>
      <c r="O110" s="35">
        <f t="shared" si="32"/>
        <v>0</v>
      </c>
      <c r="P110" s="35">
        <f t="shared" si="33"/>
        <v>10721.21</v>
      </c>
      <c r="Q110" s="35">
        <f t="shared" si="34"/>
        <v>10721.21</v>
      </c>
      <c r="R110" s="35">
        <f t="shared" si="35"/>
        <v>0</v>
      </c>
    </row>
    <row r="111" spans="1:18" s="59" customFormat="1" hidden="1" outlineLevel="1">
      <c r="A111" s="53"/>
      <c r="B111" s="59">
        <v>29</v>
      </c>
      <c r="C111" s="59" t="s">
        <v>561</v>
      </c>
      <c r="D111" s="59">
        <v>2007</v>
      </c>
      <c r="E111" s="59">
        <v>9</v>
      </c>
      <c r="F111" s="59">
        <v>0</v>
      </c>
      <c r="G111" s="59" t="s">
        <v>78</v>
      </c>
      <c r="H111" s="28" t="s">
        <v>9</v>
      </c>
      <c r="I111" s="59">
        <f t="shared" si="28"/>
        <v>2017</v>
      </c>
      <c r="K111" s="35">
        <v>13081.07</v>
      </c>
      <c r="L111" s="35">
        <f t="shared" si="29"/>
        <v>13081.07</v>
      </c>
      <c r="M111" s="35">
        <f t="shared" si="30"/>
        <v>109.00891666666666</v>
      </c>
      <c r="N111" s="35">
        <f t="shared" si="31"/>
        <v>1308.107</v>
      </c>
      <c r="O111" s="35">
        <f t="shared" si="32"/>
        <v>0</v>
      </c>
      <c r="P111" s="35">
        <f t="shared" si="33"/>
        <v>13081.07</v>
      </c>
      <c r="Q111" s="35">
        <f t="shared" si="34"/>
        <v>13081.07</v>
      </c>
      <c r="R111" s="35">
        <f t="shared" si="35"/>
        <v>0</v>
      </c>
    </row>
    <row r="112" spans="1:18" s="59" customFormat="1" hidden="1" outlineLevel="1">
      <c r="A112" s="53"/>
      <c r="B112" s="59">
        <v>21</v>
      </c>
      <c r="C112" s="59" t="s">
        <v>561</v>
      </c>
      <c r="D112" s="59">
        <v>2007</v>
      </c>
      <c r="E112" s="59">
        <v>10</v>
      </c>
      <c r="F112" s="59">
        <v>0</v>
      </c>
      <c r="G112" s="59" t="s">
        <v>78</v>
      </c>
      <c r="H112" s="28" t="s">
        <v>9</v>
      </c>
      <c r="I112" s="59">
        <f t="shared" si="28"/>
        <v>2017</v>
      </c>
      <c r="K112" s="35">
        <v>9746.5499999999993</v>
      </c>
      <c r="L112" s="35">
        <f t="shared" si="29"/>
        <v>9746.5499999999993</v>
      </c>
      <c r="M112" s="35">
        <f t="shared" si="30"/>
        <v>81.221249999999998</v>
      </c>
      <c r="N112" s="35">
        <f t="shared" si="31"/>
        <v>974.65499999999997</v>
      </c>
      <c r="O112" s="35">
        <f t="shared" si="32"/>
        <v>0</v>
      </c>
      <c r="P112" s="35">
        <f t="shared" si="33"/>
        <v>9746.5499999999993</v>
      </c>
      <c r="Q112" s="35">
        <f t="shared" si="34"/>
        <v>9746.5499999999993</v>
      </c>
      <c r="R112" s="35">
        <f t="shared" si="35"/>
        <v>0</v>
      </c>
    </row>
    <row r="113" spans="1:18" s="59" customFormat="1" hidden="1" outlineLevel="1">
      <c r="A113" s="53">
        <v>200572</v>
      </c>
      <c r="B113" s="59">
        <v>99</v>
      </c>
      <c r="C113" s="59" t="s">
        <v>613</v>
      </c>
      <c r="D113" s="59">
        <v>2008</v>
      </c>
      <c r="E113" s="59">
        <v>11</v>
      </c>
      <c r="F113" s="59">
        <v>0</v>
      </c>
      <c r="G113" s="59" t="s">
        <v>78</v>
      </c>
      <c r="H113" s="28">
        <v>12</v>
      </c>
      <c r="I113" s="59">
        <f>D113+H113</f>
        <v>2020</v>
      </c>
      <c r="J113" s="34">
        <f>+I113+(E113/12)</f>
        <v>2020.9166666666667</v>
      </c>
      <c r="K113" s="35">
        <v>13825.35</v>
      </c>
      <c r="L113" s="35">
        <f>K113-K113*F113</f>
        <v>13825.35</v>
      </c>
      <c r="M113" s="35">
        <f>L113/H113/12</f>
        <v>96.009374999999991</v>
      </c>
      <c r="N113" s="35">
        <f>+M113*12</f>
        <v>1152.1125</v>
      </c>
      <c r="O113" s="35">
        <f>+IF(J113&lt;=$L$5,0,IF(I113&gt;$L$4,N113,(M113*E113)))</f>
        <v>0</v>
      </c>
      <c r="P113" s="35">
        <f>+IF(O113=0,L113,IF($L$3-D113&lt;1,0,(($L$3-D113)*O113)))</f>
        <v>13825.35</v>
      </c>
      <c r="Q113" s="35">
        <f>+IF(O113=0,P113,P113+O113)</f>
        <v>13825.35</v>
      </c>
      <c r="R113" s="35">
        <f>+K113-Q113</f>
        <v>0</v>
      </c>
    </row>
    <row r="114" spans="1:18" s="59" customFormat="1" hidden="1" outlineLevel="1">
      <c r="A114" s="53"/>
      <c r="B114" s="59">
        <v>17</v>
      </c>
      <c r="C114" s="59" t="s">
        <v>279</v>
      </c>
      <c r="D114" s="59">
        <v>2008</v>
      </c>
      <c r="E114" s="59">
        <v>1</v>
      </c>
      <c r="F114" s="59">
        <v>0</v>
      </c>
      <c r="G114" s="59" t="s">
        <v>78</v>
      </c>
      <c r="H114" s="28" t="s">
        <v>9</v>
      </c>
      <c r="I114" s="59">
        <f t="shared" si="28"/>
        <v>2018</v>
      </c>
      <c r="J114" s="34">
        <f>+I114+(E114/12)</f>
        <v>2018.0833333333333</v>
      </c>
      <c r="K114" s="35">
        <v>4900.5</v>
      </c>
      <c r="L114" s="35">
        <f t="shared" si="29"/>
        <v>4900.5</v>
      </c>
      <c r="M114" s="35">
        <f t="shared" si="30"/>
        <v>40.837499999999999</v>
      </c>
      <c r="N114" s="35">
        <f t="shared" si="31"/>
        <v>490.04999999999995</v>
      </c>
      <c r="O114" s="35">
        <f t="shared" si="32"/>
        <v>0</v>
      </c>
      <c r="P114" s="35">
        <f t="shared" si="33"/>
        <v>4900.5</v>
      </c>
      <c r="Q114" s="35">
        <f t="shared" si="34"/>
        <v>4900.5</v>
      </c>
      <c r="R114" s="35">
        <f t="shared" si="35"/>
        <v>0</v>
      </c>
    </row>
    <row r="115" spans="1:18" s="59" customFormat="1" hidden="1" outlineLevel="1">
      <c r="A115" s="53">
        <v>200583</v>
      </c>
      <c r="B115" s="59">
        <v>244</v>
      </c>
      <c r="C115" s="59" t="s">
        <v>788</v>
      </c>
      <c r="D115" s="59">
        <v>2008</v>
      </c>
      <c r="E115" s="59">
        <v>11</v>
      </c>
      <c r="F115" s="59">
        <v>0</v>
      </c>
      <c r="G115" s="59" t="s">
        <v>78</v>
      </c>
      <c r="H115" s="28">
        <v>12</v>
      </c>
      <c r="I115" s="59">
        <f t="shared" si="28"/>
        <v>2020</v>
      </c>
      <c r="J115" s="34">
        <f>+I115+(E115/12)</f>
        <v>2020.9166666666667</v>
      </c>
      <c r="K115" s="35">
        <v>34074.6</v>
      </c>
      <c r="L115" s="35">
        <f t="shared" si="29"/>
        <v>34074.6</v>
      </c>
      <c r="M115" s="35">
        <f t="shared" si="30"/>
        <v>236.62916666666663</v>
      </c>
      <c r="N115" s="35">
        <f t="shared" si="31"/>
        <v>2839.5499999999997</v>
      </c>
      <c r="O115" s="35">
        <f t="shared" si="32"/>
        <v>0</v>
      </c>
      <c r="P115" s="35">
        <f t="shared" si="33"/>
        <v>34074.6</v>
      </c>
      <c r="Q115" s="35">
        <f t="shared" si="34"/>
        <v>34074.6</v>
      </c>
      <c r="R115" s="35">
        <f t="shared" si="35"/>
        <v>0</v>
      </c>
    </row>
    <row r="116" spans="1:18" s="59" customFormat="1" hidden="1" outlineLevel="1">
      <c r="A116" s="53"/>
      <c r="B116" s="59">
        <v>54</v>
      </c>
      <c r="C116" s="59" t="s">
        <v>140</v>
      </c>
      <c r="D116" s="59">
        <v>2008</v>
      </c>
      <c r="E116" s="59">
        <v>8</v>
      </c>
      <c r="F116" s="59">
        <v>0</v>
      </c>
      <c r="G116" s="59" t="s">
        <v>78</v>
      </c>
      <c r="H116" s="28" t="s">
        <v>8</v>
      </c>
      <c r="I116" s="59">
        <f t="shared" si="28"/>
        <v>2013</v>
      </c>
      <c r="J116" s="34">
        <f>+I116+(E116/12)</f>
        <v>2013.6666666666667</v>
      </c>
      <c r="K116" s="35">
        <v>22064.639999999999</v>
      </c>
      <c r="L116" s="35">
        <f t="shared" si="29"/>
        <v>22064.639999999999</v>
      </c>
      <c r="M116" s="35">
        <f t="shared" si="30"/>
        <v>367.74399999999997</v>
      </c>
      <c r="N116" s="35">
        <f t="shared" si="31"/>
        <v>4412.9279999999999</v>
      </c>
      <c r="O116" s="35">
        <f t="shared" si="32"/>
        <v>0</v>
      </c>
      <c r="P116" s="35">
        <f t="shared" si="33"/>
        <v>22064.639999999999</v>
      </c>
      <c r="Q116" s="35">
        <f t="shared" si="34"/>
        <v>22064.639999999999</v>
      </c>
      <c r="R116" s="35">
        <f t="shared" si="35"/>
        <v>0</v>
      </c>
    </row>
    <row r="117" spans="1:18" s="59" customFormat="1" ht="14.25" hidden="1" customHeight="1" outlineLevel="1">
      <c r="A117" s="53"/>
      <c r="B117" s="59">
        <v>21</v>
      </c>
      <c r="C117" s="59" t="s">
        <v>560</v>
      </c>
      <c r="D117" s="59">
        <v>2008</v>
      </c>
      <c r="E117" s="59">
        <v>1</v>
      </c>
      <c r="F117" s="59">
        <v>0</v>
      </c>
      <c r="G117" s="59" t="s">
        <v>78</v>
      </c>
      <c r="H117" s="28" t="s">
        <v>9</v>
      </c>
      <c r="I117" s="59">
        <f t="shared" si="28"/>
        <v>2018</v>
      </c>
      <c r="K117" s="35">
        <v>9746.5499999999993</v>
      </c>
      <c r="L117" s="35">
        <f t="shared" si="29"/>
        <v>9746.5499999999993</v>
      </c>
      <c r="M117" s="35">
        <f t="shared" si="30"/>
        <v>81.221249999999998</v>
      </c>
      <c r="N117" s="35">
        <f t="shared" si="31"/>
        <v>974.65499999999997</v>
      </c>
      <c r="O117" s="35">
        <f t="shared" si="32"/>
        <v>0</v>
      </c>
      <c r="P117" s="35">
        <f t="shared" si="33"/>
        <v>9746.5499999999993</v>
      </c>
      <c r="Q117" s="35">
        <f t="shared" si="34"/>
        <v>9746.5499999999993</v>
      </c>
      <c r="R117" s="35">
        <f t="shared" si="35"/>
        <v>0</v>
      </c>
    </row>
    <row r="118" spans="1:18" s="59" customFormat="1" hidden="1" outlineLevel="1">
      <c r="A118" s="53">
        <v>237935</v>
      </c>
      <c r="B118" s="59">
        <v>1</v>
      </c>
      <c r="C118" s="33" t="s">
        <v>849</v>
      </c>
      <c r="D118" s="59">
        <v>2008</v>
      </c>
      <c r="E118" s="59">
        <v>11</v>
      </c>
      <c r="F118" s="59">
        <v>0</v>
      </c>
      <c r="G118" s="33" t="s">
        <v>78</v>
      </c>
      <c r="H118" s="28">
        <v>12</v>
      </c>
      <c r="I118" s="59">
        <f>D118+H118</f>
        <v>2020</v>
      </c>
      <c r="J118" s="34">
        <f>+I118+(E118/12)</f>
        <v>2020.9166666666667</v>
      </c>
      <c r="K118" s="35">
        <v>274.99</v>
      </c>
      <c r="L118" s="35">
        <f>K118-K118*F118</f>
        <v>274.99</v>
      </c>
      <c r="M118" s="35">
        <f>L118/H118/12</f>
        <v>1.9096527777777779</v>
      </c>
      <c r="N118" s="35">
        <f>+M118*12</f>
        <v>22.915833333333335</v>
      </c>
      <c r="O118" s="35">
        <f>+IF(J118&lt;=$L$5,0,IF(I118&gt;$L$4,N118,(M118*E118)))</f>
        <v>0</v>
      </c>
      <c r="P118" s="35">
        <f>+IF(O118=0,L118,IF($L$3-D118&lt;1,0,(($L$3-D118)*O118)))</f>
        <v>274.99</v>
      </c>
      <c r="Q118" s="35">
        <f>+IF(O118=0,P118,P118+O118)</f>
        <v>274.99</v>
      </c>
      <c r="R118" s="35">
        <f>+K118-Q118</f>
        <v>0</v>
      </c>
    </row>
    <row r="119" spans="1:18" s="59" customFormat="1" hidden="1" outlineLevel="1">
      <c r="A119" s="53">
        <v>78223</v>
      </c>
      <c r="B119" s="59">
        <v>20</v>
      </c>
      <c r="C119" s="59" t="s">
        <v>403</v>
      </c>
      <c r="D119" s="59">
        <v>2010</v>
      </c>
      <c r="E119" s="59">
        <v>10</v>
      </c>
      <c r="F119" s="59">
        <v>0</v>
      </c>
      <c r="G119" s="59" t="s">
        <v>78</v>
      </c>
      <c r="H119" s="28">
        <v>10</v>
      </c>
      <c r="I119" s="59">
        <f t="shared" si="28"/>
        <v>2020</v>
      </c>
      <c r="J119" s="34">
        <f t="shared" ref="J119:J163" si="36">+I119+(E119/12)</f>
        <v>2020.8333333333333</v>
      </c>
      <c r="K119" s="35">
        <v>14298.63</v>
      </c>
      <c r="L119" s="35">
        <f t="shared" si="29"/>
        <v>14298.63</v>
      </c>
      <c r="M119" s="35">
        <f t="shared" si="30"/>
        <v>119.15524999999998</v>
      </c>
      <c r="N119" s="35">
        <f t="shared" si="31"/>
        <v>1429.8629999999998</v>
      </c>
      <c r="O119" s="35">
        <f t="shared" si="32"/>
        <v>0</v>
      </c>
      <c r="P119" s="35">
        <f t="shared" si="33"/>
        <v>14298.63</v>
      </c>
      <c r="Q119" s="35">
        <f t="shared" si="34"/>
        <v>14298.63</v>
      </c>
      <c r="R119" s="35">
        <f t="shared" si="35"/>
        <v>0</v>
      </c>
    </row>
    <row r="120" spans="1:18" s="59" customFormat="1" hidden="1" outlineLevel="1">
      <c r="A120" s="53">
        <v>168615</v>
      </c>
      <c r="B120" s="59">
        <v>14</v>
      </c>
      <c r="C120" s="59" t="s">
        <v>178</v>
      </c>
      <c r="D120" s="59">
        <v>2011</v>
      </c>
      <c r="E120" s="59">
        <v>1</v>
      </c>
      <c r="F120" s="59">
        <v>0</v>
      </c>
      <c r="G120" s="59" t="s">
        <v>78</v>
      </c>
      <c r="H120" s="28">
        <v>1</v>
      </c>
      <c r="I120" s="59">
        <f t="shared" si="28"/>
        <v>2012</v>
      </c>
      <c r="J120" s="34">
        <f t="shared" si="36"/>
        <v>2012.0833333333333</v>
      </c>
      <c r="K120" s="35">
        <v>0.01</v>
      </c>
      <c r="L120" s="35">
        <f t="shared" si="29"/>
        <v>0.01</v>
      </c>
      <c r="M120" s="35">
        <f t="shared" si="30"/>
        <v>8.3333333333333339E-4</v>
      </c>
      <c r="N120" s="35">
        <f t="shared" si="31"/>
        <v>0.01</v>
      </c>
      <c r="O120" s="35">
        <f t="shared" si="32"/>
        <v>0</v>
      </c>
      <c r="P120" s="35">
        <f t="shared" si="33"/>
        <v>0.01</v>
      </c>
      <c r="Q120" s="35">
        <f t="shared" si="34"/>
        <v>0.01</v>
      </c>
      <c r="R120" s="35">
        <f t="shared" si="35"/>
        <v>0</v>
      </c>
    </row>
    <row r="121" spans="1:18" s="59" customFormat="1" collapsed="1">
      <c r="A121" s="53">
        <v>107056</v>
      </c>
      <c r="B121" s="59">
        <v>20</v>
      </c>
      <c r="C121" s="59" t="s">
        <v>279</v>
      </c>
      <c r="D121" s="59">
        <v>2013</v>
      </c>
      <c r="E121" s="59">
        <v>8</v>
      </c>
      <c r="F121" s="59">
        <v>0</v>
      </c>
      <c r="G121" s="59" t="s">
        <v>78</v>
      </c>
      <c r="H121" s="28">
        <v>12</v>
      </c>
      <c r="I121" s="59">
        <f t="shared" si="28"/>
        <v>2025</v>
      </c>
      <c r="J121" s="34">
        <f t="shared" si="36"/>
        <v>2025.6666666666667</v>
      </c>
      <c r="K121" s="35">
        <v>8913.4</v>
      </c>
      <c r="L121" s="35">
        <f t="shared" si="29"/>
        <v>8913.4</v>
      </c>
      <c r="M121" s="35">
        <f t="shared" si="30"/>
        <v>61.898611111111109</v>
      </c>
      <c r="N121" s="35">
        <f t="shared" si="31"/>
        <v>742.7833333333333</v>
      </c>
      <c r="O121" s="35">
        <f t="shared" si="32"/>
        <v>742.7833333333333</v>
      </c>
      <c r="P121" s="35">
        <f t="shared" si="33"/>
        <v>5942.2666666666664</v>
      </c>
      <c r="Q121" s="35">
        <f t="shared" si="34"/>
        <v>6685.0499999999993</v>
      </c>
      <c r="R121" s="35">
        <f t="shared" si="35"/>
        <v>2228.3500000000004</v>
      </c>
    </row>
    <row r="122" spans="1:18" s="59" customFormat="1">
      <c r="A122" s="53">
        <v>106520</v>
      </c>
      <c r="B122" s="59">
        <v>20</v>
      </c>
      <c r="C122" s="59" t="s">
        <v>263</v>
      </c>
      <c r="D122" s="59">
        <v>2013</v>
      </c>
      <c r="E122" s="59">
        <v>8</v>
      </c>
      <c r="F122" s="59">
        <v>0</v>
      </c>
      <c r="G122" s="59" t="s">
        <v>78</v>
      </c>
      <c r="H122" s="28">
        <v>12</v>
      </c>
      <c r="I122" s="59">
        <f t="shared" si="28"/>
        <v>2025</v>
      </c>
      <c r="J122" s="34">
        <f t="shared" si="36"/>
        <v>2025.6666666666667</v>
      </c>
      <c r="K122" s="35">
        <v>10000.4</v>
      </c>
      <c r="L122" s="35">
        <f t="shared" si="29"/>
        <v>10000.4</v>
      </c>
      <c r="M122" s="35">
        <f t="shared" si="30"/>
        <v>69.447222222222223</v>
      </c>
      <c r="N122" s="35">
        <f t="shared" si="31"/>
        <v>833.36666666666667</v>
      </c>
      <c r="O122" s="35">
        <f t="shared" si="32"/>
        <v>833.36666666666667</v>
      </c>
      <c r="P122" s="35">
        <f t="shared" si="33"/>
        <v>6666.9333333333334</v>
      </c>
      <c r="Q122" s="35">
        <f t="shared" si="34"/>
        <v>7500.3</v>
      </c>
      <c r="R122" s="35">
        <f t="shared" si="35"/>
        <v>2500.0999999999995</v>
      </c>
    </row>
    <row r="123" spans="1:18" s="59" customFormat="1">
      <c r="A123" s="53" t="s">
        <v>483</v>
      </c>
      <c r="B123" s="59">
        <v>20</v>
      </c>
      <c r="C123" s="59" t="s">
        <v>228</v>
      </c>
      <c r="D123" s="59">
        <v>2013</v>
      </c>
      <c r="E123" s="59">
        <v>8</v>
      </c>
      <c r="F123" s="59">
        <v>0</v>
      </c>
      <c r="G123" s="59" t="s">
        <v>78</v>
      </c>
      <c r="H123" s="28">
        <v>12</v>
      </c>
      <c r="I123" s="59">
        <f t="shared" si="28"/>
        <v>2025</v>
      </c>
      <c r="J123" s="34">
        <f t="shared" si="36"/>
        <v>2025.6666666666667</v>
      </c>
      <c r="K123" s="35">
        <f>7500.3+5000.2</f>
        <v>12500.5</v>
      </c>
      <c r="L123" s="35">
        <f t="shared" si="29"/>
        <v>12500.5</v>
      </c>
      <c r="M123" s="35">
        <f t="shared" si="30"/>
        <v>86.809027777777771</v>
      </c>
      <c r="N123" s="35">
        <f t="shared" si="31"/>
        <v>1041.7083333333333</v>
      </c>
      <c r="O123" s="35">
        <f t="shared" si="32"/>
        <v>1041.7083333333333</v>
      </c>
      <c r="P123" s="35">
        <f t="shared" si="33"/>
        <v>8333.6666666666661</v>
      </c>
      <c r="Q123" s="35">
        <f t="shared" si="34"/>
        <v>9375.375</v>
      </c>
      <c r="R123" s="35">
        <f t="shared" si="35"/>
        <v>3125.125</v>
      </c>
    </row>
    <row r="124" spans="1:18" s="59" customFormat="1">
      <c r="A124" s="53" t="s">
        <v>484</v>
      </c>
      <c r="B124" s="59">
        <f>11+4+10</f>
        <v>25</v>
      </c>
      <c r="C124" s="59" t="s">
        <v>485</v>
      </c>
      <c r="D124" s="59">
        <v>2013</v>
      </c>
      <c r="E124" s="59">
        <v>9</v>
      </c>
      <c r="F124" s="59">
        <v>0</v>
      </c>
      <c r="G124" s="59" t="s">
        <v>78</v>
      </c>
      <c r="H124" s="28">
        <v>12</v>
      </c>
      <c r="I124" s="59">
        <f t="shared" si="28"/>
        <v>2025</v>
      </c>
      <c r="J124" s="34">
        <f t="shared" si="36"/>
        <v>2025.75</v>
      </c>
      <c r="K124" s="35">
        <f>8668.83+3152.3+3940.38</f>
        <v>15761.510000000002</v>
      </c>
      <c r="L124" s="35">
        <f t="shared" si="29"/>
        <v>15761.510000000002</v>
      </c>
      <c r="M124" s="35">
        <f t="shared" si="30"/>
        <v>109.45493055555556</v>
      </c>
      <c r="N124" s="35">
        <f t="shared" si="31"/>
        <v>1313.4591666666668</v>
      </c>
      <c r="O124" s="35">
        <f t="shared" si="32"/>
        <v>1313.4591666666668</v>
      </c>
      <c r="P124" s="35">
        <f t="shared" si="33"/>
        <v>10507.673333333334</v>
      </c>
      <c r="Q124" s="35">
        <f t="shared" si="34"/>
        <v>11821.132500000002</v>
      </c>
      <c r="R124" s="35">
        <f t="shared" si="35"/>
        <v>3940.3775000000005</v>
      </c>
    </row>
    <row r="125" spans="1:18" s="59" customFormat="1">
      <c r="A125" s="53">
        <v>116680</v>
      </c>
      <c r="B125" s="59">
        <v>15</v>
      </c>
      <c r="C125" s="59" t="s">
        <v>517</v>
      </c>
      <c r="D125" s="59">
        <v>2014</v>
      </c>
      <c r="E125" s="59">
        <v>10</v>
      </c>
      <c r="F125" s="59">
        <v>0</v>
      </c>
      <c r="G125" s="59" t="s">
        <v>78</v>
      </c>
      <c r="H125" s="28">
        <v>12</v>
      </c>
      <c r="I125" s="59">
        <f t="shared" si="28"/>
        <v>2026</v>
      </c>
      <c r="J125" s="34">
        <f t="shared" si="36"/>
        <v>2026.8333333333333</v>
      </c>
      <c r="K125" s="35">
        <v>6799.19</v>
      </c>
      <c r="L125" s="35">
        <f t="shared" si="29"/>
        <v>6799.19</v>
      </c>
      <c r="M125" s="35">
        <f t="shared" si="30"/>
        <v>47.216597222222219</v>
      </c>
      <c r="N125" s="35">
        <f t="shared" si="31"/>
        <v>566.59916666666663</v>
      </c>
      <c r="O125" s="35">
        <f t="shared" si="32"/>
        <v>566.59916666666663</v>
      </c>
      <c r="P125" s="35">
        <f t="shared" si="33"/>
        <v>3966.1941666666662</v>
      </c>
      <c r="Q125" s="35">
        <f t="shared" si="34"/>
        <v>4532.7933333333331</v>
      </c>
      <c r="R125" s="35">
        <f t="shared" si="35"/>
        <v>2266.3966666666665</v>
      </c>
    </row>
    <row r="126" spans="1:18" s="59" customFormat="1">
      <c r="A126" s="53">
        <v>116678</v>
      </c>
      <c r="B126" s="59">
        <v>15</v>
      </c>
      <c r="C126" s="59" t="s">
        <v>515</v>
      </c>
      <c r="D126" s="59">
        <v>2014</v>
      </c>
      <c r="E126" s="59">
        <v>10</v>
      </c>
      <c r="F126" s="59">
        <v>0</v>
      </c>
      <c r="G126" s="59" t="s">
        <v>78</v>
      </c>
      <c r="H126" s="28">
        <v>12</v>
      </c>
      <c r="I126" s="59">
        <f t="shared" si="28"/>
        <v>2026</v>
      </c>
      <c r="J126" s="34">
        <f t="shared" si="36"/>
        <v>2026.8333333333333</v>
      </c>
      <c r="K126" s="35">
        <v>7272.03</v>
      </c>
      <c r="L126" s="35">
        <f t="shared" si="29"/>
        <v>7272.03</v>
      </c>
      <c r="M126" s="35">
        <f t="shared" si="30"/>
        <v>50.500208333333326</v>
      </c>
      <c r="N126" s="35">
        <f t="shared" si="31"/>
        <v>606.00249999999994</v>
      </c>
      <c r="O126" s="35">
        <f t="shared" si="32"/>
        <v>606.00249999999994</v>
      </c>
      <c r="P126" s="35">
        <f t="shared" si="33"/>
        <v>4242.0174999999999</v>
      </c>
      <c r="Q126" s="35">
        <f t="shared" si="34"/>
        <v>4848.0199999999995</v>
      </c>
      <c r="R126" s="35">
        <f t="shared" si="35"/>
        <v>2424.0100000000002</v>
      </c>
    </row>
    <row r="127" spans="1:18" s="59" customFormat="1">
      <c r="A127" s="53">
        <v>116679</v>
      </c>
      <c r="B127" s="59">
        <v>20</v>
      </c>
      <c r="C127" s="59" t="s">
        <v>516</v>
      </c>
      <c r="D127" s="59">
        <v>2014</v>
      </c>
      <c r="E127" s="59">
        <v>10</v>
      </c>
      <c r="F127" s="59">
        <v>0</v>
      </c>
      <c r="G127" s="59" t="s">
        <v>78</v>
      </c>
      <c r="H127" s="28">
        <v>12</v>
      </c>
      <c r="I127" s="59">
        <f t="shared" si="28"/>
        <v>2026</v>
      </c>
      <c r="J127" s="34">
        <f t="shared" si="36"/>
        <v>2026.8333333333333</v>
      </c>
      <c r="K127" s="35">
        <v>10761.3</v>
      </c>
      <c r="L127" s="35">
        <f t="shared" si="29"/>
        <v>10761.3</v>
      </c>
      <c r="M127" s="35">
        <f t="shared" si="30"/>
        <v>74.731250000000003</v>
      </c>
      <c r="N127" s="35">
        <f t="shared" si="31"/>
        <v>896.77500000000009</v>
      </c>
      <c r="O127" s="35">
        <f t="shared" si="32"/>
        <v>896.77500000000009</v>
      </c>
      <c r="P127" s="35">
        <f t="shared" si="33"/>
        <v>6277.4250000000011</v>
      </c>
      <c r="Q127" s="35">
        <f t="shared" si="34"/>
        <v>7174.2000000000007</v>
      </c>
      <c r="R127" s="35">
        <f t="shared" si="35"/>
        <v>3587.0999999999985</v>
      </c>
    </row>
    <row r="128" spans="1:18" s="59" customFormat="1">
      <c r="A128" s="53">
        <v>117223</v>
      </c>
      <c r="B128" s="59">
        <v>15</v>
      </c>
      <c r="C128" s="59" t="s">
        <v>516</v>
      </c>
      <c r="D128" s="59">
        <v>2014</v>
      </c>
      <c r="E128" s="59">
        <v>11</v>
      </c>
      <c r="F128" s="59">
        <v>0</v>
      </c>
      <c r="G128" s="59" t="s">
        <v>78</v>
      </c>
      <c r="H128" s="28">
        <v>12</v>
      </c>
      <c r="I128" s="59">
        <f t="shared" si="28"/>
        <v>2026</v>
      </c>
      <c r="J128" s="34">
        <f t="shared" si="36"/>
        <v>2026.9166666666667</v>
      </c>
      <c r="K128" s="35">
        <v>7907.93</v>
      </c>
      <c r="L128" s="35">
        <f t="shared" si="29"/>
        <v>7907.93</v>
      </c>
      <c r="M128" s="35">
        <f t="shared" si="30"/>
        <v>54.916180555555563</v>
      </c>
      <c r="N128" s="35">
        <f t="shared" si="31"/>
        <v>658.99416666666673</v>
      </c>
      <c r="O128" s="35">
        <f t="shared" si="32"/>
        <v>658.99416666666673</v>
      </c>
      <c r="P128" s="35">
        <f t="shared" si="33"/>
        <v>4612.9591666666674</v>
      </c>
      <c r="Q128" s="35">
        <f t="shared" si="34"/>
        <v>5271.9533333333338</v>
      </c>
      <c r="R128" s="35">
        <f t="shared" si="35"/>
        <v>2635.9766666666665</v>
      </c>
    </row>
    <row r="129" spans="1:18" s="59" customFormat="1">
      <c r="A129" s="53">
        <v>117226</v>
      </c>
      <c r="B129" s="59">
        <v>10</v>
      </c>
      <c r="C129" s="59" t="s">
        <v>520</v>
      </c>
      <c r="D129" s="59">
        <v>2014</v>
      </c>
      <c r="E129" s="59">
        <v>11</v>
      </c>
      <c r="F129" s="59">
        <v>0</v>
      </c>
      <c r="G129" s="59" t="s">
        <v>78</v>
      </c>
      <c r="H129" s="28">
        <v>12</v>
      </c>
      <c r="I129" s="59">
        <f t="shared" si="28"/>
        <v>2026</v>
      </c>
      <c r="J129" s="34">
        <f t="shared" si="36"/>
        <v>2026.9166666666667</v>
      </c>
      <c r="K129" s="35">
        <v>6087.2</v>
      </c>
      <c r="L129" s="35">
        <f t="shared" si="29"/>
        <v>6087.2</v>
      </c>
      <c r="M129" s="35">
        <f t="shared" si="30"/>
        <v>42.272222222222219</v>
      </c>
      <c r="N129" s="35">
        <f t="shared" si="31"/>
        <v>507.26666666666665</v>
      </c>
      <c r="O129" s="35">
        <f t="shared" si="32"/>
        <v>507.26666666666665</v>
      </c>
      <c r="P129" s="35">
        <f t="shared" si="33"/>
        <v>3550.8666666666668</v>
      </c>
      <c r="Q129" s="35">
        <f t="shared" si="34"/>
        <v>4058.1333333333332</v>
      </c>
      <c r="R129" s="35">
        <f t="shared" si="35"/>
        <v>2029.0666666666666</v>
      </c>
    </row>
    <row r="130" spans="1:18" s="59" customFormat="1">
      <c r="A130" s="53">
        <v>117224</v>
      </c>
      <c r="B130" s="59">
        <v>5</v>
      </c>
      <c r="C130" s="59" t="s">
        <v>522</v>
      </c>
      <c r="D130" s="59">
        <v>2014</v>
      </c>
      <c r="E130" s="59">
        <v>11</v>
      </c>
      <c r="F130" s="59">
        <v>0</v>
      </c>
      <c r="G130" s="59" t="s">
        <v>78</v>
      </c>
      <c r="H130" s="28">
        <v>12</v>
      </c>
      <c r="I130" s="59">
        <f t="shared" si="28"/>
        <v>2026</v>
      </c>
      <c r="J130" s="34">
        <f t="shared" si="36"/>
        <v>2026.9166666666667</v>
      </c>
      <c r="K130" s="35">
        <v>3206.65</v>
      </c>
      <c r="L130" s="35">
        <f t="shared" si="29"/>
        <v>3206.65</v>
      </c>
      <c r="M130" s="35">
        <f t="shared" si="30"/>
        <v>22.26840277777778</v>
      </c>
      <c r="N130" s="35">
        <f t="shared" si="31"/>
        <v>267.22083333333336</v>
      </c>
      <c r="O130" s="35">
        <f t="shared" si="32"/>
        <v>267.22083333333336</v>
      </c>
      <c r="P130" s="35">
        <f t="shared" si="33"/>
        <v>1870.5458333333336</v>
      </c>
      <c r="Q130" s="35">
        <f t="shared" si="34"/>
        <v>2137.7666666666669</v>
      </c>
      <c r="R130" s="35">
        <f t="shared" si="35"/>
        <v>1068.8833333333332</v>
      </c>
    </row>
    <row r="131" spans="1:18" s="59" customFormat="1">
      <c r="A131" s="53">
        <v>117225</v>
      </c>
      <c r="B131" s="59">
        <v>10</v>
      </c>
      <c r="C131" s="59" t="s">
        <v>521</v>
      </c>
      <c r="D131" s="59">
        <v>2014</v>
      </c>
      <c r="E131" s="59">
        <v>11</v>
      </c>
      <c r="F131" s="59">
        <v>0</v>
      </c>
      <c r="G131" s="59" t="s">
        <v>78</v>
      </c>
      <c r="H131" s="28">
        <v>12</v>
      </c>
      <c r="I131" s="59">
        <f t="shared" si="28"/>
        <v>2026</v>
      </c>
      <c r="J131" s="34">
        <f t="shared" si="36"/>
        <v>2026.9166666666667</v>
      </c>
      <c r="K131" s="35">
        <v>8098.15</v>
      </c>
      <c r="L131" s="35">
        <f t="shared" si="29"/>
        <v>8098.15</v>
      </c>
      <c r="M131" s="35">
        <f t="shared" si="30"/>
        <v>56.237152777777773</v>
      </c>
      <c r="N131" s="35">
        <f t="shared" si="31"/>
        <v>674.8458333333333</v>
      </c>
      <c r="O131" s="35">
        <f t="shared" si="32"/>
        <v>674.8458333333333</v>
      </c>
      <c r="P131" s="35">
        <f t="shared" si="33"/>
        <v>4723.9208333333336</v>
      </c>
      <c r="Q131" s="35">
        <f t="shared" si="34"/>
        <v>5398.7666666666664</v>
      </c>
      <c r="R131" s="35">
        <f t="shared" si="35"/>
        <v>2699.3833333333332</v>
      </c>
    </row>
    <row r="132" spans="1:18" s="59" customFormat="1">
      <c r="A132" s="53">
        <v>124971</v>
      </c>
      <c r="B132" s="59">
        <v>11</v>
      </c>
      <c r="C132" s="59" t="s">
        <v>517</v>
      </c>
      <c r="D132" s="59">
        <v>2015</v>
      </c>
      <c r="E132" s="59">
        <v>7</v>
      </c>
      <c r="F132" s="59">
        <v>0</v>
      </c>
      <c r="G132" s="59" t="s">
        <v>78</v>
      </c>
      <c r="H132" s="28">
        <v>12</v>
      </c>
      <c r="I132" s="59">
        <f t="shared" si="28"/>
        <v>2027</v>
      </c>
      <c r="J132" s="34">
        <f t="shared" si="36"/>
        <v>2027.5833333333333</v>
      </c>
      <c r="K132" s="35">
        <v>5287.17</v>
      </c>
      <c r="L132" s="35">
        <f t="shared" si="29"/>
        <v>5287.17</v>
      </c>
      <c r="M132" s="35">
        <f t="shared" si="30"/>
        <v>36.716458333333335</v>
      </c>
      <c r="N132" s="35">
        <f t="shared" si="31"/>
        <v>440.59750000000003</v>
      </c>
      <c r="O132" s="35">
        <f t="shared" si="32"/>
        <v>440.59750000000003</v>
      </c>
      <c r="P132" s="35">
        <f t="shared" si="33"/>
        <v>2643.585</v>
      </c>
      <c r="Q132" s="35">
        <f t="shared" si="34"/>
        <v>3084.1824999999999</v>
      </c>
      <c r="R132" s="35">
        <f t="shared" si="35"/>
        <v>2202.9875000000002</v>
      </c>
    </row>
    <row r="133" spans="1:18" s="59" customFormat="1">
      <c r="A133" s="53">
        <v>126750</v>
      </c>
      <c r="B133" s="59">
        <v>15</v>
      </c>
      <c r="C133" s="59" t="s">
        <v>517</v>
      </c>
      <c r="D133" s="59">
        <v>2015</v>
      </c>
      <c r="E133" s="59">
        <v>10</v>
      </c>
      <c r="F133" s="59">
        <v>0</v>
      </c>
      <c r="G133" s="59" t="s">
        <v>78</v>
      </c>
      <c r="H133" s="28">
        <v>12</v>
      </c>
      <c r="I133" s="59">
        <f t="shared" si="28"/>
        <v>2027</v>
      </c>
      <c r="J133" s="34">
        <f t="shared" si="36"/>
        <v>2027.8333333333333</v>
      </c>
      <c r="K133" s="35">
        <v>6522</v>
      </c>
      <c r="L133" s="35">
        <f t="shared" si="29"/>
        <v>6522</v>
      </c>
      <c r="M133" s="35">
        <f t="shared" si="30"/>
        <v>45.291666666666664</v>
      </c>
      <c r="N133" s="35">
        <f t="shared" si="31"/>
        <v>543.5</v>
      </c>
      <c r="O133" s="35">
        <f t="shared" si="32"/>
        <v>543.5</v>
      </c>
      <c r="P133" s="35">
        <f t="shared" si="33"/>
        <v>3261</v>
      </c>
      <c r="Q133" s="35">
        <f t="shared" si="34"/>
        <v>3804.5</v>
      </c>
      <c r="R133" s="35">
        <f t="shared" si="35"/>
        <v>2717.5</v>
      </c>
    </row>
    <row r="134" spans="1:18" s="59" customFormat="1">
      <c r="A134" s="53">
        <v>124972</v>
      </c>
      <c r="B134" s="59">
        <v>11</v>
      </c>
      <c r="C134" s="59" t="s">
        <v>515</v>
      </c>
      <c r="D134" s="59">
        <v>2015</v>
      </c>
      <c r="E134" s="59">
        <v>7</v>
      </c>
      <c r="F134" s="59">
        <v>0</v>
      </c>
      <c r="G134" s="59" t="s">
        <v>78</v>
      </c>
      <c r="H134" s="28">
        <v>12</v>
      </c>
      <c r="I134" s="59">
        <f t="shared" si="28"/>
        <v>2027</v>
      </c>
      <c r="J134" s="34">
        <f t="shared" si="36"/>
        <v>2027.5833333333333</v>
      </c>
      <c r="K134" s="35">
        <v>5705.66</v>
      </c>
      <c r="L134" s="35">
        <f t="shared" si="29"/>
        <v>5705.66</v>
      </c>
      <c r="M134" s="35">
        <f t="shared" si="30"/>
        <v>39.622638888888886</v>
      </c>
      <c r="N134" s="35">
        <f t="shared" si="31"/>
        <v>475.47166666666664</v>
      </c>
      <c r="O134" s="35">
        <f t="shared" si="32"/>
        <v>475.47166666666664</v>
      </c>
      <c r="P134" s="35">
        <f t="shared" si="33"/>
        <v>2852.83</v>
      </c>
      <c r="Q134" s="35">
        <f t="shared" si="34"/>
        <v>3328.3016666666667</v>
      </c>
      <c r="R134" s="35">
        <f t="shared" si="35"/>
        <v>2377.3583333333331</v>
      </c>
    </row>
    <row r="135" spans="1:18" s="59" customFormat="1">
      <c r="A135" s="53">
        <v>124973</v>
      </c>
      <c r="B135" s="59">
        <v>11</v>
      </c>
      <c r="C135" s="59" t="s">
        <v>516</v>
      </c>
      <c r="D135" s="59">
        <v>2015</v>
      </c>
      <c r="E135" s="59">
        <v>7</v>
      </c>
      <c r="F135" s="59">
        <v>0</v>
      </c>
      <c r="G135" s="59" t="s">
        <v>78</v>
      </c>
      <c r="H135" s="28">
        <v>12</v>
      </c>
      <c r="I135" s="59">
        <f t="shared" si="28"/>
        <v>2027</v>
      </c>
      <c r="J135" s="34">
        <f t="shared" si="36"/>
        <v>2027.5833333333333</v>
      </c>
      <c r="K135" s="35">
        <v>6028.5</v>
      </c>
      <c r="L135" s="35">
        <f t="shared" si="29"/>
        <v>6028.5</v>
      </c>
      <c r="M135" s="35">
        <f t="shared" si="30"/>
        <v>41.864583333333336</v>
      </c>
      <c r="N135" s="35">
        <f t="shared" si="31"/>
        <v>502.375</v>
      </c>
      <c r="O135" s="35">
        <f t="shared" si="32"/>
        <v>502.375</v>
      </c>
      <c r="P135" s="35">
        <f t="shared" si="33"/>
        <v>3014.25</v>
      </c>
      <c r="Q135" s="35">
        <f t="shared" si="34"/>
        <v>3516.625</v>
      </c>
      <c r="R135" s="35">
        <f t="shared" si="35"/>
        <v>2511.875</v>
      </c>
    </row>
    <row r="136" spans="1:18" s="59" customFormat="1">
      <c r="A136" s="53">
        <v>126833</v>
      </c>
      <c r="B136" s="59">
        <v>15</v>
      </c>
      <c r="C136" s="59" t="s">
        <v>516</v>
      </c>
      <c r="D136" s="59">
        <v>2015</v>
      </c>
      <c r="E136" s="59">
        <v>10</v>
      </c>
      <c r="F136" s="59">
        <v>0</v>
      </c>
      <c r="G136" s="59" t="s">
        <v>78</v>
      </c>
      <c r="H136" s="28">
        <v>12</v>
      </c>
      <c r="I136" s="59">
        <f t="shared" si="28"/>
        <v>2027</v>
      </c>
      <c r="J136" s="34">
        <f t="shared" si="36"/>
        <v>2027.8333333333333</v>
      </c>
      <c r="K136" s="35">
        <v>7092.68</v>
      </c>
      <c r="L136" s="35">
        <f t="shared" si="29"/>
        <v>7092.68</v>
      </c>
      <c r="M136" s="35">
        <f t="shared" si="30"/>
        <v>49.254722222222227</v>
      </c>
      <c r="N136" s="35">
        <f t="shared" si="31"/>
        <v>591.05666666666673</v>
      </c>
      <c r="O136" s="35">
        <f t="shared" si="32"/>
        <v>591.05666666666673</v>
      </c>
      <c r="P136" s="35">
        <f t="shared" si="33"/>
        <v>3546.34</v>
      </c>
      <c r="Q136" s="35">
        <f t="shared" si="34"/>
        <v>4137.3966666666665</v>
      </c>
      <c r="R136" s="35">
        <f t="shared" si="35"/>
        <v>2955.2833333333338</v>
      </c>
    </row>
    <row r="137" spans="1:18" s="59" customFormat="1" ht="11.25" customHeight="1">
      <c r="A137" s="53">
        <v>124969</v>
      </c>
      <c r="B137" s="59">
        <v>11</v>
      </c>
      <c r="C137" s="59" t="s">
        <v>566</v>
      </c>
      <c r="D137" s="59">
        <v>2015</v>
      </c>
      <c r="E137" s="59">
        <v>7</v>
      </c>
      <c r="F137" s="59">
        <v>0</v>
      </c>
      <c r="G137" s="59" t="s">
        <v>78</v>
      </c>
      <c r="H137" s="28">
        <v>12</v>
      </c>
      <c r="I137" s="59">
        <f t="shared" si="28"/>
        <v>2027</v>
      </c>
      <c r="J137" s="34">
        <f t="shared" si="36"/>
        <v>2027.5833333333333</v>
      </c>
      <c r="K137" s="35">
        <v>6662.22</v>
      </c>
      <c r="L137" s="35">
        <f t="shared" si="29"/>
        <v>6662.22</v>
      </c>
      <c r="M137" s="35">
        <f t="shared" si="30"/>
        <v>46.265416666666674</v>
      </c>
      <c r="N137" s="35">
        <f t="shared" si="31"/>
        <v>555.18500000000006</v>
      </c>
      <c r="O137" s="35">
        <f t="shared" si="32"/>
        <v>555.18500000000006</v>
      </c>
      <c r="P137" s="35">
        <f t="shared" si="33"/>
        <v>3331.1100000000006</v>
      </c>
      <c r="Q137" s="35">
        <f t="shared" si="34"/>
        <v>3886.2950000000005</v>
      </c>
      <c r="R137" s="35">
        <f t="shared" si="35"/>
        <v>2775.9249999999997</v>
      </c>
    </row>
    <row r="138" spans="1:18" s="59" customFormat="1">
      <c r="A138" s="53">
        <v>126472</v>
      </c>
      <c r="B138" s="59">
        <v>10</v>
      </c>
      <c r="C138" s="59" t="s">
        <v>566</v>
      </c>
      <c r="D138" s="59">
        <v>2015</v>
      </c>
      <c r="E138" s="59">
        <v>10</v>
      </c>
      <c r="F138" s="59">
        <v>0</v>
      </c>
      <c r="G138" s="59" t="s">
        <v>78</v>
      </c>
      <c r="H138" s="28">
        <v>12</v>
      </c>
      <c r="I138" s="59">
        <f t="shared" si="28"/>
        <v>2027</v>
      </c>
      <c r="J138" s="34">
        <f t="shared" si="36"/>
        <v>2027.8333333333333</v>
      </c>
      <c r="K138" s="35">
        <v>6282.86</v>
      </c>
      <c r="L138" s="35">
        <f t="shared" si="29"/>
        <v>6282.86</v>
      </c>
      <c r="M138" s="35">
        <f t="shared" si="30"/>
        <v>43.630972222222219</v>
      </c>
      <c r="N138" s="35">
        <f t="shared" si="31"/>
        <v>523.5716666666666</v>
      </c>
      <c r="O138" s="35">
        <f t="shared" si="32"/>
        <v>523.5716666666666</v>
      </c>
      <c r="P138" s="35">
        <f t="shared" si="33"/>
        <v>3141.4299999999994</v>
      </c>
      <c r="Q138" s="35">
        <f t="shared" si="34"/>
        <v>3665.0016666666661</v>
      </c>
      <c r="R138" s="35">
        <f t="shared" si="35"/>
        <v>2617.8583333333336</v>
      </c>
    </row>
    <row r="139" spans="1:18" s="59" customFormat="1">
      <c r="A139" s="53">
        <v>126867</v>
      </c>
      <c r="B139" s="59">
        <v>5</v>
      </c>
      <c r="C139" s="59" t="s">
        <v>581</v>
      </c>
      <c r="D139" s="59">
        <v>2015</v>
      </c>
      <c r="E139" s="59">
        <v>10</v>
      </c>
      <c r="F139" s="59">
        <v>0</v>
      </c>
      <c r="G139" s="59" t="s">
        <v>78</v>
      </c>
      <c r="H139" s="28">
        <v>12</v>
      </c>
      <c r="I139" s="59">
        <f t="shared" si="28"/>
        <v>2027</v>
      </c>
      <c r="J139" s="34">
        <f t="shared" si="36"/>
        <v>2027.8333333333333</v>
      </c>
      <c r="K139" s="35">
        <v>4864.33</v>
      </c>
      <c r="L139" s="35">
        <f t="shared" si="29"/>
        <v>4864.33</v>
      </c>
      <c r="M139" s="35">
        <f t="shared" si="30"/>
        <v>33.780069444444443</v>
      </c>
      <c r="N139" s="35">
        <f t="shared" si="31"/>
        <v>405.36083333333329</v>
      </c>
      <c r="O139" s="35">
        <f t="shared" si="32"/>
        <v>405.36083333333329</v>
      </c>
      <c r="P139" s="35">
        <f t="shared" si="33"/>
        <v>2432.165</v>
      </c>
      <c r="Q139" s="35">
        <f t="shared" si="34"/>
        <v>2837.5258333333331</v>
      </c>
      <c r="R139" s="35">
        <f t="shared" si="35"/>
        <v>2026.8041666666668</v>
      </c>
    </row>
    <row r="140" spans="1:18" s="59" customFormat="1">
      <c r="A140" s="53">
        <v>124970</v>
      </c>
      <c r="B140" s="59">
        <v>11</v>
      </c>
      <c r="C140" s="59" t="s">
        <v>567</v>
      </c>
      <c r="D140" s="59">
        <v>2015</v>
      </c>
      <c r="E140" s="59">
        <v>7</v>
      </c>
      <c r="F140" s="59">
        <v>0</v>
      </c>
      <c r="G140" s="59" t="s">
        <v>78</v>
      </c>
      <c r="H140" s="28">
        <v>12</v>
      </c>
      <c r="I140" s="59">
        <f t="shared" ref="I140:I163" si="37">D140+H140</f>
        <v>2027</v>
      </c>
      <c r="J140" s="34">
        <f t="shared" si="36"/>
        <v>2027.5833333333333</v>
      </c>
      <c r="K140" s="35">
        <v>8862.32</v>
      </c>
      <c r="L140" s="35">
        <f t="shared" ref="L140:L163" si="38">K140-K140*F140</f>
        <v>8862.32</v>
      </c>
      <c r="M140" s="35">
        <f t="shared" ref="M140:M163" si="39">L140/H140/12</f>
        <v>61.543888888888887</v>
      </c>
      <c r="N140" s="35">
        <f t="shared" ref="N140:N163" si="40">+M140*12</f>
        <v>738.52666666666664</v>
      </c>
      <c r="O140" s="35">
        <f t="shared" ref="O140:O163" si="41">+IF(J140&lt;=$L$5,0,IF(I140&gt;$L$4,N140,(M140*E140)))</f>
        <v>738.52666666666664</v>
      </c>
      <c r="P140" s="35">
        <f t="shared" ref="P140:P163" si="42">+IF(O140=0,L140,IF($L$3-D140&lt;1,0,(($L$3-D140)*O140)))</f>
        <v>4431.16</v>
      </c>
      <c r="Q140" s="35">
        <f t="shared" ref="Q140:Q163" si="43">+IF(O140=0,P140,P140+O140)</f>
        <v>5169.6866666666665</v>
      </c>
      <c r="R140" s="35">
        <f t="shared" ref="R140:R163" si="44">+K140-Q140</f>
        <v>3692.6333333333332</v>
      </c>
    </row>
    <row r="141" spans="1:18" s="59" customFormat="1">
      <c r="A141" s="53">
        <v>126751</v>
      </c>
      <c r="B141" s="59">
        <v>3</v>
      </c>
      <c r="C141" s="59" t="s">
        <v>567</v>
      </c>
      <c r="D141" s="59">
        <v>2015</v>
      </c>
      <c r="E141" s="59">
        <v>10</v>
      </c>
      <c r="F141" s="59">
        <v>0</v>
      </c>
      <c r="G141" s="59" t="s">
        <v>78</v>
      </c>
      <c r="H141" s="28">
        <v>12</v>
      </c>
      <c r="I141" s="59">
        <f t="shared" si="37"/>
        <v>2027</v>
      </c>
      <c r="J141" s="34">
        <f t="shared" si="36"/>
        <v>2027.8333333333333</v>
      </c>
      <c r="K141" s="35">
        <v>2592.5</v>
      </c>
      <c r="L141" s="35">
        <f t="shared" si="38"/>
        <v>2592.5</v>
      </c>
      <c r="M141" s="35">
        <f t="shared" si="39"/>
        <v>18.003472222222221</v>
      </c>
      <c r="N141" s="35">
        <f t="shared" si="40"/>
        <v>216.04166666666666</v>
      </c>
      <c r="O141" s="35">
        <f t="shared" si="41"/>
        <v>216.04166666666666</v>
      </c>
      <c r="P141" s="35">
        <f t="shared" si="42"/>
        <v>1296.25</v>
      </c>
      <c r="Q141" s="35">
        <f t="shared" si="43"/>
        <v>1512.2916666666667</v>
      </c>
      <c r="R141" s="35">
        <f t="shared" si="44"/>
        <v>1080.2083333333333</v>
      </c>
    </row>
    <row r="142" spans="1:18" s="59" customFormat="1">
      <c r="A142" s="53">
        <v>126832</v>
      </c>
      <c r="B142" s="59">
        <v>2</v>
      </c>
      <c r="C142" s="59" t="s">
        <v>567</v>
      </c>
      <c r="D142" s="59">
        <v>2015</v>
      </c>
      <c r="E142" s="59">
        <v>10</v>
      </c>
      <c r="F142" s="59">
        <v>0</v>
      </c>
      <c r="G142" s="59" t="s">
        <v>78</v>
      </c>
      <c r="H142" s="28">
        <v>12</v>
      </c>
      <c r="I142" s="59">
        <f t="shared" si="37"/>
        <v>2027</v>
      </c>
      <c r="J142" s="34">
        <f t="shared" si="36"/>
        <v>2027.8333333333333</v>
      </c>
      <c r="K142" s="35">
        <v>1728.33</v>
      </c>
      <c r="L142" s="35">
        <f t="shared" si="38"/>
        <v>1728.33</v>
      </c>
      <c r="M142" s="35">
        <f t="shared" si="39"/>
        <v>12.002291666666666</v>
      </c>
      <c r="N142" s="35">
        <f t="shared" si="40"/>
        <v>144.0275</v>
      </c>
      <c r="O142" s="35">
        <f t="shared" si="41"/>
        <v>144.0275</v>
      </c>
      <c r="P142" s="35">
        <f t="shared" si="42"/>
        <v>864.16499999999996</v>
      </c>
      <c r="Q142" s="35">
        <f t="shared" si="43"/>
        <v>1008.1925</v>
      </c>
      <c r="R142" s="35">
        <f t="shared" si="44"/>
        <v>720.13749999999993</v>
      </c>
    </row>
    <row r="143" spans="1:18" s="59" customFormat="1">
      <c r="A143" s="53">
        <v>132481</v>
      </c>
      <c r="B143" s="59">
        <v>25</v>
      </c>
      <c r="C143" s="59" t="s">
        <v>517</v>
      </c>
      <c r="D143" s="59">
        <v>2016</v>
      </c>
      <c r="E143" s="59">
        <v>4</v>
      </c>
      <c r="F143" s="59">
        <v>0</v>
      </c>
      <c r="G143" s="59" t="s">
        <v>78</v>
      </c>
      <c r="H143" s="28">
        <v>12</v>
      </c>
      <c r="I143" s="59">
        <f t="shared" si="37"/>
        <v>2028</v>
      </c>
      <c r="J143" s="34">
        <f t="shared" si="36"/>
        <v>2028.3333333333333</v>
      </c>
      <c r="K143" s="35">
        <v>10870</v>
      </c>
      <c r="L143" s="35">
        <f t="shared" si="38"/>
        <v>10870</v>
      </c>
      <c r="M143" s="35">
        <f t="shared" si="39"/>
        <v>75.486111111111114</v>
      </c>
      <c r="N143" s="35">
        <f t="shared" si="40"/>
        <v>905.83333333333337</v>
      </c>
      <c r="O143" s="35">
        <f t="shared" si="41"/>
        <v>905.83333333333337</v>
      </c>
      <c r="P143" s="35">
        <f t="shared" si="42"/>
        <v>4529.166666666667</v>
      </c>
      <c r="Q143" s="35">
        <f t="shared" si="43"/>
        <v>5435</v>
      </c>
      <c r="R143" s="35">
        <f t="shared" si="44"/>
        <v>5435</v>
      </c>
    </row>
    <row r="144" spans="1:18" s="59" customFormat="1" ht="12.75" customHeight="1">
      <c r="A144" s="53">
        <v>132482</v>
      </c>
      <c r="B144" s="59">
        <v>15</v>
      </c>
      <c r="C144" s="59" t="s">
        <v>515</v>
      </c>
      <c r="D144" s="59">
        <v>2016</v>
      </c>
      <c r="E144" s="59">
        <v>4</v>
      </c>
      <c r="F144" s="59">
        <v>0</v>
      </c>
      <c r="G144" s="59" t="s">
        <v>78</v>
      </c>
      <c r="H144" s="28">
        <v>12</v>
      </c>
      <c r="I144" s="59">
        <f t="shared" si="37"/>
        <v>2028</v>
      </c>
      <c r="J144" s="34">
        <f t="shared" si="36"/>
        <v>2028.3333333333333</v>
      </c>
      <c r="K144" s="35">
        <v>7092.68</v>
      </c>
      <c r="L144" s="35">
        <f t="shared" si="38"/>
        <v>7092.68</v>
      </c>
      <c r="M144" s="35">
        <f t="shared" si="39"/>
        <v>49.254722222222227</v>
      </c>
      <c r="N144" s="35">
        <f t="shared" si="40"/>
        <v>591.05666666666673</v>
      </c>
      <c r="O144" s="35">
        <f t="shared" si="41"/>
        <v>591.05666666666673</v>
      </c>
      <c r="P144" s="35">
        <f t="shared" si="42"/>
        <v>2955.2833333333338</v>
      </c>
      <c r="Q144" s="35">
        <f t="shared" si="43"/>
        <v>3546.3400000000006</v>
      </c>
      <c r="R144" s="35">
        <f t="shared" si="44"/>
        <v>3546.3399999999997</v>
      </c>
    </row>
    <row r="145" spans="1:18" s="59" customFormat="1">
      <c r="A145" s="53">
        <v>167286</v>
      </c>
      <c r="B145" s="59">
        <v>40</v>
      </c>
      <c r="C145" s="59" t="s">
        <v>607</v>
      </c>
      <c r="D145" s="59">
        <v>2016</v>
      </c>
      <c r="E145" s="59">
        <v>8</v>
      </c>
      <c r="F145" s="59">
        <v>0</v>
      </c>
      <c r="G145" s="59" t="s">
        <v>78</v>
      </c>
      <c r="H145" s="28">
        <v>12</v>
      </c>
      <c r="I145" s="59">
        <f t="shared" si="37"/>
        <v>2028</v>
      </c>
      <c r="J145" s="34">
        <f t="shared" si="36"/>
        <v>2028.6666666666667</v>
      </c>
      <c r="K145" s="35">
        <v>23044.400000000001</v>
      </c>
      <c r="L145" s="35">
        <f t="shared" si="38"/>
        <v>23044.400000000001</v>
      </c>
      <c r="M145" s="35">
        <f t="shared" si="39"/>
        <v>160.03055555555557</v>
      </c>
      <c r="N145" s="35">
        <f t="shared" si="40"/>
        <v>1920.3666666666668</v>
      </c>
      <c r="O145" s="35">
        <f t="shared" si="41"/>
        <v>1920.3666666666668</v>
      </c>
      <c r="P145" s="35">
        <f t="shared" si="42"/>
        <v>9601.8333333333339</v>
      </c>
      <c r="Q145" s="35">
        <f t="shared" si="43"/>
        <v>11522.2</v>
      </c>
      <c r="R145" s="35">
        <f t="shared" si="44"/>
        <v>11522.2</v>
      </c>
    </row>
    <row r="146" spans="1:18" s="59" customFormat="1">
      <c r="A146" s="53">
        <v>132480</v>
      </c>
      <c r="B146" s="59">
        <v>10</v>
      </c>
      <c r="C146" s="59" t="s">
        <v>566</v>
      </c>
      <c r="D146" s="59">
        <v>2016</v>
      </c>
      <c r="E146" s="59">
        <v>4</v>
      </c>
      <c r="F146" s="59">
        <v>0</v>
      </c>
      <c r="G146" s="59" t="s">
        <v>78</v>
      </c>
      <c r="H146" s="28">
        <v>12</v>
      </c>
      <c r="I146" s="59">
        <f t="shared" si="37"/>
        <v>2028</v>
      </c>
      <c r="J146" s="34">
        <f t="shared" si="36"/>
        <v>2028.3333333333333</v>
      </c>
      <c r="K146" s="35">
        <v>6282.86</v>
      </c>
      <c r="L146" s="35">
        <f t="shared" si="38"/>
        <v>6282.86</v>
      </c>
      <c r="M146" s="35">
        <f t="shared" si="39"/>
        <v>43.630972222222219</v>
      </c>
      <c r="N146" s="35">
        <f t="shared" si="40"/>
        <v>523.5716666666666</v>
      </c>
      <c r="O146" s="35">
        <f t="shared" si="41"/>
        <v>523.5716666666666</v>
      </c>
      <c r="P146" s="35">
        <f t="shared" si="42"/>
        <v>2617.8583333333331</v>
      </c>
      <c r="Q146" s="35">
        <f t="shared" si="43"/>
        <v>3141.43</v>
      </c>
      <c r="R146" s="35">
        <f t="shared" si="44"/>
        <v>3141.43</v>
      </c>
    </row>
    <row r="147" spans="1:18" s="59" customFormat="1">
      <c r="A147" s="53">
        <v>132478</v>
      </c>
      <c r="B147" s="59">
        <v>15</v>
      </c>
      <c r="C147" s="59" t="s">
        <v>567</v>
      </c>
      <c r="D147" s="59">
        <v>2016</v>
      </c>
      <c r="E147" s="59">
        <v>4</v>
      </c>
      <c r="F147" s="59">
        <v>0</v>
      </c>
      <c r="G147" s="59" t="s">
        <v>78</v>
      </c>
      <c r="H147" s="28">
        <v>12</v>
      </c>
      <c r="I147" s="59">
        <f t="shared" si="37"/>
        <v>2028</v>
      </c>
      <c r="J147" s="34">
        <f t="shared" si="36"/>
        <v>2028.3333333333333</v>
      </c>
      <c r="K147" s="35">
        <v>12636.38</v>
      </c>
      <c r="L147" s="35">
        <f t="shared" si="38"/>
        <v>12636.38</v>
      </c>
      <c r="M147" s="35">
        <f t="shared" si="39"/>
        <v>87.752638888888882</v>
      </c>
      <c r="N147" s="35">
        <f t="shared" si="40"/>
        <v>1053.0316666666665</v>
      </c>
      <c r="O147" s="35">
        <f t="shared" si="41"/>
        <v>1053.0316666666665</v>
      </c>
      <c r="P147" s="35">
        <f t="shared" si="42"/>
        <v>5265.1583333333328</v>
      </c>
      <c r="Q147" s="35">
        <f t="shared" si="43"/>
        <v>6318.19</v>
      </c>
      <c r="R147" s="35">
        <f t="shared" si="44"/>
        <v>6318.19</v>
      </c>
    </row>
    <row r="148" spans="1:18" s="59" customFormat="1">
      <c r="A148" s="53">
        <v>177571</v>
      </c>
      <c r="B148" s="59">
        <v>8</v>
      </c>
      <c r="C148" s="59" t="s">
        <v>613</v>
      </c>
      <c r="D148" s="59">
        <v>2017</v>
      </c>
      <c r="E148" s="59">
        <v>1</v>
      </c>
      <c r="F148" s="59">
        <v>0</v>
      </c>
      <c r="G148" s="59" t="s">
        <v>78</v>
      </c>
      <c r="H148" s="28">
        <v>12</v>
      </c>
      <c r="I148" s="59">
        <f t="shared" si="37"/>
        <v>2029</v>
      </c>
      <c r="J148" s="34">
        <f t="shared" si="36"/>
        <v>2029.0833333333333</v>
      </c>
      <c r="K148" s="35">
        <v>3921.9</v>
      </c>
      <c r="L148" s="35">
        <f t="shared" si="38"/>
        <v>3921.9</v>
      </c>
      <c r="M148" s="35">
        <f t="shared" si="39"/>
        <v>27.235416666666666</v>
      </c>
      <c r="N148" s="35">
        <f t="shared" si="40"/>
        <v>326.82499999999999</v>
      </c>
      <c r="O148" s="35">
        <f t="shared" si="41"/>
        <v>326.82499999999999</v>
      </c>
      <c r="P148" s="35">
        <f t="shared" si="42"/>
        <v>1307.3</v>
      </c>
      <c r="Q148" s="35">
        <f t="shared" si="43"/>
        <v>1634.125</v>
      </c>
      <c r="R148" s="35">
        <f t="shared" si="44"/>
        <v>2287.7750000000001</v>
      </c>
    </row>
    <row r="149" spans="1:18" s="59" customFormat="1">
      <c r="A149" s="53">
        <v>184510</v>
      </c>
      <c r="B149" s="59">
        <v>20</v>
      </c>
      <c r="C149" s="59" t="s">
        <v>613</v>
      </c>
      <c r="D149" s="59">
        <v>2017</v>
      </c>
      <c r="E149" s="59">
        <v>7</v>
      </c>
      <c r="F149" s="59">
        <v>0</v>
      </c>
      <c r="G149" s="59" t="s">
        <v>78</v>
      </c>
      <c r="H149" s="28">
        <v>12</v>
      </c>
      <c r="I149" s="59">
        <f t="shared" si="37"/>
        <v>2029</v>
      </c>
      <c r="J149" s="34">
        <f t="shared" si="36"/>
        <v>2029.5833333333333</v>
      </c>
      <c r="K149" s="35">
        <v>10208.879999999999</v>
      </c>
      <c r="L149" s="35">
        <f t="shared" si="38"/>
        <v>10208.879999999999</v>
      </c>
      <c r="M149" s="35">
        <f t="shared" si="39"/>
        <v>70.894999999999996</v>
      </c>
      <c r="N149" s="35">
        <f t="shared" si="40"/>
        <v>850.74</v>
      </c>
      <c r="O149" s="35">
        <f t="shared" si="41"/>
        <v>850.74</v>
      </c>
      <c r="P149" s="35">
        <f t="shared" si="42"/>
        <v>3402.96</v>
      </c>
      <c r="Q149" s="35">
        <f t="shared" si="43"/>
        <v>4253.7</v>
      </c>
      <c r="R149" s="35">
        <f t="shared" si="44"/>
        <v>5955.1799999999994</v>
      </c>
    </row>
    <row r="150" spans="1:18" s="59" customFormat="1">
      <c r="A150" s="53">
        <v>172713</v>
      </c>
      <c r="B150" s="59">
        <v>12</v>
      </c>
      <c r="C150" s="59" t="s">
        <v>627</v>
      </c>
      <c r="D150" s="59">
        <v>2017</v>
      </c>
      <c r="E150" s="59">
        <v>1</v>
      </c>
      <c r="F150" s="59">
        <v>0</v>
      </c>
      <c r="G150" s="59" t="s">
        <v>78</v>
      </c>
      <c r="H150" s="28">
        <v>12</v>
      </c>
      <c r="I150" s="59">
        <f t="shared" si="37"/>
        <v>2029</v>
      </c>
      <c r="J150" s="34">
        <f t="shared" si="36"/>
        <v>2029.0833333333333</v>
      </c>
      <c r="K150" s="35">
        <v>5882.84</v>
      </c>
      <c r="L150" s="35">
        <f t="shared" si="38"/>
        <v>5882.84</v>
      </c>
      <c r="M150" s="35">
        <f t="shared" si="39"/>
        <v>40.853055555555557</v>
      </c>
      <c r="N150" s="35">
        <f t="shared" si="40"/>
        <v>490.23666666666668</v>
      </c>
      <c r="O150" s="35">
        <f t="shared" si="41"/>
        <v>490.23666666666668</v>
      </c>
      <c r="P150" s="35">
        <f t="shared" si="42"/>
        <v>1960.9466666666667</v>
      </c>
      <c r="Q150" s="35">
        <f t="shared" si="43"/>
        <v>2451.1833333333334</v>
      </c>
      <c r="R150" s="35">
        <f t="shared" si="44"/>
        <v>3431.6566666666668</v>
      </c>
    </row>
    <row r="151" spans="1:18" s="59" customFormat="1">
      <c r="A151" s="53">
        <v>177572</v>
      </c>
      <c r="B151" s="59">
        <v>6</v>
      </c>
      <c r="C151" s="59" t="s">
        <v>623</v>
      </c>
      <c r="D151" s="59">
        <v>2017</v>
      </c>
      <c r="E151" s="59">
        <v>1</v>
      </c>
      <c r="F151" s="59">
        <v>0</v>
      </c>
      <c r="G151" s="59" t="s">
        <v>78</v>
      </c>
      <c r="H151" s="28">
        <v>12</v>
      </c>
      <c r="I151" s="59">
        <f t="shared" si="37"/>
        <v>2029</v>
      </c>
      <c r="J151" s="34">
        <f t="shared" si="36"/>
        <v>2029.0833333333333</v>
      </c>
      <c r="K151" s="35">
        <v>3169.69</v>
      </c>
      <c r="L151" s="35">
        <f t="shared" si="38"/>
        <v>3169.69</v>
      </c>
      <c r="M151" s="35">
        <f t="shared" si="39"/>
        <v>22.011736111111109</v>
      </c>
      <c r="N151" s="35">
        <f t="shared" si="40"/>
        <v>264.14083333333332</v>
      </c>
      <c r="O151" s="35">
        <f t="shared" si="41"/>
        <v>264.14083333333332</v>
      </c>
      <c r="P151" s="35">
        <f t="shared" si="42"/>
        <v>1056.5633333333333</v>
      </c>
      <c r="Q151" s="35">
        <f t="shared" si="43"/>
        <v>1320.7041666666667</v>
      </c>
      <c r="R151" s="35">
        <f t="shared" si="44"/>
        <v>1848.9858333333334</v>
      </c>
    </row>
    <row r="152" spans="1:18" s="59" customFormat="1">
      <c r="A152" s="53">
        <v>172714</v>
      </c>
      <c r="B152" s="59">
        <v>14</v>
      </c>
      <c r="C152" s="59" t="s">
        <v>626</v>
      </c>
      <c r="D152" s="59">
        <v>2017</v>
      </c>
      <c r="E152" s="59">
        <v>1</v>
      </c>
      <c r="F152" s="59">
        <v>0</v>
      </c>
      <c r="G152" s="59" t="s">
        <v>78</v>
      </c>
      <c r="H152" s="28">
        <v>12</v>
      </c>
      <c r="I152" s="59">
        <f t="shared" si="37"/>
        <v>2029</v>
      </c>
      <c r="J152" s="34">
        <f t="shared" si="36"/>
        <v>2029.0833333333333</v>
      </c>
      <c r="K152" s="35">
        <v>7395.94</v>
      </c>
      <c r="L152" s="35">
        <f t="shared" si="38"/>
        <v>7395.94</v>
      </c>
      <c r="M152" s="35">
        <f t="shared" si="39"/>
        <v>51.360694444444441</v>
      </c>
      <c r="N152" s="35">
        <f t="shared" si="40"/>
        <v>616.32833333333326</v>
      </c>
      <c r="O152" s="35">
        <f t="shared" si="41"/>
        <v>616.32833333333326</v>
      </c>
      <c r="P152" s="35">
        <f t="shared" si="42"/>
        <v>2465.313333333333</v>
      </c>
      <c r="Q152" s="35">
        <f t="shared" si="43"/>
        <v>3081.6416666666664</v>
      </c>
      <c r="R152" s="35">
        <f t="shared" si="44"/>
        <v>4314.2983333333332</v>
      </c>
    </row>
    <row r="153" spans="1:18" s="59" customFormat="1">
      <c r="A153" s="53">
        <v>188510</v>
      </c>
      <c r="B153" s="59">
        <v>30</v>
      </c>
      <c r="C153" s="59" t="s">
        <v>722</v>
      </c>
      <c r="D153" s="59">
        <v>2017</v>
      </c>
      <c r="E153" s="59">
        <v>10</v>
      </c>
      <c r="F153" s="59">
        <v>0</v>
      </c>
      <c r="G153" s="59" t="s">
        <v>78</v>
      </c>
      <c r="H153" s="28">
        <v>12</v>
      </c>
      <c r="I153" s="59">
        <f t="shared" si="37"/>
        <v>2029</v>
      </c>
      <c r="J153" s="34">
        <f t="shared" si="36"/>
        <v>2029.8333333333333</v>
      </c>
      <c r="K153" s="35">
        <v>16171.66</v>
      </c>
      <c r="L153" s="35">
        <f t="shared" si="38"/>
        <v>16171.66</v>
      </c>
      <c r="M153" s="35">
        <f t="shared" si="39"/>
        <v>112.30319444444444</v>
      </c>
      <c r="N153" s="35">
        <f t="shared" si="40"/>
        <v>1347.6383333333333</v>
      </c>
      <c r="O153" s="35">
        <f t="shared" si="41"/>
        <v>1347.6383333333333</v>
      </c>
      <c r="P153" s="35">
        <f t="shared" si="42"/>
        <v>5390.5533333333333</v>
      </c>
      <c r="Q153" s="35">
        <f t="shared" si="43"/>
        <v>6738.1916666666666</v>
      </c>
      <c r="R153" s="35">
        <f t="shared" si="44"/>
        <v>9433.4683333333342</v>
      </c>
    </row>
    <row r="154" spans="1:18" s="59" customFormat="1">
      <c r="A154" s="53">
        <v>184511</v>
      </c>
      <c r="B154" s="59">
        <v>20</v>
      </c>
      <c r="C154" s="59" t="s">
        <v>612</v>
      </c>
      <c r="D154" s="59">
        <v>2017</v>
      </c>
      <c r="E154" s="59">
        <v>7</v>
      </c>
      <c r="F154" s="59">
        <v>0</v>
      </c>
      <c r="G154" s="59" t="s">
        <v>78</v>
      </c>
      <c r="H154" s="28">
        <v>12</v>
      </c>
      <c r="I154" s="59">
        <f t="shared" si="37"/>
        <v>2029</v>
      </c>
      <c r="J154" s="34">
        <f t="shared" si="36"/>
        <v>2029.5833333333333</v>
      </c>
      <c r="K154" s="35">
        <v>13410.54</v>
      </c>
      <c r="L154" s="35">
        <f t="shared" si="38"/>
        <v>13410.54</v>
      </c>
      <c r="M154" s="35">
        <f t="shared" si="39"/>
        <v>93.128750000000011</v>
      </c>
      <c r="N154" s="35">
        <f t="shared" si="40"/>
        <v>1117.5450000000001</v>
      </c>
      <c r="O154" s="35">
        <f t="shared" si="41"/>
        <v>1117.5450000000001</v>
      </c>
      <c r="P154" s="35">
        <f t="shared" si="42"/>
        <v>4470.18</v>
      </c>
      <c r="Q154" s="35">
        <f t="shared" si="43"/>
        <v>5587.7250000000004</v>
      </c>
      <c r="R154" s="35">
        <f t="shared" si="44"/>
        <v>7822.8150000000005</v>
      </c>
    </row>
    <row r="155" spans="1:18" s="59" customFormat="1">
      <c r="A155" s="53">
        <v>177573</v>
      </c>
      <c r="B155" s="59">
        <v>3</v>
      </c>
      <c r="C155" s="59" t="s">
        <v>611</v>
      </c>
      <c r="D155" s="59">
        <v>2017</v>
      </c>
      <c r="E155" s="59">
        <v>1</v>
      </c>
      <c r="F155" s="59">
        <v>0</v>
      </c>
      <c r="G155" s="59" t="s">
        <v>78</v>
      </c>
      <c r="H155" s="28">
        <v>12</v>
      </c>
      <c r="I155" s="59">
        <f t="shared" si="37"/>
        <v>2029</v>
      </c>
      <c r="J155" s="34">
        <f t="shared" si="36"/>
        <v>2029.0833333333333</v>
      </c>
      <c r="K155" s="35">
        <v>2429.44</v>
      </c>
      <c r="L155" s="35">
        <f t="shared" si="38"/>
        <v>2429.44</v>
      </c>
      <c r="M155" s="35">
        <f t="shared" si="39"/>
        <v>16.871111111111112</v>
      </c>
      <c r="N155" s="35">
        <f t="shared" si="40"/>
        <v>202.45333333333335</v>
      </c>
      <c r="O155" s="35">
        <f t="shared" si="41"/>
        <v>202.45333333333335</v>
      </c>
      <c r="P155" s="35">
        <f t="shared" si="42"/>
        <v>809.81333333333339</v>
      </c>
      <c r="Q155" s="35">
        <f t="shared" si="43"/>
        <v>1012.2666666666668</v>
      </c>
      <c r="R155" s="35">
        <f t="shared" si="44"/>
        <v>1417.1733333333332</v>
      </c>
    </row>
    <row r="156" spans="1:18" s="59" customFormat="1">
      <c r="A156" s="53">
        <v>184512</v>
      </c>
      <c r="B156" s="59">
        <v>15</v>
      </c>
      <c r="C156" s="59" t="s">
        <v>611</v>
      </c>
      <c r="D156" s="59">
        <v>2017</v>
      </c>
      <c r="E156" s="59">
        <v>7</v>
      </c>
      <c r="F156" s="59">
        <v>0</v>
      </c>
      <c r="G156" s="59" t="s">
        <v>78</v>
      </c>
      <c r="H156" s="28">
        <v>12</v>
      </c>
      <c r="I156" s="59">
        <f t="shared" si="37"/>
        <v>2029</v>
      </c>
      <c r="J156" s="34">
        <f t="shared" si="36"/>
        <v>2029.5833333333333</v>
      </c>
      <c r="K156" s="35">
        <v>12459.15</v>
      </c>
      <c r="L156" s="35">
        <f t="shared" si="38"/>
        <v>12459.15</v>
      </c>
      <c r="M156" s="35">
        <f t="shared" si="39"/>
        <v>86.521875000000009</v>
      </c>
      <c r="N156" s="35">
        <f t="shared" si="40"/>
        <v>1038.2625</v>
      </c>
      <c r="O156" s="35">
        <f t="shared" si="41"/>
        <v>1038.2625</v>
      </c>
      <c r="P156" s="35">
        <f t="shared" si="42"/>
        <v>4153.05</v>
      </c>
      <c r="Q156" s="35">
        <f t="shared" si="43"/>
        <v>5191.3125</v>
      </c>
      <c r="R156" s="35">
        <f t="shared" si="44"/>
        <v>7267.8374999999996</v>
      </c>
    </row>
    <row r="157" spans="1:18" s="59" customFormat="1">
      <c r="A157" s="53">
        <v>172715</v>
      </c>
      <c r="B157" s="59">
        <v>7</v>
      </c>
      <c r="C157" s="59" t="s">
        <v>625</v>
      </c>
      <c r="D157" s="59">
        <v>2017</v>
      </c>
      <c r="E157" s="59">
        <v>1</v>
      </c>
      <c r="F157" s="59">
        <v>0</v>
      </c>
      <c r="G157" s="59" t="s">
        <v>78</v>
      </c>
      <c r="H157" s="28">
        <v>12</v>
      </c>
      <c r="I157" s="59">
        <f t="shared" si="37"/>
        <v>2029</v>
      </c>
      <c r="J157" s="34">
        <f t="shared" si="36"/>
        <v>2029.0833333333333</v>
      </c>
      <c r="K157" s="35">
        <v>5668.7</v>
      </c>
      <c r="L157" s="35">
        <f t="shared" si="38"/>
        <v>5668.7</v>
      </c>
      <c r="M157" s="35">
        <f t="shared" si="39"/>
        <v>39.365972222222219</v>
      </c>
      <c r="N157" s="35">
        <f t="shared" si="40"/>
        <v>472.39166666666665</v>
      </c>
      <c r="O157" s="35">
        <f t="shared" si="41"/>
        <v>472.39166666666665</v>
      </c>
      <c r="P157" s="35">
        <f t="shared" si="42"/>
        <v>1889.5666666666666</v>
      </c>
      <c r="Q157" s="35">
        <f t="shared" si="43"/>
        <v>2361.958333333333</v>
      </c>
      <c r="R157" s="35">
        <f t="shared" si="44"/>
        <v>3306.7416666666668</v>
      </c>
    </row>
    <row r="158" spans="1:18" s="59" customFormat="1">
      <c r="A158" s="53">
        <v>207444</v>
      </c>
      <c r="B158" s="59">
        <v>48</v>
      </c>
      <c r="C158" s="59" t="s">
        <v>755</v>
      </c>
      <c r="D158" s="59">
        <v>2018</v>
      </c>
      <c r="E158" s="59">
        <v>11</v>
      </c>
      <c r="F158" s="59">
        <v>0</v>
      </c>
      <c r="G158" s="59" t="s">
        <v>78</v>
      </c>
      <c r="H158" s="28">
        <v>12</v>
      </c>
      <c r="I158" s="59">
        <f t="shared" si="37"/>
        <v>2030</v>
      </c>
      <c r="J158" s="34">
        <f t="shared" si="36"/>
        <v>2030.9166666666667</v>
      </c>
      <c r="K158" s="35">
        <v>29272.880000000001</v>
      </c>
      <c r="L158" s="35">
        <f t="shared" si="38"/>
        <v>29272.880000000001</v>
      </c>
      <c r="M158" s="35">
        <f t="shared" si="39"/>
        <v>203.2838888888889</v>
      </c>
      <c r="N158" s="35">
        <f t="shared" si="40"/>
        <v>2439.4066666666668</v>
      </c>
      <c r="O158" s="35">
        <f t="shared" si="41"/>
        <v>2439.4066666666668</v>
      </c>
      <c r="P158" s="35">
        <f t="shared" si="42"/>
        <v>7318.22</v>
      </c>
      <c r="Q158" s="35">
        <f t="shared" si="43"/>
        <v>9757.626666666667</v>
      </c>
      <c r="R158" s="35">
        <f t="shared" si="44"/>
        <v>19515.253333333334</v>
      </c>
    </row>
    <row r="159" spans="1:18" s="59" customFormat="1">
      <c r="A159" s="53">
        <v>206757</v>
      </c>
      <c r="B159" s="59">
        <v>20</v>
      </c>
      <c r="C159" s="59" t="s">
        <v>757</v>
      </c>
      <c r="D159" s="59">
        <v>2018</v>
      </c>
      <c r="E159" s="59">
        <v>11</v>
      </c>
      <c r="F159" s="59">
        <v>0</v>
      </c>
      <c r="G159" s="59" t="s">
        <v>78</v>
      </c>
      <c r="H159" s="28">
        <v>12</v>
      </c>
      <c r="I159" s="59">
        <f t="shared" si="37"/>
        <v>2030</v>
      </c>
      <c r="J159" s="34">
        <f t="shared" si="36"/>
        <v>2030.9166666666667</v>
      </c>
      <c r="K159" s="35">
        <v>13643.59</v>
      </c>
      <c r="L159" s="35">
        <f t="shared" si="38"/>
        <v>13643.59</v>
      </c>
      <c r="M159" s="35">
        <f t="shared" si="39"/>
        <v>94.747152777777785</v>
      </c>
      <c r="N159" s="35">
        <f t="shared" si="40"/>
        <v>1136.9658333333334</v>
      </c>
      <c r="O159" s="35">
        <f t="shared" si="41"/>
        <v>1136.9658333333334</v>
      </c>
      <c r="P159" s="35">
        <f t="shared" si="42"/>
        <v>3410.8975</v>
      </c>
      <c r="Q159" s="35">
        <f t="shared" si="43"/>
        <v>4547.8633333333337</v>
      </c>
      <c r="R159" s="35">
        <f t="shared" si="44"/>
        <v>9095.7266666666656</v>
      </c>
    </row>
    <row r="160" spans="1:18" s="59" customFormat="1">
      <c r="A160" s="53">
        <v>207445</v>
      </c>
      <c r="B160" s="59">
        <v>22</v>
      </c>
      <c r="C160" s="59" t="s">
        <v>754</v>
      </c>
      <c r="D160" s="59">
        <v>2018</v>
      </c>
      <c r="E160" s="59">
        <v>11</v>
      </c>
      <c r="F160" s="59">
        <v>0</v>
      </c>
      <c r="G160" s="59" t="s">
        <v>78</v>
      </c>
      <c r="H160" s="28">
        <v>12</v>
      </c>
      <c r="I160" s="59">
        <f t="shared" si="37"/>
        <v>2030</v>
      </c>
      <c r="J160" s="34">
        <f t="shared" si="36"/>
        <v>2030.9166666666667</v>
      </c>
      <c r="K160" s="35">
        <v>17253.61</v>
      </c>
      <c r="L160" s="35">
        <f t="shared" si="38"/>
        <v>17253.61</v>
      </c>
      <c r="M160" s="35">
        <f t="shared" si="39"/>
        <v>119.81673611111113</v>
      </c>
      <c r="N160" s="35">
        <f t="shared" si="40"/>
        <v>1437.8008333333335</v>
      </c>
      <c r="O160" s="35">
        <f t="shared" si="41"/>
        <v>1437.8008333333335</v>
      </c>
      <c r="P160" s="35">
        <f t="shared" si="42"/>
        <v>4313.4025000000001</v>
      </c>
      <c r="Q160" s="35">
        <f t="shared" si="43"/>
        <v>5751.2033333333338</v>
      </c>
      <c r="R160" s="35">
        <f t="shared" si="44"/>
        <v>11502.406666666666</v>
      </c>
    </row>
    <row r="161" spans="1:18" s="59" customFormat="1">
      <c r="A161" s="53">
        <v>207446</v>
      </c>
      <c r="B161" s="59">
        <v>22</v>
      </c>
      <c r="C161" s="59" t="s">
        <v>753</v>
      </c>
      <c r="D161" s="59">
        <v>2018</v>
      </c>
      <c r="E161" s="59">
        <v>11</v>
      </c>
      <c r="F161" s="59">
        <v>0</v>
      </c>
      <c r="G161" s="59" t="s">
        <v>78</v>
      </c>
      <c r="H161" s="28">
        <v>12</v>
      </c>
      <c r="I161" s="59">
        <f t="shared" si="37"/>
        <v>2030</v>
      </c>
      <c r="J161" s="34">
        <f t="shared" si="36"/>
        <v>2030.9166666666667</v>
      </c>
      <c r="K161" s="35">
        <v>16484.080000000002</v>
      </c>
      <c r="L161" s="35">
        <f t="shared" si="38"/>
        <v>16484.080000000002</v>
      </c>
      <c r="M161" s="35">
        <f t="shared" si="39"/>
        <v>114.47277777777778</v>
      </c>
      <c r="N161" s="35">
        <f t="shared" si="40"/>
        <v>1373.6733333333334</v>
      </c>
      <c r="O161" s="35">
        <f t="shared" si="41"/>
        <v>1373.6733333333334</v>
      </c>
      <c r="P161" s="35">
        <f t="shared" si="42"/>
        <v>4121.0200000000004</v>
      </c>
      <c r="Q161" s="35">
        <f t="shared" si="43"/>
        <v>5494.6933333333336</v>
      </c>
      <c r="R161" s="35">
        <f t="shared" si="44"/>
        <v>10989.386666666669</v>
      </c>
    </row>
    <row r="162" spans="1:18" s="59" customFormat="1">
      <c r="A162" s="53">
        <v>206758</v>
      </c>
      <c r="B162" s="59">
        <v>24</v>
      </c>
      <c r="C162" s="59" t="s">
        <v>756</v>
      </c>
      <c r="D162" s="59">
        <v>2018</v>
      </c>
      <c r="E162" s="59">
        <v>11</v>
      </c>
      <c r="F162" s="59">
        <v>0</v>
      </c>
      <c r="G162" s="59" t="s">
        <v>78</v>
      </c>
      <c r="H162" s="28">
        <v>12</v>
      </c>
      <c r="I162" s="59">
        <f t="shared" si="37"/>
        <v>2030</v>
      </c>
      <c r="J162" s="34">
        <f t="shared" si="36"/>
        <v>2030.9166666666667</v>
      </c>
      <c r="K162" s="35">
        <v>22721.59</v>
      </c>
      <c r="L162" s="35">
        <f t="shared" si="38"/>
        <v>22721.59</v>
      </c>
      <c r="M162" s="35">
        <f t="shared" si="39"/>
        <v>157.78881944444444</v>
      </c>
      <c r="N162" s="35">
        <f t="shared" si="40"/>
        <v>1893.4658333333332</v>
      </c>
      <c r="O162" s="35">
        <f t="shared" si="41"/>
        <v>1893.4658333333332</v>
      </c>
      <c r="P162" s="35">
        <f t="shared" si="42"/>
        <v>5680.3974999999991</v>
      </c>
      <c r="Q162" s="35">
        <f t="shared" si="43"/>
        <v>7573.8633333333328</v>
      </c>
      <c r="R162" s="35">
        <f t="shared" si="44"/>
        <v>15147.726666666667</v>
      </c>
    </row>
    <row r="163" spans="1:18" s="59" customFormat="1">
      <c r="A163" s="53">
        <v>218186</v>
      </c>
      <c r="B163" s="59">
        <v>16</v>
      </c>
      <c r="C163" s="59" t="s">
        <v>757</v>
      </c>
      <c r="D163" s="59">
        <v>2019</v>
      </c>
      <c r="E163" s="59">
        <v>7</v>
      </c>
      <c r="F163" s="59">
        <v>0</v>
      </c>
      <c r="G163" s="59" t="s">
        <v>78</v>
      </c>
      <c r="H163" s="28">
        <v>12</v>
      </c>
      <c r="I163" s="59">
        <f t="shared" si="37"/>
        <v>2031</v>
      </c>
      <c r="J163" s="34">
        <f t="shared" si="36"/>
        <v>2031.5833333333333</v>
      </c>
      <c r="K163" s="35">
        <v>10405.36</v>
      </c>
      <c r="L163" s="35">
        <f t="shared" si="38"/>
        <v>10405.36</v>
      </c>
      <c r="M163" s="35">
        <f t="shared" si="39"/>
        <v>72.259444444444441</v>
      </c>
      <c r="N163" s="35">
        <f t="shared" si="40"/>
        <v>867.11333333333323</v>
      </c>
      <c r="O163" s="35">
        <f t="shared" si="41"/>
        <v>867.11333333333323</v>
      </c>
      <c r="P163" s="35">
        <f t="shared" si="42"/>
        <v>1734.2266666666665</v>
      </c>
      <c r="Q163" s="35">
        <f t="shared" si="43"/>
        <v>2601.3399999999997</v>
      </c>
      <c r="R163" s="35">
        <f t="shared" si="44"/>
        <v>7804.02</v>
      </c>
    </row>
    <row r="164" spans="1:18" s="59" customFormat="1">
      <c r="A164" s="53">
        <v>218957</v>
      </c>
      <c r="B164" s="59">
        <v>4</v>
      </c>
      <c r="C164" s="59" t="s">
        <v>823</v>
      </c>
      <c r="D164" s="59">
        <v>2019</v>
      </c>
      <c r="E164" s="59">
        <v>7</v>
      </c>
      <c r="F164" s="59">
        <v>0</v>
      </c>
      <c r="G164" s="59" t="s">
        <v>78</v>
      </c>
      <c r="H164" s="28">
        <v>12</v>
      </c>
      <c r="I164" s="59">
        <f t="shared" ref="I164:I166" si="45">D164+H164</f>
        <v>2031</v>
      </c>
      <c r="J164" s="34">
        <f t="shared" ref="J164:J166" si="46">+I164+(E164/12)</f>
        <v>2031.5833333333333</v>
      </c>
      <c r="K164" s="35">
        <v>2601.34</v>
      </c>
      <c r="L164" s="35">
        <f t="shared" ref="L164:L179" si="47">K164-K164*F164</f>
        <v>2601.34</v>
      </c>
      <c r="M164" s="35">
        <f t="shared" ref="M164:M179" si="48">L164/H164/12</f>
        <v>18.06486111111111</v>
      </c>
      <c r="N164" s="35">
        <f t="shared" ref="N164:N179" si="49">+M164*12</f>
        <v>216.77833333333331</v>
      </c>
      <c r="O164" s="35">
        <f t="shared" ref="O164:O179" si="50">+IF(J164&lt;=$L$5,0,IF(I164&gt;$L$4,N164,(M164*E164)))</f>
        <v>216.77833333333331</v>
      </c>
      <c r="P164" s="35">
        <f t="shared" ref="P164:P179" si="51">+IF(O164=0,L164,IF($L$3-D164&lt;1,0,(($L$3-D164)*O164)))</f>
        <v>433.55666666666662</v>
      </c>
      <c r="Q164" s="35">
        <f t="shared" ref="Q164:Q179" si="52">+IF(O164=0,P164,P164+O164)</f>
        <v>650.33499999999992</v>
      </c>
      <c r="R164" s="35">
        <f t="shared" ref="R164:R179" si="53">+K164-Q164</f>
        <v>1951.0050000000001</v>
      </c>
    </row>
    <row r="165" spans="1:18" s="59" customFormat="1">
      <c r="A165" s="53">
        <v>218956</v>
      </c>
      <c r="B165" s="59">
        <v>10</v>
      </c>
      <c r="C165" s="59" t="s">
        <v>824</v>
      </c>
      <c r="D165" s="59">
        <v>2019</v>
      </c>
      <c r="E165" s="59">
        <v>8</v>
      </c>
      <c r="F165" s="59">
        <v>0</v>
      </c>
      <c r="G165" s="59" t="s">
        <v>78</v>
      </c>
      <c r="H165" s="28">
        <v>12</v>
      </c>
      <c r="I165" s="59">
        <f t="shared" si="45"/>
        <v>2031</v>
      </c>
      <c r="J165" s="34">
        <f t="shared" si="46"/>
        <v>2031.6666666666667</v>
      </c>
      <c r="K165" s="35">
        <v>9290.5</v>
      </c>
      <c r="L165" s="35">
        <f t="shared" si="47"/>
        <v>9290.5</v>
      </c>
      <c r="M165" s="35">
        <f t="shared" si="48"/>
        <v>64.517361111111114</v>
      </c>
      <c r="N165" s="35">
        <f t="shared" si="49"/>
        <v>774.20833333333337</v>
      </c>
      <c r="O165" s="35">
        <f t="shared" si="50"/>
        <v>774.20833333333337</v>
      </c>
      <c r="P165" s="35">
        <f t="shared" si="51"/>
        <v>1548.4166666666667</v>
      </c>
      <c r="Q165" s="35">
        <f t="shared" si="52"/>
        <v>2322.625</v>
      </c>
      <c r="R165" s="35">
        <f t="shared" si="53"/>
        <v>6967.875</v>
      </c>
    </row>
    <row r="166" spans="1:18" s="59" customFormat="1">
      <c r="A166" s="53">
        <v>218955</v>
      </c>
      <c r="B166" s="59">
        <v>15</v>
      </c>
      <c r="C166" s="59" t="s">
        <v>825</v>
      </c>
      <c r="D166" s="59">
        <v>2019</v>
      </c>
      <c r="E166" s="59">
        <v>7</v>
      </c>
      <c r="F166" s="59">
        <v>0</v>
      </c>
      <c r="G166" s="59" t="s">
        <v>78</v>
      </c>
      <c r="H166" s="28">
        <v>12</v>
      </c>
      <c r="I166" s="59">
        <f t="shared" si="45"/>
        <v>2031</v>
      </c>
      <c r="J166" s="34">
        <f t="shared" si="46"/>
        <v>2031.5833333333333</v>
      </c>
      <c r="K166" s="35">
        <v>14673.54</v>
      </c>
      <c r="L166" s="35">
        <f t="shared" si="47"/>
        <v>14673.54</v>
      </c>
      <c r="M166" s="35">
        <f t="shared" si="48"/>
        <v>101.89958333333334</v>
      </c>
      <c r="N166" s="35">
        <f t="shared" si="49"/>
        <v>1222.7950000000001</v>
      </c>
      <c r="O166" s="35">
        <f t="shared" si="50"/>
        <v>1222.7950000000001</v>
      </c>
      <c r="P166" s="35">
        <f t="shared" si="51"/>
        <v>2445.59</v>
      </c>
      <c r="Q166" s="35">
        <f t="shared" si="52"/>
        <v>3668.3850000000002</v>
      </c>
      <c r="R166" s="35">
        <f t="shared" si="53"/>
        <v>11005.155000000001</v>
      </c>
    </row>
    <row r="167" spans="1:18" s="59" customFormat="1">
      <c r="A167" s="53">
        <v>219600</v>
      </c>
      <c r="B167" s="59">
        <v>20</v>
      </c>
      <c r="C167" s="59" t="s">
        <v>826</v>
      </c>
      <c r="D167" s="59">
        <v>2019</v>
      </c>
      <c r="E167" s="59">
        <v>8</v>
      </c>
      <c r="F167" s="59">
        <v>0</v>
      </c>
      <c r="G167" s="59" t="s">
        <v>78</v>
      </c>
      <c r="H167" s="28">
        <v>12</v>
      </c>
      <c r="I167" s="59">
        <f t="shared" ref="I167:I169" si="54">D167+H167</f>
        <v>2031</v>
      </c>
      <c r="J167" s="34">
        <f t="shared" ref="J167:J169" si="55">+I167+(E167/12)</f>
        <v>2031.6666666666667</v>
      </c>
      <c r="K167" s="35">
        <v>19018.2</v>
      </c>
      <c r="L167" s="35">
        <f t="shared" si="47"/>
        <v>19018.2</v>
      </c>
      <c r="M167" s="35">
        <f t="shared" si="48"/>
        <v>132.07083333333335</v>
      </c>
      <c r="N167" s="35">
        <f t="shared" si="49"/>
        <v>1584.8500000000004</v>
      </c>
      <c r="O167" s="35">
        <f t="shared" si="50"/>
        <v>1584.8500000000004</v>
      </c>
      <c r="P167" s="35">
        <f t="shared" si="51"/>
        <v>3169.7000000000007</v>
      </c>
      <c r="Q167" s="35">
        <f t="shared" si="52"/>
        <v>4754.5500000000011</v>
      </c>
      <c r="R167" s="35">
        <f t="shared" si="53"/>
        <v>14263.65</v>
      </c>
    </row>
    <row r="168" spans="1:18" s="59" customFormat="1">
      <c r="A168" s="53">
        <v>219599</v>
      </c>
      <c r="B168" s="59">
        <v>20</v>
      </c>
      <c r="C168" s="59" t="s">
        <v>757</v>
      </c>
      <c r="D168" s="59">
        <v>2019</v>
      </c>
      <c r="E168" s="59">
        <v>8</v>
      </c>
      <c r="F168" s="59">
        <v>0</v>
      </c>
      <c r="G168" s="59" t="s">
        <v>78</v>
      </c>
      <c r="H168" s="28">
        <v>12</v>
      </c>
      <c r="I168" s="59">
        <f t="shared" si="54"/>
        <v>2031</v>
      </c>
      <c r="J168" s="34">
        <f t="shared" si="55"/>
        <v>2031.6666666666667</v>
      </c>
      <c r="K168" s="35">
        <v>13334.6</v>
      </c>
      <c r="L168" s="35">
        <f t="shared" si="47"/>
        <v>13334.6</v>
      </c>
      <c r="M168" s="35">
        <f t="shared" si="48"/>
        <v>92.601388888888891</v>
      </c>
      <c r="N168" s="35">
        <f t="shared" si="49"/>
        <v>1111.2166666666667</v>
      </c>
      <c r="O168" s="35">
        <f t="shared" si="50"/>
        <v>1111.2166666666667</v>
      </c>
      <c r="P168" s="35">
        <f t="shared" si="51"/>
        <v>2222.4333333333334</v>
      </c>
      <c r="Q168" s="35">
        <f t="shared" si="52"/>
        <v>3333.65</v>
      </c>
      <c r="R168" s="35">
        <f t="shared" si="53"/>
        <v>10000.950000000001</v>
      </c>
    </row>
    <row r="169" spans="1:18" s="59" customFormat="1">
      <c r="A169" s="53">
        <v>225390</v>
      </c>
      <c r="B169" s="59">
        <v>15</v>
      </c>
      <c r="C169" s="59" t="s">
        <v>827</v>
      </c>
      <c r="D169" s="59">
        <v>2019</v>
      </c>
      <c r="E169" s="59">
        <v>11</v>
      </c>
      <c r="F169" s="59">
        <v>0</v>
      </c>
      <c r="G169" s="59" t="s">
        <v>78</v>
      </c>
      <c r="H169" s="28">
        <v>12</v>
      </c>
      <c r="I169" s="59">
        <f t="shared" si="54"/>
        <v>2031</v>
      </c>
      <c r="J169" s="34">
        <f t="shared" si="55"/>
        <v>2031.9166666666667</v>
      </c>
      <c r="K169" s="35">
        <v>13074.53</v>
      </c>
      <c r="L169" s="35">
        <f t="shared" si="47"/>
        <v>13074.53</v>
      </c>
      <c r="M169" s="35">
        <f t="shared" si="48"/>
        <v>90.795347222222233</v>
      </c>
      <c r="N169" s="35">
        <f t="shared" si="49"/>
        <v>1089.5441666666668</v>
      </c>
      <c r="O169" s="35">
        <f t="shared" si="50"/>
        <v>1089.5441666666668</v>
      </c>
      <c r="P169" s="35">
        <f t="shared" si="51"/>
        <v>2179.0883333333336</v>
      </c>
      <c r="Q169" s="35">
        <f t="shared" si="52"/>
        <v>3268.6325000000006</v>
      </c>
      <c r="R169" s="35">
        <f t="shared" si="53"/>
        <v>9805.8974999999991</v>
      </c>
    </row>
    <row r="170" spans="1:18" s="59" customFormat="1">
      <c r="A170" s="53">
        <v>225389</v>
      </c>
      <c r="B170" s="59">
        <v>20</v>
      </c>
      <c r="C170" s="59" t="s">
        <v>828</v>
      </c>
      <c r="D170" s="59">
        <v>2019</v>
      </c>
      <c r="E170" s="59">
        <v>11</v>
      </c>
      <c r="F170" s="59">
        <v>0</v>
      </c>
      <c r="G170" s="59" t="s">
        <v>78</v>
      </c>
      <c r="H170" s="28">
        <v>12</v>
      </c>
      <c r="I170" s="59">
        <f t="shared" ref="I170:I179" si="56">D170+H170</f>
        <v>2031</v>
      </c>
      <c r="J170" s="34">
        <f t="shared" ref="J170:J179" si="57">+I170+(E170/12)</f>
        <v>2031.9166666666667</v>
      </c>
      <c r="K170" s="35">
        <v>10646.34</v>
      </c>
      <c r="L170" s="35">
        <f t="shared" si="47"/>
        <v>10646.34</v>
      </c>
      <c r="M170" s="35">
        <f t="shared" si="48"/>
        <v>73.932916666666671</v>
      </c>
      <c r="N170" s="35">
        <f t="shared" si="49"/>
        <v>887.19500000000005</v>
      </c>
      <c r="O170" s="35">
        <f t="shared" si="50"/>
        <v>887.19500000000005</v>
      </c>
      <c r="P170" s="35">
        <f t="shared" si="51"/>
        <v>1774.39</v>
      </c>
      <c r="Q170" s="35">
        <f t="shared" si="52"/>
        <v>2661.585</v>
      </c>
      <c r="R170" s="35">
        <f t="shared" si="53"/>
        <v>7984.7550000000001</v>
      </c>
    </row>
    <row r="171" spans="1:18" s="59" customFormat="1">
      <c r="A171" s="53">
        <v>225388</v>
      </c>
      <c r="B171" s="59">
        <v>35</v>
      </c>
      <c r="C171" s="59" t="s">
        <v>829</v>
      </c>
      <c r="D171" s="59">
        <v>2019</v>
      </c>
      <c r="E171" s="59">
        <v>11</v>
      </c>
      <c r="F171" s="59">
        <v>0</v>
      </c>
      <c r="G171" s="59" t="s">
        <v>78</v>
      </c>
      <c r="H171" s="28">
        <v>12</v>
      </c>
      <c r="I171" s="59">
        <f t="shared" si="56"/>
        <v>2031</v>
      </c>
      <c r="J171" s="34">
        <f t="shared" si="57"/>
        <v>2031.9166666666667</v>
      </c>
      <c r="K171" s="35">
        <v>20566.95</v>
      </c>
      <c r="L171" s="35">
        <f t="shared" si="47"/>
        <v>20566.95</v>
      </c>
      <c r="M171" s="35">
        <f t="shared" si="48"/>
        <v>142.82604166666667</v>
      </c>
      <c r="N171" s="35">
        <f t="shared" si="49"/>
        <v>1713.9124999999999</v>
      </c>
      <c r="O171" s="35">
        <f t="shared" si="50"/>
        <v>1713.9124999999999</v>
      </c>
      <c r="P171" s="35">
        <f t="shared" si="51"/>
        <v>3427.8249999999998</v>
      </c>
      <c r="Q171" s="35">
        <f t="shared" si="52"/>
        <v>5141.7374999999993</v>
      </c>
      <c r="R171" s="35">
        <f t="shared" si="53"/>
        <v>15425.212500000001</v>
      </c>
    </row>
    <row r="172" spans="1:18" s="59" customFormat="1">
      <c r="A172" s="53">
        <v>225387</v>
      </c>
      <c r="B172" s="59">
        <v>15</v>
      </c>
      <c r="C172" s="59" t="s">
        <v>830</v>
      </c>
      <c r="D172" s="59">
        <v>2019</v>
      </c>
      <c r="E172" s="59">
        <v>11</v>
      </c>
      <c r="F172" s="59">
        <v>0</v>
      </c>
      <c r="G172" s="59" t="s">
        <v>78</v>
      </c>
      <c r="H172" s="28">
        <v>12</v>
      </c>
      <c r="I172" s="59">
        <f t="shared" si="56"/>
        <v>2031</v>
      </c>
      <c r="J172" s="34">
        <f t="shared" si="57"/>
        <v>2031.9166666666667</v>
      </c>
      <c r="K172" s="35">
        <v>8893.2000000000007</v>
      </c>
      <c r="L172" s="35">
        <f t="shared" si="47"/>
        <v>8893.2000000000007</v>
      </c>
      <c r="M172" s="35">
        <f t="shared" si="48"/>
        <v>61.758333333333333</v>
      </c>
      <c r="N172" s="35">
        <f t="shared" si="49"/>
        <v>741.1</v>
      </c>
      <c r="O172" s="35">
        <f t="shared" si="50"/>
        <v>741.1</v>
      </c>
      <c r="P172" s="35">
        <f t="shared" si="51"/>
        <v>1482.2</v>
      </c>
      <c r="Q172" s="35">
        <f t="shared" si="52"/>
        <v>2223.3000000000002</v>
      </c>
      <c r="R172" s="35">
        <f t="shared" si="53"/>
        <v>6669.9000000000005</v>
      </c>
    </row>
    <row r="173" spans="1:18" s="59" customFormat="1">
      <c r="A173" s="53">
        <v>236859</v>
      </c>
      <c r="B173" s="59">
        <v>15</v>
      </c>
      <c r="C173" s="56" t="s">
        <v>853</v>
      </c>
      <c r="D173" s="59">
        <v>2020</v>
      </c>
      <c r="E173" s="59">
        <v>8</v>
      </c>
      <c r="F173" s="59">
        <v>0</v>
      </c>
      <c r="G173" s="33" t="s">
        <v>78</v>
      </c>
      <c r="H173" s="28">
        <v>12</v>
      </c>
      <c r="I173" s="59">
        <f t="shared" si="56"/>
        <v>2032</v>
      </c>
      <c r="J173" s="34">
        <f t="shared" si="57"/>
        <v>2032.6666666666667</v>
      </c>
      <c r="K173" s="35">
        <v>7349.18</v>
      </c>
      <c r="L173" s="35">
        <f t="shared" si="47"/>
        <v>7349.18</v>
      </c>
      <c r="M173" s="35">
        <f t="shared" si="48"/>
        <v>51.035972222222227</v>
      </c>
      <c r="N173" s="35">
        <f t="shared" si="49"/>
        <v>612.43166666666673</v>
      </c>
      <c r="O173" s="35">
        <f t="shared" si="50"/>
        <v>612.43166666666673</v>
      </c>
      <c r="P173" s="35">
        <f t="shared" si="51"/>
        <v>612.43166666666673</v>
      </c>
      <c r="Q173" s="35">
        <f t="shared" si="52"/>
        <v>1224.8633333333335</v>
      </c>
      <c r="R173" s="35">
        <f t="shared" si="53"/>
        <v>6124.3166666666666</v>
      </c>
    </row>
    <row r="174" spans="1:18" s="59" customFormat="1">
      <c r="A174" s="53">
        <v>236858</v>
      </c>
      <c r="B174" s="59">
        <v>25</v>
      </c>
      <c r="C174" s="56" t="s">
        <v>852</v>
      </c>
      <c r="D174" s="59">
        <v>2020</v>
      </c>
      <c r="E174" s="59">
        <v>8</v>
      </c>
      <c r="F174" s="59">
        <v>0</v>
      </c>
      <c r="G174" s="33" t="s">
        <v>78</v>
      </c>
      <c r="H174" s="28">
        <v>12</v>
      </c>
      <c r="I174" s="59">
        <f t="shared" si="56"/>
        <v>2032</v>
      </c>
      <c r="J174" s="34">
        <f t="shared" si="57"/>
        <v>2032.6666666666667</v>
      </c>
      <c r="K174" s="35">
        <v>15940.84</v>
      </c>
      <c r="L174" s="35">
        <f t="shared" si="47"/>
        <v>15940.84</v>
      </c>
      <c r="M174" s="35">
        <f t="shared" si="48"/>
        <v>110.70027777777779</v>
      </c>
      <c r="N174" s="35">
        <f t="shared" si="49"/>
        <v>1328.4033333333334</v>
      </c>
      <c r="O174" s="35">
        <f t="shared" si="50"/>
        <v>1328.4033333333334</v>
      </c>
      <c r="P174" s="35">
        <f t="shared" si="51"/>
        <v>1328.4033333333334</v>
      </c>
      <c r="Q174" s="35">
        <f t="shared" si="52"/>
        <v>2656.8066666666668</v>
      </c>
      <c r="R174" s="35">
        <f t="shared" si="53"/>
        <v>13284.033333333333</v>
      </c>
    </row>
    <row r="175" spans="1:18" s="59" customFormat="1">
      <c r="A175" s="53">
        <v>236857</v>
      </c>
      <c r="B175" s="59">
        <v>25</v>
      </c>
      <c r="C175" s="56" t="s">
        <v>851</v>
      </c>
      <c r="D175" s="59">
        <v>2020</v>
      </c>
      <c r="E175" s="59">
        <v>8</v>
      </c>
      <c r="F175" s="59">
        <v>0</v>
      </c>
      <c r="G175" s="33" t="s">
        <v>78</v>
      </c>
      <c r="H175" s="28">
        <v>12</v>
      </c>
      <c r="I175" s="59">
        <f t="shared" si="56"/>
        <v>2032</v>
      </c>
      <c r="J175" s="34">
        <f t="shared" si="57"/>
        <v>2032.6666666666667</v>
      </c>
      <c r="K175" s="35">
        <v>13862.24</v>
      </c>
      <c r="L175" s="35">
        <f t="shared" si="47"/>
        <v>13862.24</v>
      </c>
      <c r="M175" s="35">
        <f t="shared" si="48"/>
        <v>96.265555555555565</v>
      </c>
      <c r="N175" s="35">
        <f t="shared" si="49"/>
        <v>1155.1866666666667</v>
      </c>
      <c r="O175" s="35">
        <f t="shared" si="50"/>
        <v>1155.1866666666667</v>
      </c>
      <c r="P175" s="35">
        <f t="shared" si="51"/>
        <v>1155.1866666666667</v>
      </c>
      <c r="Q175" s="35">
        <f t="shared" si="52"/>
        <v>2310.3733333333334</v>
      </c>
      <c r="R175" s="35">
        <f t="shared" si="53"/>
        <v>11551.866666666667</v>
      </c>
    </row>
    <row r="176" spans="1:18" s="59" customFormat="1">
      <c r="A176" s="53">
        <v>236856</v>
      </c>
      <c r="B176" s="59">
        <v>10</v>
      </c>
      <c r="C176" s="56" t="s">
        <v>850</v>
      </c>
      <c r="D176" s="59">
        <v>2020</v>
      </c>
      <c r="E176" s="59">
        <v>8</v>
      </c>
      <c r="F176" s="59">
        <v>0</v>
      </c>
      <c r="G176" s="56" t="s">
        <v>78</v>
      </c>
      <c r="H176" s="28">
        <v>12</v>
      </c>
      <c r="I176" s="59">
        <f t="shared" si="56"/>
        <v>2032</v>
      </c>
      <c r="J176" s="34">
        <f t="shared" si="57"/>
        <v>2032.6666666666667</v>
      </c>
      <c r="K176" s="35">
        <v>7868.98</v>
      </c>
      <c r="L176" s="35">
        <f t="shared" si="47"/>
        <v>7868.98</v>
      </c>
      <c r="M176" s="35">
        <f t="shared" si="48"/>
        <v>54.645694444444445</v>
      </c>
      <c r="N176" s="35">
        <f t="shared" si="49"/>
        <v>655.74833333333333</v>
      </c>
      <c r="O176" s="35">
        <f t="shared" si="50"/>
        <v>655.74833333333333</v>
      </c>
      <c r="P176" s="35">
        <f t="shared" si="51"/>
        <v>655.74833333333333</v>
      </c>
      <c r="Q176" s="35">
        <f t="shared" si="52"/>
        <v>1311.4966666666667</v>
      </c>
      <c r="R176" s="35">
        <f t="shared" si="53"/>
        <v>6557.4833333333327</v>
      </c>
    </row>
    <row r="177" spans="1:19" s="59" customFormat="1">
      <c r="A177" s="53">
        <v>236855</v>
      </c>
      <c r="B177" s="59">
        <v>10</v>
      </c>
      <c r="C177" s="56" t="s">
        <v>854</v>
      </c>
      <c r="D177" s="59">
        <v>2020</v>
      </c>
      <c r="E177" s="59">
        <v>8</v>
      </c>
      <c r="F177" s="59">
        <v>0</v>
      </c>
      <c r="G177" s="56" t="s">
        <v>78</v>
      </c>
      <c r="H177" s="28">
        <v>12</v>
      </c>
      <c r="I177" s="59">
        <f t="shared" si="56"/>
        <v>2032</v>
      </c>
      <c r="J177" s="34">
        <f t="shared" si="57"/>
        <v>2032.6666666666667</v>
      </c>
      <c r="K177" s="35">
        <v>5123.05</v>
      </c>
      <c r="L177" s="35">
        <f t="shared" si="47"/>
        <v>5123.05</v>
      </c>
      <c r="M177" s="35">
        <f t="shared" si="48"/>
        <v>35.57673611111111</v>
      </c>
      <c r="N177" s="35">
        <f t="shared" si="49"/>
        <v>426.92083333333335</v>
      </c>
      <c r="O177" s="35">
        <f t="shared" si="50"/>
        <v>426.92083333333335</v>
      </c>
      <c r="P177" s="35">
        <f t="shared" si="51"/>
        <v>426.92083333333335</v>
      </c>
      <c r="Q177" s="35">
        <f t="shared" si="52"/>
        <v>853.8416666666667</v>
      </c>
      <c r="R177" s="35">
        <f t="shared" si="53"/>
        <v>4269.2083333333339</v>
      </c>
    </row>
    <row r="178" spans="1:19" s="59" customFormat="1">
      <c r="A178" s="53">
        <v>236854</v>
      </c>
      <c r="B178" s="59">
        <v>15</v>
      </c>
      <c r="C178" s="56" t="s">
        <v>855</v>
      </c>
      <c r="D178" s="59">
        <v>2020</v>
      </c>
      <c r="E178" s="59">
        <v>8</v>
      </c>
      <c r="F178" s="59">
        <v>0</v>
      </c>
      <c r="G178" s="56" t="s">
        <v>78</v>
      </c>
      <c r="H178" s="28">
        <v>12</v>
      </c>
      <c r="I178" s="59">
        <f t="shared" si="56"/>
        <v>2032</v>
      </c>
      <c r="J178" s="34">
        <f t="shared" si="57"/>
        <v>2032.6666666666667</v>
      </c>
      <c r="K178" s="35">
        <v>8012.77</v>
      </c>
      <c r="L178" s="35">
        <f t="shared" si="47"/>
        <v>8012.77</v>
      </c>
      <c r="M178" s="35">
        <f t="shared" si="48"/>
        <v>55.64423611111112</v>
      </c>
      <c r="N178" s="35">
        <f t="shared" si="49"/>
        <v>667.73083333333341</v>
      </c>
      <c r="O178" s="35">
        <f t="shared" si="50"/>
        <v>667.73083333333341</v>
      </c>
      <c r="P178" s="35">
        <f t="shared" si="51"/>
        <v>667.73083333333341</v>
      </c>
      <c r="Q178" s="35">
        <f t="shared" si="52"/>
        <v>1335.4616666666668</v>
      </c>
      <c r="R178" s="35">
        <f t="shared" si="53"/>
        <v>6677.3083333333334</v>
      </c>
    </row>
    <row r="179" spans="1:19" s="59" customFormat="1">
      <c r="A179" s="53">
        <v>236330</v>
      </c>
      <c r="B179" s="59">
        <v>10</v>
      </c>
      <c r="C179" s="56" t="s">
        <v>856</v>
      </c>
      <c r="D179" s="59">
        <v>2020</v>
      </c>
      <c r="E179" s="59">
        <v>8</v>
      </c>
      <c r="F179" s="59">
        <v>0</v>
      </c>
      <c r="G179" s="56" t="s">
        <v>78</v>
      </c>
      <c r="H179" s="28">
        <v>12</v>
      </c>
      <c r="I179" s="59">
        <f t="shared" si="56"/>
        <v>2032</v>
      </c>
      <c r="J179" s="34">
        <f t="shared" si="57"/>
        <v>2032.6666666666667</v>
      </c>
      <c r="K179" s="35">
        <v>8281.58</v>
      </c>
      <c r="L179" s="35">
        <f t="shared" si="47"/>
        <v>8281.58</v>
      </c>
      <c r="M179" s="35">
        <f t="shared" si="48"/>
        <v>57.510972222222222</v>
      </c>
      <c r="N179" s="35">
        <f t="shared" si="49"/>
        <v>690.13166666666666</v>
      </c>
      <c r="O179" s="35">
        <f t="shared" si="50"/>
        <v>690.13166666666666</v>
      </c>
      <c r="P179" s="35">
        <f t="shared" si="51"/>
        <v>690.13166666666666</v>
      </c>
      <c r="Q179" s="35">
        <f t="shared" si="52"/>
        <v>1380.2633333333333</v>
      </c>
      <c r="R179" s="35">
        <f t="shared" si="53"/>
        <v>6901.3166666666666</v>
      </c>
    </row>
    <row r="180" spans="1:19" s="59" customFormat="1">
      <c r="A180" s="53">
        <v>242995</v>
      </c>
      <c r="B180" s="59">
        <v>13</v>
      </c>
      <c r="C180" s="56" t="s">
        <v>892</v>
      </c>
      <c r="D180" s="59">
        <v>2020</v>
      </c>
      <c r="E180" s="59">
        <v>11</v>
      </c>
      <c r="F180" s="59">
        <v>0</v>
      </c>
      <c r="G180" s="56" t="s">
        <v>78</v>
      </c>
      <c r="H180" s="28">
        <v>12</v>
      </c>
      <c r="I180" s="59">
        <f t="shared" ref="I180:I189" si="58">D180+H180</f>
        <v>2032</v>
      </c>
      <c r="J180" s="34">
        <f t="shared" ref="J180:J189" si="59">+I180+(E180/12)</f>
        <v>2032.9166666666667</v>
      </c>
      <c r="K180" s="35">
        <v>9912.74</v>
      </c>
      <c r="L180" s="35">
        <f t="shared" ref="L180:L189" si="60">K180-K180*F180</f>
        <v>9912.74</v>
      </c>
      <c r="M180" s="35">
        <f t="shared" ref="M180:M189" si="61">L180/H180/12</f>
        <v>68.838472222222222</v>
      </c>
      <c r="N180" s="35">
        <f t="shared" ref="N180:N189" si="62">+M180*12</f>
        <v>826.06166666666672</v>
      </c>
      <c r="O180" s="35">
        <f t="shared" ref="O180:O189" si="63">+IF(J180&lt;=$L$5,0,IF(I180&gt;$L$4,N180,(M180*E180)))</f>
        <v>826.06166666666672</v>
      </c>
      <c r="P180" s="35">
        <f t="shared" ref="P180:P189" si="64">+IF(O180=0,L180,IF($L$3-D180&lt;1,0,(($L$3-D180)*O180)))</f>
        <v>826.06166666666672</v>
      </c>
      <c r="Q180" s="35">
        <f t="shared" ref="Q180:Q189" si="65">+IF(O180=0,P180,P180+O180)</f>
        <v>1652.1233333333334</v>
      </c>
      <c r="R180" s="35">
        <f t="shared" ref="R180:R189" si="66">+K180-Q180</f>
        <v>8260.6166666666668</v>
      </c>
      <c r="S180" s="71"/>
    </row>
    <row r="181" spans="1:19" s="59" customFormat="1">
      <c r="A181" s="53">
        <v>243345</v>
      </c>
      <c r="B181" s="59">
        <v>15</v>
      </c>
      <c r="C181" s="56" t="s">
        <v>893</v>
      </c>
      <c r="D181" s="59">
        <v>2020</v>
      </c>
      <c r="E181" s="59">
        <v>11</v>
      </c>
      <c r="F181" s="59">
        <v>0</v>
      </c>
      <c r="G181" s="56" t="s">
        <v>78</v>
      </c>
      <c r="H181" s="28">
        <v>12</v>
      </c>
      <c r="I181" s="59">
        <f t="shared" si="58"/>
        <v>2032</v>
      </c>
      <c r="J181" s="34">
        <f t="shared" si="59"/>
        <v>2032.9166666666667</v>
      </c>
      <c r="K181" s="35">
        <v>7876.8</v>
      </c>
      <c r="L181" s="35">
        <f t="shared" si="60"/>
        <v>7876.8</v>
      </c>
      <c r="M181" s="35">
        <f t="shared" si="61"/>
        <v>54.699999999999996</v>
      </c>
      <c r="N181" s="35">
        <f t="shared" si="62"/>
        <v>656.4</v>
      </c>
      <c r="O181" s="35">
        <f t="shared" si="63"/>
        <v>656.4</v>
      </c>
      <c r="P181" s="35">
        <f t="shared" si="64"/>
        <v>656.4</v>
      </c>
      <c r="Q181" s="35">
        <f t="shared" si="65"/>
        <v>1312.8</v>
      </c>
      <c r="R181" s="35">
        <f t="shared" si="66"/>
        <v>6564</v>
      </c>
      <c r="S181" s="71"/>
    </row>
    <row r="182" spans="1:19" s="59" customFormat="1">
      <c r="A182" s="53">
        <v>243346</v>
      </c>
      <c r="B182" s="59">
        <v>2</v>
      </c>
      <c r="C182" s="56" t="s">
        <v>894</v>
      </c>
      <c r="D182" s="59">
        <v>2020</v>
      </c>
      <c r="E182" s="59">
        <v>11</v>
      </c>
      <c r="F182" s="59">
        <v>0</v>
      </c>
      <c r="G182" s="56" t="s">
        <v>78</v>
      </c>
      <c r="H182" s="28">
        <v>12</v>
      </c>
      <c r="I182" s="59">
        <f t="shared" si="58"/>
        <v>2032</v>
      </c>
      <c r="J182" s="34">
        <f t="shared" si="59"/>
        <v>2032.9166666666667</v>
      </c>
      <c r="K182" s="35">
        <v>1525.04</v>
      </c>
      <c r="L182" s="35">
        <f t="shared" si="60"/>
        <v>1525.04</v>
      </c>
      <c r="M182" s="35">
        <f t="shared" si="61"/>
        <v>10.590555555555556</v>
      </c>
      <c r="N182" s="35">
        <f t="shared" si="62"/>
        <v>127.08666666666667</v>
      </c>
      <c r="O182" s="35">
        <f t="shared" si="63"/>
        <v>127.08666666666667</v>
      </c>
      <c r="P182" s="35">
        <f t="shared" si="64"/>
        <v>127.08666666666667</v>
      </c>
      <c r="Q182" s="35">
        <f t="shared" si="65"/>
        <v>254.17333333333335</v>
      </c>
      <c r="R182" s="35">
        <f t="shared" si="66"/>
        <v>1270.8666666666666</v>
      </c>
      <c r="S182" s="71"/>
    </row>
    <row r="183" spans="1:19" s="59" customFormat="1">
      <c r="A183" s="53">
        <v>243347</v>
      </c>
      <c r="B183" s="59">
        <v>15</v>
      </c>
      <c r="C183" s="56" t="s">
        <v>895</v>
      </c>
      <c r="D183" s="59">
        <v>2020</v>
      </c>
      <c r="E183" s="59">
        <v>11</v>
      </c>
      <c r="F183" s="59">
        <v>0</v>
      </c>
      <c r="G183" s="56" t="s">
        <v>78</v>
      </c>
      <c r="H183" s="28">
        <v>12</v>
      </c>
      <c r="I183" s="59">
        <f t="shared" si="58"/>
        <v>2032</v>
      </c>
      <c r="J183" s="34">
        <f t="shared" si="59"/>
        <v>2032.9166666666667</v>
      </c>
      <c r="K183" s="35">
        <v>6252.21</v>
      </c>
      <c r="L183" s="35">
        <f t="shared" si="60"/>
        <v>6252.21</v>
      </c>
      <c r="M183" s="35">
        <f t="shared" si="61"/>
        <v>43.418125000000003</v>
      </c>
      <c r="N183" s="35">
        <f t="shared" si="62"/>
        <v>521.01750000000004</v>
      </c>
      <c r="O183" s="35">
        <f t="shared" si="63"/>
        <v>521.01750000000004</v>
      </c>
      <c r="P183" s="35">
        <f t="shared" si="64"/>
        <v>521.01750000000004</v>
      </c>
      <c r="Q183" s="35">
        <f t="shared" si="65"/>
        <v>1042.0350000000001</v>
      </c>
      <c r="R183" s="35">
        <f t="shared" si="66"/>
        <v>5210.1750000000002</v>
      </c>
      <c r="S183" s="71"/>
    </row>
    <row r="184" spans="1:19" s="59" customFormat="1">
      <c r="A184" s="53">
        <v>243348</v>
      </c>
      <c r="B184" s="59">
        <v>10</v>
      </c>
      <c r="C184" s="56" t="s">
        <v>896</v>
      </c>
      <c r="D184" s="59">
        <v>2020</v>
      </c>
      <c r="E184" s="59">
        <v>11</v>
      </c>
      <c r="F184" s="59">
        <v>0</v>
      </c>
      <c r="G184" s="56" t="s">
        <v>78</v>
      </c>
      <c r="H184" s="28">
        <v>12</v>
      </c>
      <c r="I184" s="59">
        <f t="shared" si="58"/>
        <v>2032</v>
      </c>
      <c r="J184" s="34">
        <f t="shared" si="59"/>
        <v>2032.9166666666667</v>
      </c>
      <c r="K184" s="35">
        <v>4638.5600000000004</v>
      </c>
      <c r="L184" s="35">
        <f t="shared" si="60"/>
        <v>4638.5600000000004</v>
      </c>
      <c r="M184" s="35">
        <f t="shared" si="61"/>
        <v>32.212222222222223</v>
      </c>
      <c r="N184" s="35">
        <f t="shared" si="62"/>
        <v>386.54666666666668</v>
      </c>
      <c r="O184" s="35">
        <f t="shared" si="63"/>
        <v>386.54666666666668</v>
      </c>
      <c r="P184" s="35">
        <f t="shared" si="64"/>
        <v>386.54666666666668</v>
      </c>
      <c r="Q184" s="35">
        <f t="shared" si="65"/>
        <v>773.09333333333336</v>
      </c>
      <c r="R184" s="35">
        <f t="shared" si="66"/>
        <v>3865.4666666666672</v>
      </c>
      <c r="S184" s="71"/>
    </row>
    <row r="185" spans="1:19" s="59" customFormat="1">
      <c r="A185" s="53">
        <v>243349</v>
      </c>
      <c r="B185" s="59">
        <v>15</v>
      </c>
      <c r="C185" s="56" t="s">
        <v>897</v>
      </c>
      <c r="D185" s="59">
        <v>2020</v>
      </c>
      <c r="E185" s="59">
        <v>11</v>
      </c>
      <c r="F185" s="59">
        <v>0</v>
      </c>
      <c r="G185" s="56" t="s">
        <v>78</v>
      </c>
      <c r="H185" s="28">
        <v>12</v>
      </c>
      <c r="I185" s="59">
        <f t="shared" si="58"/>
        <v>2032</v>
      </c>
      <c r="J185" s="34">
        <f t="shared" si="59"/>
        <v>2032.9166666666667</v>
      </c>
      <c r="K185" s="35">
        <v>7072.71</v>
      </c>
      <c r="L185" s="35">
        <f t="shared" si="60"/>
        <v>7072.71</v>
      </c>
      <c r="M185" s="35">
        <f t="shared" si="61"/>
        <v>49.116041666666668</v>
      </c>
      <c r="N185" s="35">
        <f t="shared" si="62"/>
        <v>589.39250000000004</v>
      </c>
      <c r="O185" s="35">
        <f t="shared" si="63"/>
        <v>589.39250000000004</v>
      </c>
      <c r="P185" s="35">
        <f t="shared" si="64"/>
        <v>589.39250000000004</v>
      </c>
      <c r="Q185" s="35">
        <f t="shared" si="65"/>
        <v>1178.7850000000001</v>
      </c>
      <c r="R185" s="35">
        <f t="shared" si="66"/>
        <v>5893.9250000000002</v>
      </c>
      <c r="S185" s="71"/>
    </row>
    <row r="186" spans="1:19" s="59" customFormat="1">
      <c r="A186" s="53">
        <v>243350</v>
      </c>
      <c r="B186" s="59">
        <v>2</v>
      </c>
      <c r="C186" s="56" t="s">
        <v>898</v>
      </c>
      <c r="D186" s="59">
        <v>2020</v>
      </c>
      <c r="E186" s="59">
        <v>11</v>
      </c>
      <c r="F186" s="59">
        <v>0</v>
      </c>
      <c r="G186" s="56" t="s">
        <v>78</v>
      </c>
      <c r="H186" s="28">
        <v>12</v>
      </c>
      <c r="I186" s="59">
        <f t="shared" si="58"/>
        <v>2032</v>
      </c>
      <c r="J186" s="34">
        <f t="shared" si="59"/>
        <v>2032.9166666666667</v>
      </c>
      <c r="K186" s="35">
        <v>1542.56</v>
      </c>
      <c r="L186" s="35">
        <f t="shared" si="60"/>
        <v>1542.56</v>
      </c>
      <c r="M186" s="35">
        <f t="shared" si="61"/>
        <v>10.712222222222222</v>
      </c>
      <c r="N186" s="35">
        <f t="shared" si="62"/>
        <v>128.54666666666665</v>
      </c>
      <c r="O186" s="35">
        <f t="shared" si="63"/>
        <v>128.54666666666665</v>
      </c>
      <c r="P186" s="35">
        <f t="shared" si="64"/>
        <v>128.54666666666665</v>
      </c>
      <c r="Q186" s="35">
        <f t="shared" si="65"/>
        <v>257.09333333333331</v>
      </c>
      <c r="R186" s="35">
        <f t="shared" si="66"/>
        <v>1285.4666666666667</v>
      </c>
      <c r="S186" s="71"/>
    </row>
    <row r="187" spans="1:19" s="59" customFormat="1">
      <c r="A187" s="53">
        <v>243351</v>
      </c>
      <c r="B187" s="59">
        <v>13</v>
      </c>
      <c r="C187" s="56" t="s">
        <v>898</v>
      </c>
      <c r="D187" s="59">
        <v>2020</v>
      </c>
      <c r="E187" s="59">
        <v>11</v>
      </c>
      <c r="F187" s="59">
        <v>0</v>
      </c>
      <c r="G187" s="56" t="s">
        <v>78</v>
      </c>
      <c r="H187" s="28">
        <v>12</v>
      </c>
      <c r="I187" s="59">
        <f t="shared" si="58"/>
        <v>2032</v>
      </c>
      <c r="J187" s="34">
        <f t="shared" si="59"/>
        <v>2032.9166666666667</v>
      </c>
      <c r="K187" s="35">
        <v>10026.52</v>
      </c>
      <c r="L187" s="35">
        <f t="shared" si="60"/>
        <v>10026.52</v>
      </c>
      <c r="M187" s="35">
        <f t="shared" si="61"/>
        <v>69.628611111111113</v>
      </c>
      <c r="N187" s="35">
        <f t="shared" si="62"/>
        <v>835.54333333333329</v>
      </c>
      <c r="O187" s="35">
        <f t="shared" si="63"/>
        <v>835.54333333333329</v>
      </c>
      <c r="P187" s="35">
        <f t="shared" si="64"/>
        <v>835.54333333333329</v>
      </c>
      <c r="Q187" s="35">
        <f t="shared" si="65"/>
        <v>1671.0866666666666</v>
      </c>
      <c r="R187" s="35">
        <f t="shared" si="66"/>
        <v>8355.4333333333343</v>
      </c>
      <c r="S187" s="71"/>
    </row>
    <row r="188" spans="1:19" s="59" customFormat="1">
      <c r="A188" s="53">
        <v>243352</v>
      </c>
      <c r="B188" s="59">
        <v>15</v>
      </c>
      <c r="C188" s="56" t="s">
        <v>900</v>
      </c>
      <c r="D188" s="59">
        <v>2020</v>
      </c>
      <c r="E188" s="59">
        <v>11</v>
      </c>
      <c r="F188" s="59">
        <v>0</v>
      </c>
      <c r="G188" s="56" t="s">
        <v>78</v>
      </c>
      <c r="H188" s="28">
        <v>12</v>
      </c>
      <c r="I188" s="59">
        <f t="shared" si="58"/>
        <v>2032</v>
      </c>
      <c r="J188" s="34">
        <f t="shared" si="59"/>
        <v>2032.9166666666667</v>
      </c>
      <c r="K188" s="35">
        <v>7614.24</v>
      </c>
      <c r="L188" s="35">
        <f t="shared" si="60"/>
        <v>7614.24</v>
      </c>
      <c r="M188" s="35">
        <f t="shared" si="61"/>
        <v>52.876666666666665</v>
      </c>
      <c r="N188" s="35">
        <f t="shared" si="62"/>
        <v>634.52</v>
      </c>
      <c r="O188" s="35">
        <f t="shared" si="63"/>
        <v>634.52</v>
      </c>
      <c r="P188" s="35">
        <f t="shared" si="64"/>
        <v>634.52</v>
      </c>
      <c r="Q188" s="35">
        <f t="shared" si="65"/>
        <v>1269.04</v>
      </c>
      <c r="R188" s="35">
        <f t="shared" si="66"/>
        <v>6345.2</v>
      </c>
      <c r="S188" s="71"/>
    </row>
    <row r="189" spans="1:19" s="59" customFormat="1">
      <c r="A189" s="53">
        <v>243353</v>
      </c>
      <c r="B189" s="59">
        <v>20</v>
      </c>
      <c r="C189" s="56" t="s">
        <v>899</v>
      </c>
      <c r="D189" s="59">
        <v>2020</v>
      </c>
      <c r="E189" s="59">
        <v>11</v>
      </c>
      <c r="F189" s="59">
        <v>0</v>
      </c>
      <c r="G189" s="56" t="s">
        <v>78</v>
      </c>
      <c r="H189" s="28">
        <v>12</v>
      </c>
      <c r="I189" s="59">
        <f t="shared" si="58"/>
        <v>2032</v>
      </c>
      <c r="J189" s="34">
        <f t="shared" si="59"/>
        <v>2032.9166666666667</v>
      </c>
      <c r="K189" s="35">
        <v>12230.92</v>
      </c>
      <c r="L189" s="35">
        <f t="shared" si="60"/>
        <v>12230.92</v>
      </c>
      <c r="M189" s="35">
        <f t="shared" si="61"/>
        <v>84.93694444444445</v>
      </c>
      <c r="N189" s="35">
        <f t="shared" si="62"/>
        <v>1019.2433333333333</v>
      </c>
      <c r="O189" s="35">
        <f t="shared" si="63"/>
        <v>1019.2433333333333</v>
      </c>
      <c r="P189" s="35">
        <f t="shared" si="64"/>
        <v>1019.2433333333333</v>
      </c>
      <c r="Q189" s="35">
        <f t="shared" si="65"/>
        <v>2038.4866666666667</v>
      </c>
      <c r="R189" s="35">
        <f t="shared" si="66"/>
        <v>10192.433333333334</v>
      </c>
      <c r="S189" s="71"/>
    </row>
    <row r="190" spans="1:19" s="59" customFormat="1">
      <c r="A190" s="53"/>
      <c r="H190" s="28"/>
      <c r="K190" s="35"/>
      <c r="L190" s="35"/>
      <c r="M190" s="35"/>
      <c r="N190" s="35"/>
      <c r="O190" s="35"/>
      <c r="P190" s="35"/>
      <c r="Q190" s="35"/>
      <c r="R190" s="35"/>
    </row>
    <row r="191" spans="1:19" s="59" customFormat="1">
      <c r="A191" s="53"/>
      <c r="B191" s="51">
        <f>SUM(B13:B190)</f>
        <v>3456</v>
      </c>
      <c r="C191" s="51" t="s">
        <v>407</v>
      </c>
      <c r="H191" s="28"/>
      <c r="K191" s="85">
        <f t="shared" ref="K191:R191" si="67">SUM(K13:K190)</f>
        <v>1470729.9200000004</v>
      </c>
      <c r="L191" s="85">
        <f t="shared" si="67"/>
        <v>1470729.9200000004</v>
      </c>
      <c r="M191" s="85">
        <f t="shared" si="67"/>
        <v>11519.71919444444</v>
      </c>
      <c r="N191" s="85">
        <f t="shared" si="67"/>
        <v>138236.63033333333</v>
      </c>
      <c r="O191" s="85">
        <f t="shared" si="67"/>
        <v>54716.095000000016</v>
      </c>
      <c r="P191" s="85">
        <f t="shared" si="67"/>
        <v>1014043.3566666661</v>
      </c>
      <c r="Q191" s="85">
        <f t="shared" si="67"/>
        <v>1068759.4516666662</v>
      </c>
      <c r="R191" s="85">
        <f t="shared" si="67"/>
        <v>401970.46833333327</v>
      </c>
    </row>
    <row r="192" spans="1:19" s="59" customFormat="1">
      <c r="A192" s="53"/>
      <c r="H192" s="28"/>
      <c r="K192" s="35"/>
      <c r="L192" s="35"/>
      <c r="M192" s="35"/>
      <c r="N192" s="35"/>
      <c r="O192" s="35"/>
      <c r="P192" s="35"/>
      <c r="Q192" s="35"/>
      <c r="R192" s="35"/>
    </row>
    <row r="193" spans="1:18" s="59" customFormat="1">
      <c r="A193" s="53"/>
      <c r="C193" s="51" t="s">
        <v>408</v>
      </c>
      <c r="H193" s="28"/>
      <c r="K193" s="35"/>
      <c r="L193" s="35"/>
      <c r="M193" s="35"/>
      <c r="N193" s="35"/>
      <c r="O193" s="35"/>
      <c r="P193" s="35"/>
      <c r="Q193" s="35"/>
      <c r="R193" s="35"/>
    </row>
    <row r="194" spans="1:18" s="59" customFormat="1" hidden="1" outlineLevel="1">
      <c r="A194" s="53"/>
      <c r="B194" s="59">
        <v>0</v>
      </c>
      <c r="C194" s="59" t="s">
        <v>186</v>
      </c>
      <c r="D194" s="59">
        <v>2000</v>
      </c>
      <c r="E194" s="59">
        <v>1</v>
      </c>
      <c r="F194" s="59">
        <v>0</v>
      </c>
      <c r="G194" s="59" t="s">
        <v>78</v>
      </c>
      <c r="H194" s="28" t="s">
        <v>9</v>
      </c>
      <c r="I194" s="59">
        <f t="shared" ref="I194:I225" si="68">D194+H194</f>
        <v>2010</v>
      </c>
      <c r="J194" s="34">
        <f t="shared" ref="J194:J225" si="69">+I194+(E194/12)</f>
        <v>2010.0833333333333</v>
      </c>
      <c r="K194" s="35">
        <v>1944</v>
      </c>
      <c r="L194" s="35">
        <f t="shared" ref="L194:L225" si="70">K194-K194*F194</f>
        <v>1944</v>
      </c>
      <c r="M194" s="35">
        <f t="shared" ref="M194:M225" si="71">L194/H194/12</f>
        <v>16.2</v>
      </c>
      <c r="N194" s="35">
        <f t="shared" ref="N194:N225" si="72">+M194*12</f>
        <v>194.39999999999998</v>
      </c>
      <c r="O194" s="35">
        <f t="shared" ref="O194:O225" si="73">+IF(J194&lt;=$L$5,0,IF(I194&gt;$L$4,N194,(M194*E194)))</f>
        <v>0</v>
      </c>
      <c r="P194" s="35">
        <f t="shared" ref="P194:P225" si="74">+IF(O194=0,L194,IF($L$3-D194&lt;1,0,(($L$3-D194)*O194)))</f>
        <v>1944</v>
      </c>
      <c r="Q194" s="35">
        <f t="shared" ref="Q194:Q225" si="75">+IF(O194=0,P194,P194+O194)</f>
        <v>1944</v>
      </c>
      <c r="R194" s="35">
        <f t="shared" ref="R194:R225" si="76">+K194-Q194</f>
        <v>0</v>
      </c>
    </row>
    <row r="195" spans="1:18" s="59" customFormat="1" hidden="1" outlineLevel="1">
      <c r="A195" s="53"/>
      <c r="B195" s="59">
        <v>1</v>
      </c>
      <c r="C195" s="59" t="s">
        <v>202</v>
      </c>
      <c r="D195" s="59">
        <v>2000</v>
      </c>
      <c r="E195" s="59">
        <v>2</v>
      </c>
      <c r="F195" s="59">
        <v>0</v>
      </c>
      <c r="G195" s="59" t="s">
        <v>78</v>
      </c>
      <c r="H195" s="28" t="s">
        <v>9</v>
      </c>
      <c r="I195" s="59">
        <f t="shared" si="68"/>
        <v>2010</v>
      </c>
      <c r="J195" s="34">
        <f t="shared" si="69"/>
        <v>2010.1666666666667</v>
      </c>
      <c r="K195" s="35">
        <v>2391.12</v>
      </c>
      <c r="L195" s="35">
        <f t="shared" si="70"/>
        <v>2391.12</v>
      </c>
      <c r="M195" s="35">
        <f t="shared" si="71"/>
        <v>19.925999999999998</v>
      </c>
      <c r="N195" s="35">
        <f t="shared" si="72"/>
        <v>239.11199999999997</v>
      </c>
      <c r="O195" s="35">
        <f t="shared" si="73"/>
        <v>0</v>
      </c>
      <c r="P195" s="35">
        <f t="shared" si="74"/>
        <v>2391.12</v>
      </c>
      <c r="Q195" s="35">
        <f t="shared" si="75"/>
        <v>2391.12</v>
      </c>
      <c r="R195" s="35">
        <f t="shared" si="76"/>
        <v>0</v>
      </c>
    </row>
    <row r="196" spans="1:18" s="59" customFormat="1" hidden="1" outlineLevel="1">
      <c r="A196" s="53"/>
      <c r="B196" s="59">
        <v>706</v>
      </c>
      <c r="C196" s="59" t="s">
        <v>187</v>
      </c>
      <c r="D196" s="59">
        <v>2000</v>
      </c>
      <c r="E196" s="59">
        <v>2</v>
      </c>
      <c r="F196" s="59">
        <v>0</v>
      </c>
      <c r="G196" s="59" t="s">
        <v>78</v>
      </c>
      <c r="H196" s="28" t="s">
        <v>9</v>
      </c>
      <c r="I196" s="59">
        <f t="shared" si="68"/>
        <v>2010</v>
      </c>
      <c r="J196" s="34">
        <f t="shared" si="69"/>
        <v>2010.1666666666667</v>
      </c>
      <c r="K196" s="35">
        <v>33169.5</v>
      </c>
      <c r="L196" s="35">
        <f t="shared" si="70"/>
        <v>33169.5</v>
      </c>
      <c r="M196" s="35">
        <f t="shared" si="71"/>
        <v>276.41249999999997</v>
      </c>
      <c r="N196" s="35">
        <f t="shared" si="72"/>
        <v>3316.95</v>
      </c>
      <c r="O196" s="35">
        <f t="shared" si="73"/>
        <v>0</v>
      </c>
      <c r="P196" s="35">
        <f t="shared" si="74"/>
        <v>33169.5</v>
      </c>
      <c r="Q196" s="35">
        <f t="shared" si="75"/>
        <v>33169.5</v>
      </c>
      <c r="R196" s="35">
        <f t="shared" si="76"/>
        <v>0</v>
      </c>
    </row>
    <row r="197" spans="1:18" s="59" customFormat="1" hidden="1" outlineLevel="1">
      <c r="A197" s="53"/>
      <c r="B197" s="59">
        <v>706</v>
      </c>
      <c r="C197" s="59" t="s">
        <v>187</v>
      </c>
      <c r="D197" s="59">
        <v>2000</v>
      </c>
      <c r="E197" s="59">
        <v>2</v>
      </c>
      <c r="F197" s="59">
        <v>0</v>
      </c>
      <c r="G197" s="59" t="s">
        <v>78</v>
      </c>
      <c r="H197" s="28" t="s">
        <v>9</v>
      </c>
      <c r="I197" s="59">
        <f t="shared" si="68"/>
        <v>2010</v>
      </c>
      <c r="J197" s="34">
        <f t="shared" si="69"/>
        <v>2010.1666666666667</v>
      </c>
      <c r="K197" s="35">
        <v>33169.5</v>
      </c>
      <c r="L197" s="35">
        <f t="shared" si="70"/>
        <v>33169.5</v>
      </c>
      <c r="M197" s="35">
        <f t="shared" si="71"/>
        <v>276.41249999999997</v>
      </c>
      <c r="N197" s="35">
        <f t="shared" si="72"/>
        <v>3316.95</v>
      </c>
      <c r="O197" s="35">
        <f t="shared" si="73"/>
        <v>0</v>
      </c>
      <c r="P197" s="35">
        <f t="shared" si="74"/>
        <v>33169.5</v>
      </c>
      <c r="Q197" s="35">
        <f t="shared" si="75"/>
        <v>33169.5</v>
      </c>
      <c r="R197" s="35">
        <f t="shared" si="76"/>
        <v>0</v>
      </c>
    </row>
    <row r="198" spans="1:18" s="59" customFormat="1" hidden="1" outlineLevel="1">
      <c r="A198" s="53"/>
      <c r="B198" s="59">
        <v>565</v>
      </c>
      <c r="C198" s="59" t="s">
        <v>187</v>
      </c>
      <c r="D198" s="59">
        <v>2000</v>
      </c>
      <c r="E198" s="59">
        <v>2</v>
      </c>
      <c r="F198" s="59">
        <v>0</v>
      </c>
      <c r="G198" s="59" t="s">
        <v>78</v>
      </c>
      <c r="H198" s="28" t="s">
        <v>9</v>
      </c>
      <c r="I198" s="59">
        <f t="shared" si="68"/>
        <v>2010</v>
      </c>
      <c r="J198" s="34">
        <f t="shared" si="69"/>
        <v>2010.1666666666667</v>
      </c>
      <c r="K198" s="35">
        <v>26535.599999999999</v>
      </c>
      <c r="L198" s="35">
        <f t="shared" si="70"/>
        <v>26535.599999999999</v>
      </c>
      <c r="M198" s="35">
        <f t="shared" si="71"/>
        <v>221.13</v>
      </c>
      <c r="N198" s="35">
        <f t="shared" si="72"/>
        <v>2653.56</v>
      </c>
      <c r="O198" s="35">
        <f t="shared" si="73"/>
        <v>0</v>
      </c>
      <c r="P198" s="35">
        <f t="shared" si="74"/>
        <v>26535.599999999999</v>
      </c>
      <c r="Q198" s="35">
        <f t="shared" si="75"/>
        <v>26535.599999999999</v>
      </c>
      <c r="R198" s="35">
        <f t="shared" si="76"/>
        <v>0</v>
      </c>
    </row>
    <row r="199" spans="1:18" s="59" customFormat="1" hidden="1" outlineLevel="1">
      <c r="A199" s="53"/>
      <c r="B199" s="59">
        <v>2</v>
      </c>
      <c r="C199" s="59" t="s">
        <v>186</v>
      </c>
      <c r="D199" s="59">
        <v>2000</v>
      </c>
      <c r="E199" s="59">
        <v>3</v>
      </c>
      <c r="F199" s="59">
        <v>0</v>
      </c>
      <c r="G199" s="59" t="s">
        <v>78</v>
      </c>
      <c r="H199" s="28" t="s">
        <v>9</v>
      </c>
      <c r="I199" s="59">
        <f t="shared" si="68"/>
        <v>2010</v>
      </c>
      <c r="J199" s="34">
        <f t="shared" si="69"/>
        <v>2010.25</v>
      </c>
      <c r="K199" s="35">
        <v>7776</v>
      </c>
      <c r="L199" s="35">
        <f t="shared" si="70"/>
        <v>7776</v>
      </c>
      <c r="M199" s="35">
        <f t="shared" si="71"/>
        <v>64.8</v>
      </c>
      <c r="N199" s="35">
        <f t="shared" si="72"/>
        <v>777.59999999999991</v>
      </c>
      <c r="O199" s="35">
        <f t="shared" si="73"/>
        <v>0</v>
      </c>
      <c r="P199" s="35">
        <f t="shared" si="74"/>
        <v>7776</v>
      </c>
      <c r="Q199" s="35">
        <f t="shared" si="75"/>
        <v>7776</v>
      </c>
      <c r="R199" s="35">
        <f t="shared" si="76"/>
        <v>0</v>
      </c>
    </row>
    <row r="200" spans="1:18" s="59" customFormat="1" hidden="1" outlineLevel="1">
      <c r="A200" s="53"/>
      <c r="B200" s="59">
        <v>400</v>
      </c>
      <c r="C200" s="59" t="s">
        <v>302</v>
      </c>
      <c r="D200" s="59">
        <v>2000</v>
      </c>
      <c r="E200" s="59">
        <v>9</v>
      </c>
      <c r="F200" s="59">
        <v>0</v>
      </c>
      <c r="G200" s="59" t="s">
        <v>78</v>
      </c>
      <c r="H200" s="28" t="s">
        <v>9</v>
      </c>
      <c r="I200" s="59">
        <f t="shared" si="68"/>
        <v>2010</v>
      </c>
      <c r="J200" s="34">
        <f t="shared" si="69"/>
        <v>2010.75</v>
      </c>
      <c r="K200" s="35">
        <v>8524.1</v>
      </c>
      <c r="L200" s="35">
        <f t="shared" si="70"/>
        <v>8524.1</v>
      </c>
      <c r="M200" s="35">
        <f t="shared" si="71"/>
        <v>71.034166666666678</v>
      </c>
      <c r="N200" s="35">
        <f t="shared" si="72"/>
        <v>852.41000000000008</v>
      </c>
      <c r="O200" s="35">
        <f t="shared" si="73"/>
        <v>0</v>
      </c>
      <c r="P200" s="35">
        <f t="shared" si="74"/>
        <v>8524.1</v>
      </c>
      <c r="Q200" s="35">
        <f t="shared" si="75"/>
        <v>8524.1</v>
      </c>
      <c r="R200" s="35">
        <f t="shared" si="76"/>
        <v>0</v>
      </c>
    </row>
    <row r="201" spans="1:18" s="59" customFormat="1" hidden="1" outlineLevel="1">
      <c r="A201" s="53"/>
      <c r="B201" s="59">
        <v>261</v>
      </c>
      <c r="C201" s="59" t="s">
        <v>229</v>
      </c>
      <c r="D201" s="59">
        <v>2001</v>
      </c>
      <c r="E201" s="59">
        <v>10</v>
      </c>
      <c r="F201" s="59">
        <v>0</v>
      </c>
      <c r="G201" s="59" t="s">
        <v>78</v>
      </c>
      <c r="H201" s="28" t="s">
        <v>9</v>
      </c>
      <c r="I201" s="59">
        <f t="shared" si="68"/>
        <v>2011</v>
      </c>
      <c r="J201" s="34">
        <f t="shared" si="69"/>
        <v>2011.8333333333333</v>
      </c>
      <c r="K201" s="35">
        <v>12286.08</v>
      </c>
      <c r="L201" s="35">
        <f t="shared" si="70"/>
        <v>12286.08</v>
      </c>
      <c r="M201" s="35">
        <f t="shared" si="71"/>
        <v>102.384</v>
      </c>
      <c r="N201" s="35">
        <f t="shared" si="72"/>
        <v>1228.6079999999999</v>
      </c>
      <c r="O201" s="35">
        <f t="shared" si="73"/>
        <v>0</v>
      </c>
      <c r="P201" s="35">
        <f t="shared" si="74"/>
        <v>12286.08</v>
      </c>
      <c r="Q201" s="35">
        <f t="shared" si="75"/>
        <v>12286.08</v>
      </c>
      <c r="R201" s="35">
        <f t="shared" si="76"/>
        <v>0</v>
      </c>
    </row>
    <row r="202" spans="1:18" s="59" customFormat="1" hidden="1" outlineLevel="1">
      <c r="A202" s="53"/>
      <c r="B202" s="59">
        <v>52</v>
      </c>
      <c r="C202" s="59" t="s">
        <v>262</v>
      </c>
      <c r="D202" s="59">
        <v>2002</v>
      </c>
      <c r="E202" s="59">
        <v>3</v>
      </c>
      <c r="F202" s="59">
        <v>0</v>
      </c>
      <c r="G202" s="59" t="s">
        <v>78</v>
      </c>
      <c r="H202" s="28" t="s">
        <v>9</v>
      </c>
      <c r="I202" s="59">
        <f t="shared" si="68"/>
        <v>2012</v>
      </c>
      <c r="J202" s="34">
        <f t="shared" si="69"/>
        <v>2012.25</v>
      </c>
      <c r="K202" s="35">
        <v>2517.4899999999998</v>
      </c>
      <c r="L202" s="35">
        <f t="shared" si="70"/>
        <v>2517.4899999999998</v>
      </c>
      <c r="M202" s="35">
        <f t="shared" si="71"/>
        <v>20.979083333333332</v>
      </c>
      <c r="N202" s="35">
        <f t="shared" si="72"/>
        <v>251.74899999999997</v>
      </c>
      <c r="O202" s="35">
        <f t="shared" si="73"/>
        <v>0</v>
      </c>
      <c r="P202" s="35">
        <f t="shared" si="74"/>
        <v>2517.4899999999998</v>
      </c>
      <c r="Q202" s="35">
        <f t="shared" si="75"/>
        <v>2517.4899999999998</v>
      </c>
      <c r="R202" s="35">
        <f t="shared" si="76"/>
        <v>0</v>
      </c>
    </row>
    <row r="203" spans="1:18" s="59" customFormat="1" hidden="1" outlineLevel="1">
      <c r="A203" s="53"/>
      <c r="B203" s="59">
        <v>99</v>
      </c>
      <c r="C203" s="59" t="s">
        <v>262</v>
      </c>
      <c r="D203" s="59">
        <v>2002</v>
      </c>
      <c r="E203" s="59">
        <v>6</v>
      </c>
      <c r="F203" s="59">
        <v>0</v>
      </c>
      <c r="G203" s="59" t="s">
        <v>78</v>
      </c>
      <c r="H203" s="28" t="s">
        <v>9</v>
      </c>
      <c r="I203" s="59">
        <f t="shared" si="68"/>
        <v>2012</v>
      </c>
      <c r="J203" s="34">
        <f t="shared" si="69"/>
        <v>2012.5</v>
      </c>
      <c r="K203" s="35">
        <v>4759.5600000000004</v>
      </c>
      <c r="L203" s="35">
        <f t="shared" si="70"/>
        <v>4759.5600000000004</v>
      </c>
      <c r="M203" s="35">
        <f t="shared" si="71"/>
        <v>39.663000000000004</v>
      </c>
      <c r="N203" s="35">
        <f t="shared" si="72"/>
        <v>475.95600000000002</v>
      </c>
      <c r="O203" s="35">
        <f t="shared" si="73"/>
        <v>0</v>
      </c>
      <c r="P203" s="35">
        <f t="shared" si="74"/>
        <v>4759.5600000000004</v>
      </c>
      <c r="Q203" s="35">
        <f t="shared" si="75"/>
        <v>4759.5600000000004</v>
      </c>
      <c r="R203" s="35">
        <f t="shared" si="76"/>
        <v>0</v>
      </c>
    </row>
    <row r="204" spans="1:18" s="59" customFormat="1" hidden="1" outlineLevel="1">
      <c r="A204" s="53"/>
      <c r="B204" s="59">
        <v>105</v>
      </c>
      <c r="C204" s="59" t="s">
        <v>262</v>
      </c>
      <c r="D204" s="59">
        <v>2003</v>
      </c>
      <c r="E204" s="59">
        <v>2</v>
      </c>
      <c r="F204" s="59">
        <v>0</v>
      </c>
      <c r="G204" s="59" t="s">
        <v>78</v>
      </c>
      <c r="H204" s="28" t="s">
        <v>9</v>
      </c>
      <c r="I204" s="59">
        <f t="shared" si="68"/>
        <v>2013</v>
      </c>
      <c r="J204" s="34">
        <f t="shared" si="69"/>
        <v>2013.1666666666667</v>
      </c>
      <c r="K204" s="35">
        <v>5040.6000000000004</v>
      </c>
      <c r="L204" s="35">
        <f t="shared" si="70"/>
        <v>5040.6000000000004</v>
      </c>
      <c r="M204" s="35">
        <f t="shared" si="71"/>
        <v>42.005000000000003</v>
      </c>
      <c r="N204" s="35">
        <f t="shared" si="72"/>
        <v>504.06000000000006</v>
      </c>
      <c r="O204" s="35">
        <f t="shared" si="73"/>
        <v>0</v>
      </c>
      <c r="P204" s="35">
        <f t="shared" si="74"/>
        <v>5040.6000000000004</v>
      </c>
      <c r="Q204" s="35">
        <f t="shared" si="75"/>
        <v>5040.6000000000004</v>
      </c>
      <c r="R204" s="35">
        <f t="shared" si="76"/>
        <v>0</v>
      </c>
    </row>
    <row r="205" spans="1:18" s="59" customFormat="1" hidden="1" outlineLevel="1">
      <c r="A205" s="53"/>
      <c r="B205" s="59">
        <v>103</v>
      </c>
      <c r="C205" s="59" t="s">
        <v>262</v>
      </c>
      <c r="D205" s="59">
        <v>2003</v>
      </c>
      <c r="E205" s="59">
        <v>10</v>
      </c>
      <c r="F205" s="59">
        <v>0</v>
      </c>
      <c r="G205" s="59" t="s">
        <v>78</v>
      </c>
      <c r="H205" s="28" t="s">
        <v>9</v>
      </c>
      <c r="I205" s="59">
        <f t="shared" si="68"/>
        <v>2013</v>
      </c>
      <c r="J205" s="34">
        <f t="shared" si="69"/>
        <v>2013.8333333333333</v>
      </c>
      <c r="K205" s="35">
        <v>4932.2</v>
      </c>
      <c r="L205" s="35">
        <f t="shared" si="70"/>
        <v>4932.2</v>
      </c>
      <c r="M205" s="35">
        <f t="shared" si="71"/>
        <v>41.101666666666667</v>
      </c>
      <c r="N205" s="35">
        <f t="shared" si="72"/>
        <v>493.22</v>
      </c>
      <c r="O205" s="35">
        <f t="shared" si="73"/>
        <v>0</v>
      </c>
      <c r="P205" s="35">
        <f t="shared" si="74"/>
        <v>4932.2</v>
      </c>
      <c r="Q205" s="35">
        <f t="shared" si="75"/>
        <v>4932.2</v>
      </c>
      <c r="R205" s="35">
        <f t="shared" si="76"/>
        <v>0</v>
      </c>
    </row>
    <row r="206" spans="1:18" s="59" customFormat="1" hidden="1" outlineLevel="1">
      <c r="A206" s="53"/>
      <c r="B206" s="59">
        <v>94</v>
      </c>
      <c r="C206" s="59" t="s">
        <v>235</v>
      </c>
      <c r="D206" s="59">
        <v>2004</v>
      </c>
      <c r="E206" s="59">
        <v>6</v>
      </c>
      <c r="F206" s="59">
        <v>0</v>
      </c>
      <c r="G206" s="59" t="s">
        <v>78</v>
      </c>
      <c r="H206" s="28" t="s">
        <v>9</v>
      </c>
      <c r="I206" s="59">
        <f t="shared" si="68"/>
        <v>2014</v>
      </c>
      <c r="J206" s="34">
        <f t="shared" si="69"/>
        <v>2014.5</v>
      </c>
      <c r="K206" s="35">
        <v>4525.7</v>
      </c>
      <c r="L206" s="35">
        <f t="shared" si="70"/>
        <v>4525.7</v>
      </c>
      <c r="M206" s="35">
        <f t="shared" si="71"/>
        <v>37.714166666666664</v>
      </c>
      <c r="N206" s="35">
        <f t="shared" si="72"/>
        <v>452.56999999999994</v>
      </c>
      <c r="O206" s="35">
        <f t="shared" si="73"/>
        <v>0</v>
      </c>
      <c r="P206" s="35">
        <f t="shared" si="74"/>
        <v>4525.7</v>
      </c>
      <c r="Q206" s="35">
        <f t="shared" si="75"/>
        <v>4525.7</v>
      </c>
      <c r="R206" s="35">
        <f t="shared" si="76"/>
        <v>0</v>
      </c>
    </row>
    <row r="207" spans="1:18" s="59" customFormat="1" hidden="1" outlineLevel="1">
      <c r="A207" s="53"/>
      <c r="B207" s="59">
        <v>1036</v>
      </c>
      <c r="C207" s="59" t="s">
        <v>139</v>
      </c>
      <c r="D207" s="59">
        <v>2006</v>
      </c>
      <c r="E207" s="59">
        <v>1</v>
      </c>
      <c r="F207" s="59">
        <v>0</v>
      </c>
      <c r="G207" s="59" t="s">
        <v>78</v>
      </c>
      <c r="H207" s="28" t="s">
        <v>9</v>
      </c>
      <c r="I207" s="59">
        <f t="shared" si="68"/>
        <v>2016</v>
      </c>
      <c r="J207" s="34">
        <f t="shared" si="69"/>
        <v>2016.0833333333333</v>
      </c>
      <c r="K207" s="35">
        <v>48701.23</v>
      </c>
      <c r="L207" s="35">
        <f t="shared" si="70"/>
        <v>48701.23</v>
      </c>
      <c r="M207" s="35">
        <f t="shared" si="71"/>
        <v>405.84358333333336</v>
      </c>
      <c r="N207" s="35">
        <f t="shared" si="72"/>
        <v>4870.1230000000005</v>
      </c>
      <c r="O207" s="35">
        <f t="shared" si="73"/>
        <v>0</v>
      </c>
      <c r="P207" s="35">
        <f t="shared" si="74"/>
        <v>48701.23</v>
      </c>
      <c r="Q207" s="35">
        <f t="shared" si="75"/>
        <v>48701.23</v>
      </c>
      <c r="R207" s="35">
        <f t="shared" si="76"/>
        <v>0</v>
      </c>
    </row>
    <row r="208" spans="1:18" s="59" customFormat="1" hidden="1" outlineLevel="1">
      <c r="A208" s="53"/>
      <c r="B208" s="59">
        <v>247</v>
      </c>
      <c r="C208" s="59" t="s">
        <v>262</v>
      </c>
      <c r="D208" s="59">
        <v>2006</v>
      </c>
      <c r="E208" s="59">
        <v>2</v>
      </c>
      <c r="F208" s="59">
        <v>0</v>
      </c>
      <c r="G208" s="59" t="s">
        <v>78</v>
      </c>
      <c r="H208" s="28" t="s">
        <v>9</v>
      </c>
      <c r="I208" s="59">
        <f t="shared" si="68"/>
        <v>2016</v>
      </c>
      <c r="J208" s="34">
        <f t="shared" si="69"/>
        <v>2016.1666666666667</v>
      </c>
      <c r="K208" s="35">
        <v>11835.11</v>
      </c>
      <c r="L208" s="35">
        <f t="shared" si="70"/>
        <v>11835.11</v>
      </c>
      <c r="M208" s="35">
        <f t="shared" si="71"/>
        <v>98.625916666666669</v>
      </c>
      <c r="N208" s="35">
        <f t="shared" si="72"/>
        <v>1183.511</v>
      </c>
      <c r="O208" s="35">
        <f t="shared" si="73"/>
        <v>0</v>
      </c>
      <c r="P208" s="35">
        <f t="shared" si="74"/>
        <v>11835.11</v>
      </c>
      <c r="Q208" s="35">
        <f t="shared" si="75"/>
        <v>11835.11</v>
      </c>
      <c r="R208" s="35">
        <f t="shared" si="76"/>
        <v>0</v>
      </c>
    </row>
    <row r="209" spans="1:18" s="59" customFormat="1" hidden="1" outlineLevel="1">
      <c r="A209" s="53"/>
      <c r="B209" s="59">
        <v>674</v>
      </c>
      <c r="C209" s="59" t="s">
        <v>139</v>
      </c>
      <c r="D209" s="59">
        <v>2006</v>
      </c>
      <c r="E209" s="59">
        <v>5</v>
      </c>
      <c r="F209" s="59">
        <v>0</v>
      </c>
      <c r="G209" s="59" t="s">
        <v>78</v>
      </c>
      <c r="H209" s="28" t="s">
        <v>9</v>
      </c>
      <c r="I209" s="59">
        <f t="shared" si="68"/>
        <v>2016</v>
      </c>
      <c r="J209" s="34">
        <f t="shared" si="69"/>
        <v>2016.4166666666667</v>
      </c>
      <c r="K209" s="35">
        <v>31542.41</v>
      </c>
      <c r="L209" s="35">
        <f t="shared" si="70"/>
        <v>31542.41</v>
      </c>
      <c r="M209" s="35">
        <f t="shared" si="71"/>
        <v>262.85341666666665</v>
      </c>
      <c r="N209" s="35">
        <f t="shared" si="72"/>
        <v>3154.241</v>
      </c>
      <c r="O209" s="35">
        <f t="shared" si="73"/>
        <v>0</v>
      </c>
      <c r="P209" s="35">
        <f t="shared" si="74"/>
        <v>31542.41</v>
      </c>
      <c r="Q209" s="35">
        <f t="shared" si="75"/>
        <v>31542.41</v>
      </c>
      <c r="R209" s="35">
        <f t="shared" si="76"/>
        <v>0</v>
      </c>
    </row>
    <row r="210" spans="1:18" s="59" customFormat="1" hidden="1" outlineLevel="1">
      <c r="A210" s="53"/>
      <c r="B210" s="59">
        <v>294</v>
      </c>
      <c r="C210" s="59" t="s">
        <v>235</v>
      </c>
      <c r="D210" s="59">
        <v>2006</v>
      </c>
      <c r="E210" s="59">
        <v>7</v>
      </c>
      <c r="F210" s="59">
        <v>0</v>
      </c>
      <c r="G210" s="59" t="s">
        <v>78</v>
      </c>
      <c r="H210" s="28" t="s">
        <v>9</v>
      </c>
      <c r="I210" s="59">
        <f t="shared" si="68"/>
        <v>2016</v>
      </c>
      <c r="J210" s="34">
        <f t="shared" si="69"/>
        <v>2016.5833333333333</v>
      </c>
      <c r="K210" s="35">
        <v>14108.81</v>
      </c>
      <c r="L210" s="35">
        <f t="shared" si="70"/>
        <v>14108.81</v>
      </c>
      <c r="M210" s="35">
        <f t="shared" si="71"/>
        <v>117.57341666666666</v>
      </c>
      <c r="N210" s="35">
        <f t="shared" si="72"/>
        <v>1410.8809999999999</v>
      </c>
      <c r="O210" s="35">
        <f t="shared" si="73"/>
        <v>0</v>
      </c>
      <c r="P210" s="35">
        <f t="shared" si="74"/>
        <v>14108.81</v>
      </c>
      <c r="Q210" s="35">
        <f t="shared" si="75"/>
        <v>14108.81</v>
      </c>
      <c r="R210" s="35">
        <f t="shared" si="76"/>
        <v>0</v>
      </c>
    </row>
    <row r="211" spans="1:18" s="59" customFormat="1" hidden="1" outlineLevel="1">
      <c r="A211" s="53"/>
      <c r="B211" s="59">
        <v>673</v>
      </c>
      <c r="C211" s="59" t="s">
        <v>139</v>
      </c>
      <c r="D211" s="59">
        <v>2006</v>
      </c>
      <c r="E211" s="59">
        <v>11</v>
      </c>
      <c r="F211" s="59">
        <v>0</v>
      </c>
      <c r="G211" s="59" t="s">
        <v>78</v>
      </c>
      <c r="H211" s="28" t="s">
        <v>9</v>
      </c>
      <c r="I211" s="59">
        <f t="shared" si="68"/>
        <v>2016</v>
      </c>
      <c r="J211" s="34">
        <f t="shared" si="69"/>
        <v>2016.9166666666667</v>
      </c>
      <c r="K211" s="35">
        <v>31632</v>
      </c>
      <c r="L211" s="35">
        <f t="shared" si="70"/>
        <v>31632</v>
      </c>
      <c r="M211" s="35">
        <f t="shared" si="71"/>
        <v>263.59999999999997</v>
      </c>
      <c r="N211" s="35">
        <f t="shared" si="72"/>
        <v>3163.2</v>
      </c>
      <c r="O211" s="35">
        <f t="shared" si="73"/>
        <v>0</v>
      </c>
      <c r="P211" s="35">
        <f t="shared" si="74"/>
        <v>31632</v>
      </c>
      <c r="Q211" s="35">
        <f t="shared" si="75"/>
        <v>31632</v>
      </c>
      <c r="R211" s="35">
        <f t="shared" si="76"/>
        <v>0</v>
      </c>
    </row>
    <row r="212" spans="1:18" s="59" customFormat="1" hidden="1" outlineLevel="1">
      <c r="A212" s="53"/>
      <c r="B212" s="59">
        <v>354</v>
      </c>
      <c r="C212" s="59" t="s">
        <v>235</v>
      </c>
      <c r="D212" s="59">
        <v>2006</v>
      </c>
      <c r="E212" s="59">
        <v>11</v>
      </c>
      <c r="F212" s="59">
        <v>0</v>
      </c>
      <c r="G212" s="59" t="s">
        <v>78</v>
      </c>
      <c r="H212" s="28" t="s">
        <v>9</v>
      </c>
      <c r="I212" s="59">
        <f t="shared" si="68"/>
        <v>2016</v>
      </c>
      <c r="J212" s="34">
        <f t="shared" si="69"/>
        <v>2016.9166666666667</v>
      </c>
      <c r="K212" s="35">
        <v>16995.240000000002</v>
      </c>
      <c r="L212" s="35">
        <f t="shared" si="70"/>
        <v>16995.240000000002</v>
      </c>
      <c r="M212" s="35">
        <f t="shared" si="71"/>
        <v>141.62700000000001</v>
      </c>
      <c r="N212" s="35">
        <f t="shared" si="72"/>
        <v>1699.5240000000001</v>
      </c>
      <c r="O212" s="35">
        <f t="shared" si="73"/>
        <v>0</v>
      </c>
      <c r="P212" s="35">
        <f t="shared" si="74"/>
        <v>16995.240000000002</v>
      </c>
      <c r="Q212" s="35">
        <f t="shared" si="75"/>
        <v>16995.240000000002</v>
      </c>
      <c r="R212" s="35">
        <f t="shared" si="76"/>
        <v>0</v>
      </c>
    </row>
    <row r="213" spans="1:18" s="59" customFormat="1" hidden="1" outlineLevel="1">
      <c r="A213" s="53"/>
      <c r="B213" s="59">
        <v>2</v>
      </c>
      <c r="C213" s="59" t="s">
        <v>186</v>
      </c>
      <c r="D213" s="59">
        <v>2007</v>
      </c>
      <c r="E213" s="59">
        <v>1</v>
      </c>
      <c r="F213" s="59">
        <v>0</v>
      </c>
      <c r="G213" s="59" t="s">
        <v>78</v>
      </c>
      <c r="H213" s="28" t="s">
        <v>9</v>
      </c>
      <c r="I213" s="59">
        <f t="shared" si="68"/>
        <v>2017</v>
      </c>
      <c r="J213" s="34">
        <f t="shared" si="69"/>
        <v>2017.0833333333333</v>
      </c>
      <c r="K213" s="35">
        <v>7915.37</v>
      </c>
      <c r="L213" s="35">
        <f t="shared" si="70"/>
        <v>7915.37</v>
      </c>
      <c r="M213" s="35">
        <f t="shared" si="71"/>
        <v>65.961416666666665</v>
      </c>
      <c r="N213" s="35">
        <f t="shared" si="72"/>
        <v>791.53700000000003</v>
      </c>
      <c r="O213" s="35">
        <f t="shared" si="73"/>
        <v>0</v>
      </c>
      <c r="P213" s="35">
        <f t="shared" si="74"/>
        <v>7915.37</v>
      </c>
      <c r="Q213" s="35">
        <f t="shared" si="75"/>
        <v>7915.37</v>
      </c>
      <c r="R213" s="35">
        <f t="shared" si="76"/>
        <v>0</v>
      </c>
    </row>
    <row r="214" spans="1:18" s="59" customFormat="1" hidden="1" outlineLevel="1">
      <c r="A214" s="53"/>
      <c r="B214" s="59">
        <v>682</v>
      </c>
      <c r="C214" s="59" t="s">
        <v>139</v>
      </c>
      <c r="D214" s="59">
        <v>2007</v>
      </c>
      <c r="E214" s="59">
        <v>2</v>
      </c>
      <c r="F214" s="59">
        <v>0</v>
      </c>
      <c r="G214" s="59" t="s">
        <v>78</v>
      </c>
      <c r="H214" s="28" t="s">
        <v>9</v>
      </c>
      <c r="I214" s="59">
        <f t="shared" si="68"/>
        <v>2017</v>
      </c>
      <c r="J214" s="34">
        <f t="shared" si="69"/>
        <v>2017.1666666666667</v>
      </c>
      <c r="K214" s="35">
        <v>32066.89</v>
      </c>
      <c r="L214" s="35">
        <f t="shared" si="70"/>
        <v>32066.89</v>
      </c>
      <c r="M214" s="35">
        <f t="shared" si="71"/>
        <v>267.22408333333334</v>
      </c>
      <c r="N214" s="35">
        <f t="shared" si="72"/>
        <v>3206.6890000000003</v>
      </c>
      <c r="O214" s="35">
        <f t="shared" si="73"/>
        <v>0</v>
      </c>
      <c r="P214" s="35">
        <f t="shared" si="74"/>
        <v>32066.89</v>
      </c>
      <c r="Q214" s="35">
        <f t="shared" si="75"/>
        <v>32066.89</v>
      </c>
      <c r="R214" s="35">
        <f t="shared" si="76"/>
        <v>0</v>
      </c>
    </row>
    <row r="215" spans="1:18" s="59" customFormat="1" hidden="1" outlineLevel="1">
      <c r="A215" s="53"/>
      <c r="B215" s="59">
        <v>988</v>
      </c>
      <c r="C215" s="59" t="s">
        <v>144</v>
      </c>
      <c r="D215" s="59">
        <v>2007</v>
      </c>
      <c r="E215" s="59">
        <v>3</v>
      </c>
      <c r="F215" s="59">
        <v>0</v>
      </c>
      <c r="G215" s="59" t="s">
        <v>78</v>
      </c>
      <c r="H215" s="28" t="s">
        <v>9</v>
      </c>
      <c r="I215" s="59">
        <f t="shared" si="68"/>
        <v>2017</v>
      </c>
      <c r="J215" s="34">
        <f t="shared" si="69"/>
        <v>2017.25</v>
      </c>
      <c r="K215" s="35">
        <v>46451.73</v>
      </c>
      <c r="L215" s="35">
        <f t="shared" si="70"/>
        <v>46451.73</v>
      </c>
      <c r="M215" s="35">
        <f t="shared" si="71"/>
        <v>387.09775000000008</v>
      </c>
      <c r="N215" s="35">
        <f t="shared" si="72"/>
        <v>4645.1730000000007</v>
      </c>
      <c r="O215" s="35">
        <f t="shared" si="73"/>
        <v>0</v>
      </c>
      <c r="P215" s="35">
        <f t="shared" si="74"/>
        <v>46451.73</v>
      </c>
      <c r="Q215" s="35">
        <f t="shared" si="75"/>
        <v>46451.73</v>
      </c>
      <c r="R215" s="35">
        <f t="shared" si="76"/>
        <v>0</v>
      </c>
    </row>
    <row r="216" spans="1:18" s="59" customFormat="1" hidden="1" outlineLevel="1">
      <c r="A216" s="53"/>
      <c r="B216" s="59">
        <v>974</v>
      </c>
      <c r="C216" s="59" t="s">
        <v>144</v>
      </c>
      <c r="D216" s="59">
        <v>2007</v>
      </c>
      <c r="E216" s="59">
        <v>3</v>
      </c>
      <c r="F216" s="59">
        <v>0</v>
      </c>
      <c r="G216" s="59" t="s">
        <v>78</v>
      </c>
      <c r="H216" s="28" t="s">
        <v>9</v>
      </c>
      <c r="I216" s="59">
        <f t="shared" si="68"/>
        <v>2017</v>
      </c>
      <c r="J216" s="34">
        <f t="shared" si="69"/>
        <v>2017.25</v>
      </c>
      <c r="K216" s="35">
        <v>45770.27</v>
      </c>
      <c r="L216" s="35">
        <f t="shared" si="70"/>
        <v>45770.27</v>
      </c>
      <c r="M216" s="35">
        <f t="shared" si="71"/>
        <v>381.41891666666669</v>
      </c>
      <c r="N216" s="35">
        <f t="shared" si="72"/>
        <v>4577.027</v>
      </c>
      <c r="O216" s="35">
        <f t="shared" si="73"/>
        <v>0</v>
      </c>
      <c r="P216" s="35">
        <f t="shared" si="74"/>
        <v>45770.27</v>
      </c>
      <c r="Q216" s="35">
        <f t="shared" si="75"/>
        <v>45770.27</v>
      </c>
      <c r="R216" s="35">
        <f t="shared" si="76"/>
        <v>0</v>
      </c>
    </row>
    <row r="217" spans="1:18" s="59" customFormat="1" hidden="1" outlineLevel="1">
      <c r="A217" s="53"/>
      <c r="B217" s="59">
        <v>227</v>
      </c>
      <c r="C217" s="59" t="s">
        <v>262</v>
      </c>
      <c r="D217" s="59">
        <v>2007</v>
      </c>
      <c r="E217" s="59">
        <v>5</v>
      </c>
      <c r="F217" s="59">
        <v>0</v>
      </c>
      <c r="G217" s="59" t="s">
        <v>78</v>
      </c>
      <c r="H217" s="28" t="s">
        <v>9</v>
      </c>
      <c r="I217" s="59">
        <f t="shared" si="68"/>
        <v>2017</v>
      </c>
      <c r="J217" s="34">
        <f t="shared" si="69"/>
        <v>2017.4166666666667</v>
      </c>
      <c r="K217" s="35">
        <v>10907.6</v>
      </c>
      <c r="L217" s="35">
        <f t="shared" si="70"/>
        <v>10907.6</v>
      </c>
      <c r="M217" s="35">
        <f t="shared" si="71"/>
        <v>90.896666666666661</v>
      </c>
      <c r="N217" s="35">
        <f t="shared" si="72"/>
        <v>1090.76</v>
      </c>
      <c r="O217" s="35">
        <f t="shared" si="73"/>
        <v>0</v>
      </c>
      <c r="P217" s="35">
        <f t="shared" si="74"/>
        <v>10907.6</v>
      </c>
      <c r="Q217" s="35">
        <f t="shared" si="75"/>
        <v>10907.6</v>
      </c>
      <c r="R217" s="35">
        <f t="shared" si="76"/>
        <v>0</v>
      </c>
    </row>
    <row r="218" spans="1:18" s="59" customFormat="1" hidden="1" outlineLevel="1">
      <c r="A218" s="53"/>
      <c r="B218" s="59">
        <v>684</v>
      </c>
      <c r="C218" s="59" t="s">
        <v>139</v>
      </c>
      <c r="D218" s="59">
        <v>2007</v>
      </c>
      <c r="E218" s="59">
        <v>6</v>
      </c>
      <c r="F218" s="59">
        <v>0</v>
      </c>
      <c r="G218" s="59" t="s">
        <v>78</v>
      </c>
      <c r="H218" s="28" t="s">
        <v>9</v>
      </c>
      <c r="I218" s="59">
        <f t="shared" si="68"/>
        <v>2017</v>
      </c>
      <c r="J218" s="34">
        <f t="shared" si="69"/>
        <v>2017.5</v>
      </c>
      <c r="K218" s="35">
        <v>32136</v>
      </c>
      <c r="L218" s="35">
        <f t="shared" si="70"/>
        <v>32136</v>
      </c>
      <c r="M218" s="35">
        <f t="shared" si="71"/>
        <v>267.8</v>
      </c>
      <c r="N218" s="35">
        <f t="shared" si="72"/>
        <v>3213.6000000000004</v>
      </c>
      <c r="O218" s="35">
        <f t="shared" si="73"/>
        <v>0</v>
      </c>
      <c r="P218" s="35">
        <f t="shared" si="74"/>
        <v>32136</v>
      </c>
      <c r="Q218" s="35">
        <f t="shared" si="75"/>
        <v>32136</v>
      </c>
      <c r="R218" s="35">
        <f t="shared" si="76"/>
        <v>0</v>
      </c>
    </row>
    <row r="219" spans="1:18" s="59" customFormat="1" hidden="1" outlineLevel="1">
      <c r="A219" s="53"/>
      <c r="B219" s="59">
        <v>684</v>
      </c>
      <c r="C219" s="59" t="s">
        <v>139</v>
      </c>
      <c r="D219" s="59">
        <v>2007</v>
      </c>
      <c r="E219" s="59">
        <v>7</v>
      </c>
      <c r="F219" s="59">
        <v>0</v>
      </c>
      <c r="G219" s="59" t="s">
        <v>78</v>
      </c>
      <c r="H219" s="28" t="s">
        <v>9</v>
      </c>
      <c r="I219" s="59">
        <f t="shared" si="68"/>
        <v>2017</v>
      </c>
      <c r="J219" s="34">
        <f t="shared" si="69"/>
        <v>2017.5833333333333</v>
      </c>
      <c r="K219" s="35">
        <v>32136</v>
      </c>
      <c r="L219" s="35">
        <f t="shared" si="70"/>
        <v>32136</v>
      </c>
      <c r="M219" s="35">
        <f t="shared" si="71"/>
        <v>267.8</v>
      </c>
      <c r="N219" s="35">
        <f t="shared" si="72"/>
        <v>3213.6000000000004</v>
      </c>
      <c r="O219" s="35">
        <f t="shared" si="73"/>
        <v>0</v>
      </c>
      <c r="P219" s="35">
        <f t="shared" si="74"/>
        <v>32136</v>
      </c>
      <c r="Q219" s="35">
        <f t="shared" si="75"/>
        <v>32136</v>
      </c>
      <c r="R219" s="35">
        <f t="shared" si="76"/>
        <v>0</v>
      </c>
    </row>
    <row r="220" spans="1:18" s="59" customFormat="1" hidden="1" outlineLevel="1">
      <c r="A220" s="53"/>
      <c r="B220" s="59">
        <v>946</v>
      </c>
      <c r="C220" s="59" t="s">
        <v>144</v>
      </c>
      <c r="D220" s="59">
        <v>2007</v>
      </c>
      <c r="E220" s="59">
        <v>8</v>
      </c>
      <c r="F220" s="59">
        <v>0</v>
      </c>
      <c r="G220" s="59" t="s">
        <v>78</v>
      </c>
      <c r="H220" s="28" t="s">
        <v>9</v>
      </c>
      <c r="I220" s="59">
        <f t="shared" si="68"/>
        <v>2017</v>
      </c>
      <c r="J220" s="34">
        <f t="shared" si="69"/>
        <v>2017.6666666666667</v>
      </c>
      <c r="K220" s="35">
        <v>44439.74</v>
      </c>
      <c r="L220" s="35">
        <f t="shared" si="70"/>
        <v>44439.74</v>
      </c>
      <c r="M220" s="35">
        <f t="shared" si="71"/>
        <v>370.33116666666666</v>
      </c>
      <c r="N220" s="35">
        <f t="shared" si="72"/>
        <v>4443.9740000000002</v>
      </c>
      <c r="O220" s="35">
        <f t="shared" si="73"/>
        <v>0</v>
      </c>
      <c r="P220" s="35">
        <f t="shared" si="74"/>
        <v>44439.74</v>
      </c>
      <c r="Q220" s="35">
        <f t="shared" si="75"/>
        <v>44439.74</v>
      </c>
      <c r="R220" s="35">
        <f t="shared" si="76"/>
        <v>0</v>
      </c>
    </row>
    <row r="221" spans="1:18" s="59" customFormat="1" hidden="1" outlineLevel="1">
      <c r="A221" s="53"/>
      <c r="B221" s="59">
        <v>942</v>
      </c>
      <c r="C221" s="59" t="s">
        <v>144</v>
      </c>
      <c r="D221" s="59">
        <v>2007</v>
      </c>
      <c r="E221" s="59">
        <v>8</v>
      </c>
      <c r="F221" s="59">
        <v>0</v>
      </c>
      <c r="G221" s="59" t="s">
        <v>78</v>
      </c>
      <c r="H221" s="28" t="s">
        <v>9</v>
      </c>
      <c r="I221" s="59">
        <f t="shared" si="68"/>
        <v>2017</v>
      </c>
      <c r="J221" s="34">
        <f t="shared" si="69"/>
        <v>2017.6666666666667</v>
      </c>
      <c r="K221" s="35">
        <v>44295</v>
      </c>
      <c r="L221" s="35">
        <f t="shared" si="70"/>
        <v>44295</v>
      </c>
      <c r="M221" s="35">
        <f t="shared" si="71"/>
        <v>369.125</v>
      </c>
      <c r="N221" s="35">
        <f t="shared" si="72"/>
        <v>4429.5</v>
      </c>
      <c r="O221" s="35">
        <f t="shared" si="73"/>
        <v>0</v>
      </c>
      <c r="P221" s="35">
        <f t="shared" si="74"/>
        <v>44295</v>
      </c>
      <c r="Q221" s="35">
        <f t="shared" si="75"/>
        <v>44295</v>
      </c>
      <c r="R221" s="35">
        <f t="shared" si="76"/>
        <v>0</v>
      </c>
    </row>
    <row r="222" spans="1:18" s="59" customFormat="1" hidden="1" outlineLevel="1">
      <c r="A222" s="53"/>
      <c r="B222" s="59">
        <v>588</v>
      </c>
      <c r="C222" s="59" t="s">
        <v>235</v>
      </c>
      <c r="D222" s="59">
        <v>2007</v>
      </c>
      <c r="E222" s="59">
        <v>9</v>
      </c>
      <c r="F222" s="59">
        <v>0</v>
      </c>
      <c r="G222" s="59" t="s">
        <v>78</v>
      </c>
      <c r="H222" s="28" t="s">
        <v>9</v>
      </c>
      <c r="I222" s="59">
        <f t="shared" si="68"/>
        <v>2017</v>
      </c>
      <c r="J222" s="34">
        <f t="shared" si="69"/>
        <v>2017.75</v>
      </c>
      <c r="K222" s="35">
        <v>28226.39</v>
      </c>
      <c r="L222" s="35">
        <f t="shared" si="70"/>
        <v>28226.39</v>
      </c>
      <c r="M222" s="35">
        <f t="shared" si="71"/>
        <v>235.21991666666668</v>
      </c>
      <c r="N222" s="35">
        <f t="shared" si="72"/>
        <v>2822.6390000000001</v>
      </c>
      <c r="O222" s="35">
        <f t="shared" si="73"/>
        <v>0</v>
      </c>
      <c r="P222" s="35">
        <f t="shared" si="74"/>
        <v>28226.39</v>
      </c>
      <c r="Q222" s="35">
        <f t="shared" si="75"/>
        <v>28226.39</v>
      </c>
      <c r="R222" s="35">
        <f t="shared" si="76"/>
        <v>0</v>
      </c>
    </row>
    <row r="223" spans="1:18" s="59" customFormat="1" hidden="1" outlineLevel="1">
      <c r="A223" s="53"/>
      <c r="B223" s="59">
        <v>973</v>
      </c>
      <c r="C223" s="59" t="s">
        <v>144</v>
      </c>
      <c r="D223" s="59">
        <v>2007</v>
      </c>
      <c r="E223" s="59">
        <v>10</v>
      </c>
      <c r="F223" s="59">
        <v>0</v>
      </c>
      <c r="G223" s="59" t="s">
        <v>78</v>
      </c>
      <c r="H223" s="28" t="s">
        <v>9</v>
      </c>
      <c r="I223" s="59">
        <f t="shared" si="68"/>
        <v>2017</v>
      </c>
      <c r="J223" s="34">
        <f t="shared" si="69"/>
        <v>2017.8333333333333</v>
      </c>
      <c r="K223" s="35">
        <v>45739.67</v>
      </c>
      <c r="L223" s="35">
        <f t="shared" si="70"/>
        <v>45739.67</v>
      </c>
      <c r="M223" s="35">
        <f t="shared" si="71"/>
        <v>381.16391666666664</v>
      </c>
      <c r="N223" s="35">
        <f t="shared" si="72"/>
        <v>4573.9669999999996</v>
      </c>
      <c r="O223" s="35">
        <f t="shared" si="73"/>
        <v>0</v>
      </c>
      <c r="P223" s="35">
        <f t="shared" si="74"/>
        <v>45739.67</v>
      </c>
      <c r="Q223" s="35">
        <f t="shared" si="75"/>
        <v>45739.67</v>
      </c>
      <c r="R223" s="35">
        <f t="shared" si="76"/>
        <v>0</v>
      </c>
    </row>
    <row r="224" spans="1:18" s="59" customFormat="1" hidden="1" outlineLevel="1">
      <c r="A224" s="53"/>
      <c r="B224" s="59">
        <v>690</v>
      </c>
      <c r="C224" s="59" t="s">
        <v>139</v>
      </c>
      <c r="D224" s="59">
        <v>2007</v>
      </c>
      <c r="E224" s="59">
        <v>10</v>
      </c>
      <c r="F224" s="59">
        <v>0</v>
      </c>
      <c r="G224" s="59" t="s">
        <v>78</v>
      </c>
      <c r="H224" s="28" t="s">
        <v>9</v>
      </c>
      <c r="I224" s="59">
        <f t="shared" si="68"/>
        <v>2017</v>
      </c>
      <c r="J224" s="34">
        <f t="shared" si="69"/>
        <v>2017.8333333333333</v>
      </c>
      <c r="K224" s="35">
        <v>32434.02</v>
      </c>
      <c r="L224" s="35">
        <f t="shared" si="70"/>
        <v>32434.02</v>
      </c>
      <c r="M224" s="35">
        <f t="shared" si="71"/>
        <v>270.2835</v>
      </c>
      <c r="N224" s="35">
        <f t="shared" si="72"/>
        <v>3243.402</v>
      </c>
      <c r="O224" s="35">
        <f t="shared" si="73"/>
        <v>0</v>
      </c>
      <c r="P224" s="35">
        <f t="shared" si="74"/>
        <v>32434.02</v>
      </c>
      <c r="Q224" s="35">
        <f t="shared" si="75"/>
        <v>32434.02</v>
      </c>
      <c r="R224" s="35">
        <f t="shared" si="76"/>
        <v>0</v>
      </c>
    </row>
    <row r="225" spans="1:18" s="59" customFormat="1" hidden="1" outlineLevel="1">
      <c r="A225" s="53"/>
      <c r="B225" s="59">
        <v>975</v>
      </c>
      <c r="C225" s="59" t="s">
        <v>144</v>
      </c>
      <c r="D225" s="59">
        <v>2007</v>
      </c>
      <c r="E225" s="59">
        <v>11</v>
      </c>
      <c r="F225" s="59">
        <v>0</v>
      </c>
      <c r="G225" s="59" t="s">
        <v>78</v>
      </c>
      <c r="H225" s="28" t="s">
        <v>9</v>
      </c>
      <c r="I225" s="59">
        <f t="shared" si="68"/>
        <v>2017</v>
      </c>
      <c r="J225" s="34">
        <f t="shared" si="69"/>
        <v>2017.9166666666667</v>
      </c>
      <c r="K225" s="35">
        <v>45842.93</v>
      </c>
      <c r="L225" s="35">
        <f t="shared" si="70"/>
        <v>45842.93</v>
      </c>
      <c r="M225" s="35">
        <f t="shared" si="71"/>
        <v>382.02441666666664</v>
      </c>
      <c r="N225" s="35">
        <f t="shared" si="72"/>
        <v>4584.2929999999997</v>
      </c>
      <c r="O225" s="35">
        <f t="shared" si="73"/>
        <v>0</v>
      </c>
      <c r="P225" s="35">
        <f t="shared" si="74"/>
        <v>45842.93</v>
      </c>
      <c r="Q225" s="35">
        <f t="shared" si="75"/>
        <v>45842.93</v>
      </c>
      <c r="R225" s="35">
        <f t="shared" si="76"/>
        <v>0</v>
      </c>
    </row>
    <row r="226" spans="1:18" s="59" customFormat="1" hidden="1" outlineLevel="1">
      <c r="A226" s="53"/>
      <c r="B226" s="59">
        <v>725</v>
      </c>
      <c r="C226" s="59" t="s">
        <v>139</v>
      </c>
      <c r="D226" s="59">
        <v>2008</v>
      </c>
      <c r="E226" s="59">
        <v>2</v>
      </c>
      <c r="F226" s="59">
        <v>0</v>
      </c>
      <c r="G226" s="59" t="s">
        <v>78</v>
      </c>
      <c r="H226" s="28" t="s">
        <v>8</v>
      </c>
      <c r="I226" s="59">
        <f t="shared" ref="I226:I257" si="77">D226+H226</f>
        <v>2013</v>
      </c>
      <c r="J226" s="34">
        <f t="shared" ref="J226:J257" si="78">+I226+(E226/12)</f>
        <v>2013.1666666666667</v>
      </c>
      <c r="K226" s="35">
        <v>34085.35</v>
      </c>
      <c r="L226" s="35">
        <f t="shared" ref="L226:L257" si="79">K226-K226*F226</f>
        <v>34085.35</v>
      </c>
      <c r="M226" s="35">
        <f t="shared" ref="M226:M257" si="80">L226/H226/12</f>
        <v>568.08916666666664</v>
      </c>
      <c r="N226" s="35">
        <f t="shared" ref="N226:N257" si="81">+M226*12</f>
        <v>6817.07</v>
      </c>
      <c r="O226" s="35">
        <f t="shared" ref="O226:O257" si="82">+IF(J226&lt;=$L$5,0,IF(I226&gt;$L$4,N226,(M226*E226)))</f>
        <v>0</v>
      </c>
      <c r="P226" s="35">
        <f t="shared" ref="P226:P257" si="83">+IF(O226=0,L226,IF($L$3-D226&lt;1,0,(($L$3-D226)*O226)))</f>
        <v>34085.35</v>
      </c>
      <c r="Q226" s="35">
        <f t="shared" ref="Q226:Q257" si="84">+IF(O226=0,P226,P226+O226)</f>
        <v>34085.35</v>
      </c>
      <c r="R226" s="35">
        <f t="shared" ref="R226:R257" si="85">+K226-Q226</f>
        <v>0</v>
      </c>
    </row>
    <row r="227" spans="1:18" s="59" customFormat="1" hidden="1" outlineLevel="1">
      <c r="A227" s="53"/>
      <c r="B227" s="59">
        <v>75</v>
      </c>
      <c r="C227" s="59" t="s">
        <v>223</v>
      </c>
      <c r="D227" s="59">
        <v>2009</v>
      </c>
      <c r="E227" s="59">
        <v>2</v>
      </c>
      <c r="F227" s="59">
        <v>0</v>
      </c>
      <c r="G227" s="59" t="s">
        <v>78</v>
      </c>
      <c r="H227" s="28">
        <v>7</v>
      </c>
      <c r="I227" s="59">
        <f t="shared" si="77"/>
        <v>2016</v>
      </c>
      <c r="J227" s="34">
        <f t="shared" si="78"/>
        <v>2016.1666666666667</v>
      </c>
      <c r="K227" s="35">
        <v>3861.76</v>
      </c>
      <c r="L227" s="35">
        <f t="shared" si="79"/>
        <v>3861.76</v>
      </c>
      <c r="M227" s="35">
        <f t="shared" si="80"/>
        <v>45.973333333333336</v>
      </c>
      <c r="N227" s="35">
        <f t="shared" si="81"/>
        <v>551.68000000000006</v>
      </c>
      <c r="O227" s="35">
        <f t="shared" si="82"/>
        <v>0</v>
      </c>
      <c r="P227" s="35">
        <f t="shared" si="83"/>
        <v>3861.76</v>
      </c>
      <c r="Q227" s="35">
        <f t="shared" si="84"/>
        <v>3861.76</v>
      </c>
      <c r="R227" s="35">
        <f t="shared" si="85"/>
        <v>0</v>
      </c>
    </row>
    <row r="228" spans="1:18" s="59" customFormat="1" hidden="1" outlineLevel="1">
      <c r="A228" s="53"/>
      <c r="B228" s="59">
        <v>930</v>
      </c>
      <c r="C228" s="59" t="s">
        <v>225</v>
      </c>
      <c r="D228" s="59">
        <v>2009</v>
      </c>
      <c r="E228" s="59">
        <v>2</v>
      </c>
      <c r="F228" s="59">
        <v>0</v>
      </c>
      <c r="G228" s="59" t="s">
        <v>78</v>
      </c>
      <c r="H228" s="28">
        <v>7</v>
      </c>
      <c r="I228" s="59">
        <f t="shared" si="77"/>
        <v>2016</v>
      </c>
      <c r="J228" s="34">
        <f t="shared" si="78"/>
        <v>2016.1666666666667</v>
      </c>
      <c r="K228" s="35">
        <v>38457.08</v>
      </c>
      <c r="L228" s="35">
        <f t="shared" si="79"/>
        <v>38457.08</v>
      </c>
      <c r="M228" s="35">
        <f t="shared" si="80"/>
        <v>457.82238095238102</v>
      </c>
      <c r="N228" s="35">
        <f t="shared" si="81"/>
        <v>5493.8685714285721</v>
      </c>
      <c r="O228" s="35">
        <f t="shared" si="82"/>
        <v>0</v>
      </c>
      <c r="P228" s="35">
        <f t="shared" si="83"/>
        <v>38457.08</v>
      </c>
      <c r="Q228" s="35">
        <f t="shared" si="84"/>
        <v>38457.08</v>
      </c>
      <c r="R228" s="35">
        <f t="shared" si="85"/>
        <v>0</v>
      </c>
    </row>
    <row r="229" spans="1:18" s="59" customFormat="1" hidden="1" outlineLevel="1">
      <c r="A229" s="53"/>
      <c r="B229" s="59">
        <v>75</v>
      </c>
      <c r="C229" s="59" t="s">
        <v>226</v>
      </c>
      <c r="D229" s="59">
        <v>2009</v>
      </c>
      <c r="E229" s="59">
        <v>2</v>
      </c>
      <c r="F229" s="59">
        <v>0</v>
      </c>
      <c r="G229" s="59" t="s">
        <v>78</v>
      </c>
      <c r="H229" s="28">
        <v>7</v>
      </c>
      <c r="I229" s="59">
        <f t="shared" si="77"/>
        <v>2016</v>
      </c>
      <c r="J229" s="34">
        <f t="shared" si="78"/>
        <v>2016.1666666666667</v>
      </c>
      <c r="K229" s="35">
        <v>4321.3900000000003</v>
      </c>
      <c r="L229" s="35">
        <f t="shared" si="79"/>
        <v>4321.3900000000003</v>
      </c>
      <c r="M229" s="35">
        <f t="shared" si="80"/>
        <v>51.445119047619052</v>
      </c>
      <c r="N229" s="35">
        <f t="shared" si="81"/>
        <v>617.34142857142865</v>
      </c>
      <c r="O229" s="35">
        <f t="shared" si="82"/>
        <v>0</v>
      </c>
      <c r="P229" s="35">
        <f t="shared" si="83"/>
        <v>4321.3900000000003</v>
      </c>
      <c r="Q229" s="35">
        <f t="shared" si="84"/>
        <v>4321.3900000000003</v>
      </c>
      <c r="R229" s="35">
        <f t="shared" si="85"/>
        <v>0</v>
      </c>
    </row>
    <row r="230" spans="1:18" s="59" customFormat="1" hidden="1" outlineLevel="1">
      <c r="A230" s="53"/>
      <c r="B230" s="59">
        <v>486</v>
      </c>
      <c r="C230" s="59" t="s">
        <v>306</v>
      </c>
      <c r="D230" s="59">
        <v>2009</v>
      </c>
      <c r="E230" s="59">
        <v>3</v>
      </c>
      <c r="F230" s="59">
        <v>0</v>
      </c>
      <c r="G230" s="59" t="s">
        <v>78</v>
      </c>
      <c r="H230" s="28">
        <v>7</v>
      </c>
      <c r="I230" s="59">
        <f t="shared" si="77"/>
        <v>2016</v>
      </c>
      <c r="J230" s="34">
        <f t="shared" si="78"/>
        <v>2016.25</v>
      </c>
      <c r="K230" s="35">
        <v>24510</v>
      </c>
      <c r="L230" s="35">
        <f t="shared" si="79"/>
        <v>24510</v>
      </c>
      <c r="M230" s="35">
        <f t="shared" si="80"/>
        <v>291.78571428571428</v>
      </c>
      <c r="N230" s="35">
        <f t="shared" si="81"/>
        <v>3501.4285714285716</v>
      </c>
      <c r="O230" s="35">
        <f t="shared" si="82"/>
        <v>0</v>
      </c>
      <c r="P230" s="35">
        <f t="shared" si="83"/>
        <v>24510</v>
      </c>
      <c r="Q230" s="35">
        <f t="shared" si="84"/>
        <v>24510</v>
      </c>
      <c r="R230" s="35">
        <f t="shared" si="85"/>
        <v>0</v>
      </c>
    </row>
    <row r="231" spans="1:18" s="59" customFormat="1" hidden="1" outlineLevel="1">
      <c r="A231" s="53"/>
      <c r="B231" s="59">
        <v>50</v>
      </c>
      <c r="C231" s="59" t="s">
        <v>262</v>
      </c>
      <c r="D231" s="59">
        <v>2009</v>
      </c>
      <c r="E231" s="59">
        <v>4</v>
      </c>
      <c r="F231" s="59">
        <v>0</v>
      </c>
      <c r="G231" s="59" t="s">
        <v>78</v>
      </c>
      <c r="H231" s="28">
        <v>7</v>
      </c>
      <c r="I231" s="59">
        <f t="shared" si="77"/>
        <v>2016</v>
      </c>
      <c r="J231" s="34">
        <f t="shared" si="78"/>
        <v>2016.3333333333333</v>
      </c>
      <c r="K231" s="35">
        <v>2152.64</v>
      </c>
      <c r="L231" s="35">
        <f t="shared" si="79"/>
        <v>2152.64</v>
      </c>
      <c r="M231" s="35">
        <f t="shared" si="80"/>
        <v>25.626666666666665</v>
      </c>
      <c r="N231" s="35">
        <f t="shared" si="81"/>
        <v>307.52</v>
      </c>
      <c r="O231" s="35">
        <f t="shared" si="82"/>
        <v>0</v>
      </c>
      <c r="P231" s="35">
        <f t="shared" si="83"/>
        <v>2152.64</v>
      </c>
      <c r="Q231" s="35">
        <f t="shared" si="84"/>
        <v>2152.64</v>
      </c>
      <c r="R231" s="35">
        <f t="shared" si="85"/>
        <v>0</v>
      </c>
    </row>
    <row r="232" spans="1:18" s="59" customFormat="1" hidden="1" outlineLevel="1">
      <c r="A232" s="53"/>
      <c r="B232" s="59">
        <v>315</v>
      </c>
      <c r="C232" s="59" t="s">
        <v>139</v>
      </c>
      <c r="D232" s="59">
        <v>2009</v>
      </c>
      <c r="E232" s="59">
        <v>6</v>
      </c>
      <c r="F232" s="59">
        <v>0</v>
      </c>
      <c r="G232" s="59" t="s">
        <v>78</v>
      </c>
      <c r="H232" s="28">
        <v>7</v>
      </c>
      <c r="I232" s="59">
        <f t="shared" si="77"/>
        <v>2016</v>
      </c>
      <c r="J232" s="34">
        <f t="shared" si="78"/>
        <v>2016.5</v>
      </c>
      <c r="K232" s="35">
        <v>13018.2</v>
      </c>
      <c r="L232" s="35">
        <f t="shared" si="79"/>
        <v>13018.2</v>
      </c>
      <c r="M232" s="35">
        <f t="shared" si="80"/>
        <v>154.97857142857143</v>
      </c>
      <c r="N232" s="35">
        <f t="shared" si="81"/>
        <v>1859.7428571428572</v>
      </c>
      <c r="O232" s="35">
        <f t="shared" si="82"/>
        <v>0</v>
      </c>
      <c r="P232" s="35">
        <f t="shared" si="83"/>
        <v>13018.2</v>
      </c>
      <c r="Q232" s="35">
        <f t="shared" si="84"/>
        <v>13018.2</v>
      </c>
      <c r="R232" s="35">
        <f t="shared" si="85"/>
        <v>0</v>
      </c>
    </row>
    <row r="233" spans="1:18" s="59" customFormat="1" hidden="1" outlineLevel="1">
      <c r="A233" s="53"/>
      <c r="B233" s="59">
        <v>50</v>
      </c>
      <c r="C233" s="59" t="s">
        <v>306</v>
      </c>
      <c r="D233" s="59">
        <v>2009</v>
      </c>
      <c r="E233" s="59">
        <v>6</v>
      </c>
      <c r="F233" s="59">
        <v>0</v>
      </c>
      <c r="G233" s="59" t="s">
        <v>78</v>
      </c>
      <c r="H233" s="28">
        <v>7</v>
      </c>
      <c r="I233" s="59">
        <f t="shared" si="77"/>
        <v>2016</v>
      </c>
      <c r="J233" s="34">
        <f t="shared" si="78"/>
        <v>2016.5</v>
      </c>
      <c r="K233" s="35">
        <v>2314.85</v>
      </c>
      <c r="L233" s="35">
        <f t="shared" si="79"/>
        <v>2314.85</v>
      </c>
      <c r="M233" s="35">
        <f t="shared" si="80"/>
        <v>27.557738095238093</v>
      </c>
      <c r="N233" s="35">
        <f t="shared" si="81"/>
        <v>330.69285714285712</v>
      </c>
      <c r="O233" s="35">
        <f t="shared" si="82"/>
        <v>0</v>
      </c>
      <c r="P233" s="35">
        <f t="shared" si="83"/>
        <v>2314.85</v>
      </c>
      <c r="Q233" s="35">
        <f t="shared" si="84"/>
        <v>2314.85</v>
      </c>
      <c r="R233" s="35">
        <f t="shared" si="85"/>
        <v>0</v>
      </c>
    </row>
    <row r="234" spans="1:18" s="59" customFormat="1" hidden="1" outlineLevel="1">
      <c r="A234" s="53"/>
      <c r="B234" s="59">
        <v>540</v>
      </c>
      <c r="C234" s="59" t="s">
        <v>224</v>
      </c>
      <c r="D234" s="59">
        <v>2009</v>
      </c>
      <c r="E234" s="59">
        <v>7</v>
      </c>
      <c r="F234" s="59">
        <v>0</v>
      </c>
      <c r="G234" s="59" t="s">
        <v>78</v>
      </c>
      <c r="H234" s="28">
        <v>7</v>
      </c>
      <c r="I234" s="59">
        <f t="shared" si="77"/>
        <v>2016</v>
      </c>
      <c r="J234" s="34">
        <f t="shared" si="78"/>
        <v>2016.5833333333333</v>
      </c>
      <c r="K234" s="35">
        <v>18474.009999999998</v>
      </c>
      <c r="L234" s="35">
        <f t="shared" si="79"/>
        <v>18474.009999999998</v>
      </c>
      <c r="M234" s="35">
        <f t="shared" si="80"/>
        <v>219.92869047619047</v>
      </c>
      <c r="N234" s="35">
        <f t="shared" si="81"/>
        <v>2639.1442857142856</v>
      </c>
      <c r="O234" s="35">
        <f t="shared" si="82"/>
        <v>0</v>
      </c>
      <c r="P234" s="35">
        <f t="shared" si="83"/>
        <v>18474.009999999998</v>
      </c>
      <c r="Q234" s="35">
        <f t="shared" si="84"/>
        <v>18474.009999999998</v>
      </c>
      <c r="R234" s="35">
        <f t="shared" si="85"/>
        <v>0</v>
      </c>
    </row>
    <row r="235" spans="1:18" s="59" customFormat="1" hidden="1" outlineLevel="1">
      <c r="A235" s="53"/>
      <c r="B235" s="59">
        <v>846</v>
      </c>
      <c r="C235" s="59" t="s">
        <v>227</v>
      </c>
      <c r="D235" s="59">
        <v>2009</v>
      </c>
      <c r="E235" s="59">
        <v>11</v>
      </c>
      <c r="F235" s="59">
        <v>0</v>
      </c>
      <c r="G235" s="59" t="s">
        <v>78</v>
      </c>
      <c r="H235" s="28">
        <v>7</v>
      </c>
      <c r="I235" s="59">
        <f t="shared" si="77"/>
        <v>2016</v>
      </c>
      <c r="J235" s="34">
        <f t="shared" si="78"/>
        <v>2016.9166666666667</v>
      </c>
      <c r="K235" s="35">
        <v>29308.86</v>
      </c>
      <c r="L235" s="35">
        <f t="shared" si="79"/>
        <v>29308.86</v>
      </c>
      <c r="M235" s="35">
        <f t="shared" si="80"/>
        <v>348.91500000000002</v>
      </c>
      <c r="N235" s="35">
        <f t="shared" si="81"/>
        <v>4186.9800000000005</v>
      </c>
      <c r="O235" s="35">
        <f t="shared" si="82"/>
        <v>0</v>
      </c>
      <c r="P235" s="35">
        <f t="shared" si="83"/>
        <v>29308.86</v>
      </c>
      <c r="Q235" s="35">
        <f t="shared" si="84"/>
        <v>29308.86</v>
      </c>
      <c r="R235" s="35">
        <f t="shared" si="85"/>
        <v>0</v>
      </c>
    </row>
    <row r="236" spans="1:18" s="59" customFormat="1" hidden="1" outlineLevel="1">
      <c r="A236" s="53"/>
      <c r="B236" s="59">
        <v>486</v>
      </c>
      <c r="C236" s="59" t="s">
        <v>308</v>
      </c>
      <c r="D236" s="59">
        <v>2009</v>
      </c>
      <c r="E236" s="59">
        <v>12</v>
      </c>
      <c r="F236" s="59">
        <v>0</v>
      </c>
      <c r="G236" s="59" t="s">
        <v>78</v>
      </c>
      <c r="H236" s="28">
        <v>7</v>
      </c>
      <c r="I236" s="59">
        <f t="shared" si="77"/>
        <v>2016</v>
      </c>
      <c r="J236" s="34">
        <f t="shared" si="78"/>
        <v>2017</v>
      </c>
      <c r="K236" s="35">
        <v>24198.25</v>
      </c>
      <c r="L236" s="35">
        <f t="shared" si="79"/>
        <v>24198.25</v>
      </c>
      <c r="M236" s="35">
        <f t="shared" si="80"/>
        <v>288.07440476190476</v>
      </c>
      <c r="N236" s="35">
        <f t="shared" si="81"/>
        <v>3456.8928571428569</v>
      </c>
      <c r="O236" s="35">
        <f t="shared" si="82"/>
        <v>0</v>
      </c>
      <c r="P236" s="35">
        <f t="shared" si="83"/>
        <v>24198.25</v>
      </c>
      <c r="Q236" s="35">
        <f t="shared" si="84"/>
        <v>24198.25</v>
      </c>
      <c r="R236" s="35">
        <f t="shared" si="85"/>
        <v>0</v>
      </c>
    </row>
    <row r="237" spans="1:18" s="59" customFormat="1" hidden="1" outlineLevel="1">
      <c r="A237" s="53">
        <v>73807</v>
      </c>
      <c r="B237" s="59">
        <v>1080</v>
      </c>
      <c r="C237" s="59" t="s">
        <v>398</v>
      </c>
      <c r="D237" s="59">
        <v>2010</v>
      </c>
      <c r="E237" s="59">
        <v>4</v>
      </c>
      <c r="F237" s="59">
        <v>0</v>
      </c>
      <c r="G237" s="59" t="s">
        <v>78</v>
      </c>
      <c r="H237" s="28">
        <v>7</v>
      </c>
      <c r="I237" s="59">
        <f t="shared" si="77"/>
        <v>2017</v>
      </c>
      <c r="J237" s="34">
        <f t="shared" si="78"/>
        <v>2017.3333333333333</v>
      </c>
      <c r="K237" s="35">
        <v>36044.57</v>
      </c>
      <c r="L237" s="35">
        <f t="shared" si="79"/>
        <v>36044.57</v>
      </c>
      <c r="M237" s="35">
        <f t="shared" si="80"/>
        <v>429.10202380952381</v>
      </c>
      <c r="N237" s="35">
        <f t="shared" si="81"/>
        <v>5149.2242857142855</v>
      </c>
      <c r="O237" s="35">
        <f t="shared" si="82"/>
        <v>0</v>
      </c>
      <c r="P237" s="35">
        <f t="shared" si="83"/>
        <v>36044.57</v>
      </c>
      <c r="Q237" s="35">
        <f t="shared" si="84"/>
        <v>36044.57</v>
      </c>
      <c r="R237" s="35">
        <f t="shared" si="85"/>
        <v>0</v>
      </c>
    </row>
    <row r="238" spans="1:18" s="59" customFormat="1" hidden="1" outlineLevel="1">
      <c r="A238" s="53">
        <v>76937</v>
      </c>
      <c r="B238" s="59">
        <v>1080</v>
      </c>
      <c r="C238" s="59" t="s">
        <v>398</v>
      </c>
      <c r="D238" s="59">
        <v>2010</v>
      </c>
      <c r="E238" s="59">
        <v>8</v>
      </c>
      <c r="F238" s="59">
        <v>0</v>
      </c>
      <c r="G238" s="59" t="s">
        <v>78</v>
      </c>
      <c r="H238" s="28">
        <v>7</v>
      </c>
      <c r="I238" s="59">
        <f t="shared" si="77"/>
        <v>2017</v>
      </c>
      <c r="J238" s="34">
        <f t="shared" si="78"/>
        <v>2017.6666666666667</v>
      </c>
      <c r="K238" s="35">
        <v>36068</v>
      </c>
      <c r="L238" s="35">
        <f t="shared" si="79"/>
        <v>36068</v>
      </c>
      <c r="M238" s="35">
        <f t="shared" si="80"/>
        <v>429.38095238095235</v>
      </c>
      <c r="N238" s="35">
        <f t="shared" si="81"/>
        <v>5152.5714285714284</v>
      </c>
      <c r="O238" s="35">
        <f t="shared" si="82"/>
        <v>0</v>
      </c>
      <c r="P238" s="35">
        <f t="shared" si="83"/>
        <v>36068</v>
      </c>
      <c r="Q238" s="35">
        <f t="shared" si="84"/>
        <v>36068</v>
      </c>
      <c r="R238" s="35">
        <f t="shared" si="85"/>
        <v>0</v>
      </c>
    </row>
    <row r="239" spans="1:18" s="59" customFormat="1" hidden="1" outlineLevel="1">
      <c r="A239" s="53">
        <v>77219</v>
      </c>
      <c r="B239" s="59">
        <v>100</v>
      </c>
      <c r="C239" s="59" t="s">
        <v>399</v>
      </c>
      <c r="D239" s="59">
        <v>2010</v>
      </c>
      <c r="E239" s="59">
        <v>9</v>
      </c>
      <c r="F239" s="59">
        <v>0</v>
      </c>
      <c r="G239" s="59" t="s">
        <v>78</v>
      </c>
      <c r="H239" s="28">
        <v>7</v>
      </c>
      <c r="I239" s="59">
        <f t="shared" si="77"/>
        <v>2017</v>
      </c>
      <c r="J239" s="34">
        <f t="shared" si="78"/>
        <v>2017.75</v>
      </c>
      <c r="K239" s="35">
        <v>4841.2700000000004</v>
      </c>
      <c r="L239" s="35">
        <f t="shared" si="79"/>
        <v>4841.2700000000004</v>
      </c>
      <c r="M239" s="35">
        <f t="shared" si="80"/>
        <v>57.634166666666665</v>
      </c>
      <c r="N239" s="35">
        <f t="shared" si="81"/>
        <v>691.61</v>
      </c>
      <c r="O239" s="35">
        <f t="shared" si="82"/>
        <v>0</v>
      </c>
      <c r="P239" s="35">
        <f t="shared" si="83"/>
        <v>4841.2700000000004</v>
      </c>
      <c r="Q239" s="35">
        <f t="shared" si="84"/>
        <v>4841.2700000000004</v>
      </c>
      <c r="R239" s="35">
        <f t="shared" si="85"/>
        <v>0</v>
      </c>
    </row>
    <row r="240" spans="1:18" s="59" customFormat="1" hidden="1" outlineLevel="1">
      <c r="A240" s="53">
        <v>78781</v>
      </c>
      <c r="B240" s="59">
        <v>270</v>
      </c>
      <c r="C240" s="59" t="s">
        <v>398</v>
      </c>
      <c r="D240" s="59">
        <v>2010</v>
      </c>
      <c r="E240" s="59">
        <v>11</v>
      </c>
      <c r="F240" s="59">
        <v>0</v>
      </c>
      <c r="G240" s="59" t="s">
        <v>78</v>
      </c>
      <c r="H240" s="28">
        <v>7</v>
      </c>
      <c r="I240" s="59">
        <f t="shared" si="77"/>
        <v>2017</v>
      </c>
      <c r="J240" s="34">
        <f t="shared" si="78"/>
        <v>2017.9166666666667</v>
      </c>
      <c r="K240" s="35">
        <v>9025.7900000000009</v>
      </c>
      <c r="L240" s="35">
        <f t="shared" si="79"/>
        <v>9025.7900000000009</v>
      </c>
      <c r="M240" s="35">
        <f t="shared" si="80"/>
        <v>107.44988095238097</v>
      </c>
      <c r="N240" s="35">
        <f t="shared" si="81"/>
        <v>1289.3985714285716</v>
      </c>
      <c r="O240" s="35">
        <f t="shared" si="82"/>
        <v>0</v>
      </c>
      <c r="P240" s="35">
        <f t="shared" si="83"/>
        <v>9025.7900000000009</v>
      </c>
      <c r="Q240" s="35">
        <f t="shared" si="84"/>
        <v>9025.7900000000009</v>
      </c>
      <c r="R240" s="35">
        <f t="shared" si="85"/>
        <v>0</v>
      </c>
    </row>
    <row r="241" spans="1:18" s="59" customFormat="1" hidden="1" outlineLevel="1">
      <c r="A241" s="53">
        <v>78664</v>
      </c>
      <c r="B241" s="59">
        <v>648</v>
      </c>
      <c r="C241" s="59" t="s">
        <v>400</v>
      </c>
      <c r="D241" s="59">
        <v>2010</v>
      </c>
      <c r="E241" s="59">
        <v>11</v>
      </c>
      <c r="F241" s="59">
        <v>0</v>
      </c>
      <c r="G241" s="59" t="s">
        <v>78</v>
      </c>
      <c r="H241" s="28">
        <v>7</v>
      </c>
      <c r="I241" s="59">
        <f t="shared" si="77"/>
        <v>2017</v>
      </c>
      <c r="J241" s="34">
        <f t="shared" si="78"/>
        <v>2017.9166666666667</v>
      </c>
      <c r="K241" s="35">
        <v>27321.69</v>
      </c>
      <c r="L241" s="35">
        <f t="shared" si="79"/>
        <v>27321.69</v>
      </c>
      <c r="M241" s="35">
        <f t="shared" si="80"/>
        <v>325.25821428571425</v>
      </c>
      <c r="N241" s="35">
        <f t="shared" si="81"/>
        <v>3903.0985714285707</v>
      </c>
      <c r="O241" s="35">
        <f t="shared" si="82"/>
        <v>0</v>
      </c>
      <c r="P241" s="35">
        <f t="shared" si="83"/>
        <v>27321.69</v>
      </c>
      <c r="Q241" s="35">
        <f t="shared" si="84"/>
        <v>27321.69</v>
      </c>
      <c r="R241" s="35">
        <f t="shared" si="85"/>
        <v>0</v>
      </c>
    </row>
    <row r="242" spans="1:18" s="59" customFormat="1" hidden="1" outlineLevel="1">
      <c r="A242" s="53">
        <v>81015</v>
      </c>
      <c r="B242" s="59">
        <v>1080</v>
      </c>
      <c r="C242" s="59" t="s">
        <v>398</v>
      </c>
      <c r="D242" s="59">
        <v>2011</v>
      </c>
      <c r="E242" s="59">
        <v>4</v>
      </c>
      <c r="F242" s="59">
        <v>0</v>
      </c>
      <c r="G242" s="59" t="s">
        <v>78</v>
      </c>
      <c r="H242" s="28">
        <v>7</v>
      </c>
      <c r="I242" s="59">
        <f t="shared" si="77"/>
        <v>2018</v>
      </c>
      <c r="J242" s="34">
        <f t="shared" si="78"/>
        <v>2018.3333333333333</v>
      </c>
      <c r="K242" s="35">
        <v>36815.379999999997</v>
      </c>
      <c r="L242" s="35">
        <f t="shared" si="79"/>
        <v>36815.379999999997</v>
      </c>
      <c r="M242" s="35">
        <f t="shared" si="80"/>
        <v>438.27833333333325</v>
      </c>
      <c r="N242" s="35">
        <f t="shared" si="81"/>
        <v>5259.3399999999992</v>
      </c>
      <c r="O242" s="35">
        <f t="shared" si="82"/>
        <v>0</v>
      </c>
      <c r="P242" s="35">
        <f t="shared" si="83"/>
        <v>36815.379999999997</v>
      </c>
      <c r="Q242" s="35">
        <f t="shared" si="84"/>
        <v>36815.379999999997</v>
      </c>
      <c r="R242" s="35">
        <f t="shared" si="85"/>
        <v>0</v>
      </c>
    </row>
    <row r="243" spans="1:18" s="59" customFormat="1" hidden="1" outlineLevel="1">
      <c r="A243" s="53">
        <v>81013</v>
      </c>
      <c r="B243" s="59">
        <v>100</v>
      </c>
      <c r="C243" s="59" t="s">
        <v>399</v>
      </c>
      <c r="D243" s="59">
        <v>2011</v>
      </c>
      <c r="E243" s="59">
        <v>4</v>
      </c>
      <c r="F243" s="59">
        <v>0</v>
      </c>
      <c r="G243" s="59" t="s">
        <v>78</v>
      </c>
      <c r="H243" s="28">
        <v>7</v>
      </c>
      <c r="I243" s="59">
        <f t="shared" si="77"/>
        <v>2018</v>
      </c>
      <c r="J243" s="34">
        <f t="shared" si="78"/>
        <v>2018.3333333333333</v>
      </c>
      <c r="K243" s="35">
        <v>5136.08</v>
      </c>
      <c r="L243" s="35">
        <f t="shared" si="79"/>
        <v>5136.08</v>
      </c>
      <c r="M243" s="35">
        <f t="shared" si="80"/>
        <v>61.143809523809523</v>
      </c>
      <c r="N243" s="35">
        <f t="shared" si="81"/>
        <v>733.72571428571428</v>
      </c>
      <c r="O243" s="35">
        <f t="shared" si="82"/>
        <v>0</v>
      </c>
      <c r="P243" s="35">
        <f t="shared" si="83"/>
        <v>5136.08</v>
      </c>
      <c r="Q243" s="35">
        <f t="shared" si="84"/>
        <v>5136.08</v>
      </c>
      <c r="R243" s="35">
        <f t="shared" si="85"/>
        <v>0</v>
      </c>
    </row>
    <row r="244" spans="1:18" s="59" customFormat="1" hidden="1" outlineLevel="1">
      <c r="A244" s="53">
        <v>85604</v>
      </c>
      <c r="B244" s="59">
        <v>146</v>
      </c>
      <c r="C244" s="59" t="s">
        <v>400</v>
      </c>
      <c r="D244" s="59">
        <v>2011</v>
      </c>
      <c r="E244" s="59">
        <v>7</v>
      </c>
      <c r="F244" s="59">
        <v>0</v>
      </c>
      <c r="G244" s="59" t="s">
        <v>78</v>
      </c>
      <c r="H244" s="28">
        <v>7</v>
      </c>
      <c r="I244" s="59">
        <f t="shared" si="77"/>
        <v>2018</v>
      </c>
      <c r="J244" s="34">
        <f t="shared" si="78"/>
        <v>2018.5833333333333</v>
      </c>
      <c r="K244" s="35">
        <v>7103.49</v>
      </c>
      <c r="L244" s="35">
        <f t="shared" si="79"/>
        <v>7103.49</v>
      </c>
      <c r="M244" s="35">
        <f t="shared" si="80"/>
        <v>84.565357142857138</v>
      </c>
      <c r="N244" s="35">
        <f t="shared" si="81"/>
        <v>1014.7842857142857</v>
      </c>
      <c r="O244" s="35">
        <f t="shared" si="82"/>
        <v>0</v>
      </c>
      <c r="P244" s="35">
        <f t="shared" si="83"/>
        <v>7103.49</v>
      </c>
      <c r="Q244" s="35">
        <f t="shared" si="84"/>
        <v>7103.49</v>
      </c>
      <c r="R244" s="35">
        <f t="shared" si="85"/>
        <v>0</v>
      </c>
    </row>
    <row r="245" spans="1:18" s="59" customFormat="1" hidden="1" outlineLevel="1">
      <c r="A245" s="53">
        <v>85605</v>
      </c>
      <c r="B245" s="59">
        <v>100</v>
      </c>
      <c r="C245" s="59" t="s">
        <v>399</v>
      </c>
      <c r="D245" s="59">
        <v>2011</v>
      </c>
      <c r="E245" s="59">
        <v>7</v>
      </c>
      <c r="F245" s="59">
        <v>0</v>
      </c>
      <c r="G245" s="59" t="s">
        <v>78</v>
      </c>
      <c r="H245" s="28">
        <v>7</v>
      </c>
      <c r="I245" s="59">
        <f t="shared" si="77"/>
        <v>2018</v>
      </c>
      <c r="J245" s="34">
        <f t="shared" si="78"/>
        <v>2018.5833333333333</v>
      </c>
      <c r="K245" s="35">
        <v>5500.23</v>
      </c>
      <c r="L245" s="35">
        <f t="shared" si="79"/>
        <v>5500.23</v>
      </c>
      <c r="M245" s="35">
        <f t="shared" si="80"/>
        <v>65.478928571428568</v>
      </c>
      <c r="N245" s="35">
        <f t="shared" si="81"/>
        <v>785.74714285714276</v>
      </c>
      <c r="O245" s="35">
        <f t="shared" si="82"/>
        <v>0</v>
      </c>
      <c r="P245" s="35">
        <f t="shared" si="83"/>
        <v>5500.23</v>
      </c>
      <c r="Q245" s="35">
        <f t="shared" si="84"/>
        <v>5500.23</v>
      </c>
      <c r="R245" s="35">
        <f t="shared" si="85"/>
        <v>0</v>
      </c>
    </row>
    <row r="246" spans="1:18" s="59" customFormat="1" hidden="1" outlineLevel="1">
      <c r="A246" s="53">
        <v>88135</v>
      </c>
      <c r="B246" s="59">
        <v>1080</v>
      </c>
      <c r="C246" s="59" t="s">
        <v>398</v>
      </c>
      <c r="D246" s="59">
        <v>2011</v>
      </c>
      <c r="E246" s="59">
        <v>10</v>
      </c>
      <c r="F246" s="59">
        <v>0</v>
      </c>
      <c r="G246" s="59" t="s">
        <v>78</v>
      </c>
      <c r="H246" s="28">
        <v>7</v>
      </c>
      <c r="I246" s="59">
        <f t="shared" si="77"/>
        <v>2018</v>
      </c>
      <c r="J246" s="34">
        <f t="shared" si="78"/>
        <v>2018.8333333333333</v>
      </c>
      <c r="K246" s="35">
        <v>38752.42</v>
      </c>
      <c r="L246" s="35">
        <f t="shared" si="79"/>
        <v>38752.42</v>
      </c>
      <c r="M246" s="35">
        <f t="shared" si="80"/>
        <v>461.33833333333331</v>
      </c>
      <c r="N246" s="35">
        <f t="shared" si="81"/>
        <v>5536.0599999999995</v>
      </c>
      <c r="O246" s="35">
        <f t="shared" si="82"/>
        <v>0</v>
      </c>
      <c r="P246" s="35">
        <f t="shared" si="83"/>
        <v>38752.42</v>
      </c>
      <c r="Q246" s="35">
        <f t="shared" si="84"/>
        <v>38752.42</v>
      </c>
      <c r="R246" s="35">
        <f t="shared" si="85"/>
        <v>0</v>
      </c>
    </row>
    <row r="247" spans="1:18" s="59" customFormat="1" hidden="1" outlineLevel="1">
      <c r="A247" s="53">
        <v>88606</v>
      </c>
      <c r="B247" s="59">
        <v>548</v>
      </c>
      <c r="C247" s="59" t="s">
        <v>400</v>
      </c>
      <c r="D247" s="59">
        <v>2011</v>
      </c>
      <c r="E247" s="59">
        <v>12</v>
      </c>
      <c r="F247" s="59">
        <v>0</v>
      </c>
      <c r="G247" s="59" t="s">
        <v>78</v>
      </c>
      <c r="H247" s="28">
        <v>7</v>
      </c>
      <c r="I247" s="59">
        <f t="shared" si="77"/>
        <v>2018</v>
      </c>
      <c r="J247" s="34">
        <f t="shared" si="78"/>
        <v>2019</v>
      </c>
      <c r="K247" s="35">
        <v>24666.94</v>
      </c>
      <c r="L247" s="35">
        <f t="shared" si="79"/>
        <v>24666.94</v>
      </c>
      <c r="M247" s="35">
        <f t="shared" si="80"/>
        <v>293.65404761904762</v>
      </c>
      <c r="N247" s="35">
        <f t="shared" si="81"/>
        <v>3523.8485714285716</v>
      </c>
      <c r="O247" s="35">
        <f t="shared" si="82"/>
        <v>0</v>
      </c>
      <c r="P247" s="35">
        <f t="shared" si="83"/>
        <v>24666.94</v>
      </c>
      <c r="Q247" s="35">
        <f t="shared" si="84"/>
        <v>24666.94</v>
      </c>
      <c r="R247" s="35">
        <f t="shared" si="85"/>
        <v>0</v>
      </c>
    </row>
    <row r="248" spans="1:18" s="59" customFormat="1" hidden="1" outlineLevel="1">
      <c r="A248" s="53">
        <v>96399</v>
      </c>
      <c r="B248" s="59">
        <v>324</v>
      </c>
      <c r="C248" s="59" t="s">
        <v>400</v>
      </c>
      <c r="D248" s="59">
        <v>2012</v>
      </c>
      <c r="E248" s="59">
        <v>6</v>
      </c>
      <c r="F248" s="59">
        <v>0</v>
      </c>
      <c r="G248" s="59" t="s">
        <v>78</v>
      </c>
      <c r="H248" s="28">
        <v>7</v>
      </c>
      <c r="I248" s="59">
        <f t="shared" si="77"/>
        <v>2019</v>
      </c>
      <c r="J248" s="34">
        <f t="shared" si="78"/>
        <v>2019.5</v>
      </c>
      <c r="K248" s="35">
        <v>14461</v>
      </c>
      <c r="L248" s="35">
        <f t="shared" si="79"/>
        <v>14461</v>
      </c>
      <c r="M248" s="35">
        <f t="shared" si="80"/>
        <v>172.1547619047619</v>
      </c>
      <c r="N248" s="35">
        <f t="shared" si="81"/>
        <v>2065.8571428571427</v>
      </c>
      <c r="O248" s="35">
        <f t="shared" si="82"/>
        <v>0</v>
      </c>
      <c r="P248" s="35">
        <f t="shared" si="83"/>
        <v>14461</v>
      </c>
      <c r="Q248" s="35">
        <f t="shared" si="84"/>
        <v>14461</v>
      </c>
      <c r="R248" s="35">
        <f t="shared" si="85"/>
        <v>0</v>
      </c>
    </row>
    <row r="249" spans="1:18" s="59" customFormat="1" hidden="1" outlineLevel="1">
      <c r="A249" s="53">
        <v>96400</v>
      </c>
      <c r="B249" s="59">
        <v>243</v>
      </c>
      <c r="C249" s="59" t="s">
        <v>399</v>
      </c>
      <c r="D249" s="59">
        <v>2012</v>
      </c>
      <c r="E249" s="59">
        <v>6</v>
      </c>
      <c r="F249" s="59">
        <v>0</v>
      </c>
      <c r="G249" s="59" t="s">
        <v>78</v>
      </c>
      <c r="H249" s="28">
        <v>7</v>
      </c>
      <c r="I249" s="59">
        <f t="shared" si="77"/>
        <v>2019</v>
      </c>
      <c r="J249" s="34">
        <f t="shared" si="78"/>
        <v>2019.5</v>
      </c>
      <c r="K249" s="35">
        <v>12605</v>
      </c>
      <c r="L249" s="35">
        <f t="shared" si="79"/>
        <v>12605</v>
      </c>
      <c r="M249" s="35">
        <f t="shared" si="80"/>
        <v>150.05952380952382</v>
      </c>
      <c r="N249" s="35">
        <f t="shared" si="81"/>
        <v>1800.7142857142858</v>
      </c>
      <c r="O249" s="35">
        <f t="shared" si="82"/>
        <v>0</v>
      </c>
      <c r="P249" s="35">
        <f t="shared" si="83"/>
        <v>12605</v>
      </c>
      <c r="Q249" s="35">
        <f t="shared" si="84"/>
        <v>12605</v>
      </c>
      <c r="R249" s="35">
        <f t="shared" si="85"/>
        <v>0</v>
      </c>
    </row>
    <row r="250" spans="1:18" s="59" customFormat="1" hidden="1" outlineLevel="1">
      <c r="A250" s="53">
        <v>96397</v>
      </c>
      <c r="B250" s="59">
        <v>217</v>
      </c>
      <c r="C250" s="59" t="s">
        <v>466</v>
      </c>
      <c r="D250" s="59">
        <v>2012</v>
      </c>
      <c r="E250" s="59">
        <v>7</v>
      </c>
      <c r="F250" s="59">
        <v>0</v>
      </c>
      <c r="G250" s="59" t="s">
        <v>78</v>
      </c>
      <c r="H250" s="28">
        <v>7</v>
      </c>
      <c r="I250" s="59">
        <f t="shared" si="77"/>
        <v>2019</v>
      </c>
      <c r="J250" s="34">
        <f t="shared" si="78"/>
        <v>2019.5833333333333</v>
      </c>
      <c r="K250" s="35">
        <v>7374</v>
      </c>
      <c r="L250" s="35">
        <f t="shared" si="79"/>
        <v>7374</v>
      </c>
      <c r="M250" s="35">
        <f t="shared" si="80"/>
        <v>87.785714285714278</v>
      </c>
      <c r="N250" s="35">
        <f t="shared" si="81"/>
        <v>1053.4285714285713</v>
      </c>
      <c r="O250" s="35">
        <f t="shared" si="82"/>
        <v>0</v>
      </c>
      <c r="P250" s="35">
        <f t="shared" si="83"/>
        <v>7374</v>
      </c>
      <c r="Q250" s="35">
        <f t="shared" si="84"/>
        <v>7374</v>
      </c>
      <c r="R250" s="35">
        <f t="shared" si="85"/>
        <v>0</v>
      </c>
    </row>
    <row r="251" spans="1:18" s="59" customFormat="1" hidden="1" outlineLevel="1">
      <c r="A251" s="53">
        <v>96398</v>
      </c>
      <c r="B251" s="59">
        <v>810</v>
      </c>
      <c r="C251" s="59" t="s">
        <v>398</v>
      </c>
      <c r="D251" s="59">
        <v>2012</v>
      </c>
      <c r="E251" s="59">
        <v>7</v>
      </c>
      <c r="F251" s="59">
        <v>0</v>
      </c>
      <c r="G251" s="59" t="s">
        <v>78</v>
      </c>
      <c r="H251" s="28">
        <v>7</v>
      </c>
      <c r="I251" s="59">
        <f t="shared" si="77"/>
        <v>2019</v>
      </c>
      <c r="J251" s="34">
        <f t="shared" si="78"/>
        <v>2019.5833333333333</v>
      </c>
      <c r="K251" s="35">
        <v>28316</v>
      </c>
      <c r="L251" s="35">
        <f t="shared" si="79"/>
        <v>28316</v>
      </c>
      <c r="M251" s="35">
        <f t="shared" si="80"/>
        <v>337.09523809523813</v>
      </c>
      <c r="N251" s="35">
        <f t="shared" si="81"/>
        <v>4045.1428571428578</v>
      </c>
      <c r="O251" s="35">
        <f t="shared" si="82"/>
        <v>0</v>
      </c>
      <c r="P251" s="35">
        <f t="shared" si="83"/>
        <v>28316</v>
      </c>
      <c r="Q251" s="35">
        <f t="shared" si="84"/>
        <v>28316</v>
      </c>
      <c r="R251" s="35">
        <f t="shared" si="85"/>
        <v>0</v>
      </c>
    </row>
    <row r="252" spans="1:18" s="59" customFormat="1" hidden="1" outlineLevel="1">
      <c r="A252" s="53">
        <v>94943</v>
      </c>
      <c r="B252" s="59">
        <v>486</v>
      </c>
      <c r="C252" s="59" t="s">
        <v>473</v>
      </c>
      <c r="D252" s="59">
        <v>2012</v>
      </c>
      <c r="E252" s="59">
        <v>7</v>
      </c>
      <c r="F252" s="59">
        <v>0</v>
      </c>
      <c r="G252" s="59" t="s">
        <v>78</v>
      </c>
      <c r="H252" s="28">
        <v>7</v>
      </c>
      <c r="I252" s="59">
        <f t="shared" si="77"/>
        <v>2019</v>
      </c>
      <c r="J252" s="34">
        <f t="shared" si="78"/>
        <v>2019.5833333333333</v>
      </c>
      <c r="K252" s="35">
        <v>25210</v>
      </c>
      <c r="L252" s="35">
        <f t="shared" si="79"/>
        <v>25210</v>
      </c>
      <c r="M252" s="35">
        <f t="shared" si="80"/>
        <v>300.11904761904765</v>
      </c>
      <c r="N252" s="35">
        <f t="shared" si="81"/>
        <v>3601.4285714285716</v>
      </c>
      <c r="O252" s="35">
        <f t="shared" si="82"/>
        <v>0</v>
      </c>
      <c r="P252" s="35">
        <f t="shared" si="83"/>
        <v>25210</v>
      </c>
      <c r="Q252" s="35">
        <f t="shared" si="84"/>
        <v>25210</v>
      </c>
      <c r="R252" s="35">
        <f t="shared" si="85"/>
        <v>0</v>
      </c>
    </row>
    <row r="253" spans="1:18" s="59" customFormat="1" hidden="1" outlineLevel="1">
      <c r="A253" s="53">
        <v>96401</v>
      </c>
      <c r="B253" s="59">
        <v>810</v>
      </c>
      <c r="C253" s="59" t="s">
        <v>398</v>
      </c>
      <c r="D253" s="59">
        <v>2012</v>
      </c>
      <c r="E253" s="59">
        <v>9</v>
      </c>
      <c r="F253" s="59">
        <v>0</v>
      </c>
      <c r="G253" s="59" t="s">
        <v>78</v>
      </c>
      <c r="H253" s="28">
        <v>7</v>
      </c>
      <c r="I253" s="59">
        <f t="shared" si="77"/>
        <v>2019</v>
      </c>
      <c r="J253" s="34">
        <f t="shared" si="78"/>
        <v>2019.75</v>
      </c>
      <c r="K253" s="35">
        <v>27988</v>
      </c>
      <c r="L253" s="35">
        <f t="shared" si="79"/>
        <v>27988</v>
      </c>
      <c r="M253" s="35">
        <f t="shared" si="80"/>
        <v>333.1904761904762</v>
      </c>
      <c r="N253" s="35">
        <f t="shared" si="81"/>
        <v>3998.2857142857147</v>
      </c>
      <c r="O253" s="35">
        <f t="shared" si="82"/>
        <v>0</v>
      </c>
      <c r="P253" s="35">
        <f t="shared" si="83"/>
        <v>27988</v>
      </c>
      <c r="Q253" s="35">
        <f t="shared" si="84"/>
        <v>27988</v>
      </c>
      <c r="R253" s="35">
        <f t="shared" si="85"/>
        <v>0</v>
      </c>
    </row>
    <row r="254" spans="1:18" s="59" customFormat="1" hidden="1" outlineLevel="1">
      <c r="A254" s="53">
        <v>96948</v>
      </c>
      <c r="B254" s="59">
        <v>324</v>
      </c>
      <c r="C254" s="59" t="s">
        <v>400</v>
      </c>
      <c r="D254" s="59">
        <v>2012</v>
      </c>
      <c r="E254" s="59">
        <v>9</v>
      </c>
      <c r="F254" s="59">
        <v>0</v>
      </c>
      <c r="G254" s="59" t="s">
        <v>78</v>
      </c>
      <c r="H254" s="28">
        <v>7</v>
      </c>
      <c r="I254" s="59">
        <f t="shared" si="77"/>
        <v>2019</v>
      </c>
      <c r="J254" s="34">
        <f t="shared" si="78"/>
        <v>2019.75</v>
      </c>
      <c r="K254" s="35">
        <v>14292</v>
      </c>
      <c r="L254" s="35">
        <f t="shared" si="79"/>
        <v>14292</v>
      </c>
      <c r="M254" s="35">
        <f t="shared" si="80"/>
        <v>170.14285714285714</v>
      </c>
      <c r="N254" s="35">
        <f t="shared" si="81"/>
        <v>2041.7142857142858</v>
      </c>
      <c r="O254" s="35">
        <f t="shared" si="82"/>
        <v>0</v>
      </c>
      <c r="P254" s="35">
        <f t="shared" si="83"/>
        <v>14292</v>
      </c>
      <c r="Q254" s="35">
        <f t="shared" si="84"/>
        <v>14292</v>
      </c>
      <c r="R254" s="35">
        <f t="shared" si="85"/>
        <v>0</v>
      </c>
    </row>
    <row r="255" spans="1:18" s="59" customFormat="1" hidden="1" outlineLevel="1">
      <c r="A255" s="53" t="s">
        <v>468</v>
      </c>
      <c r="B255" s="59">
        <v>1215</v>
      </c>
      <c r="C255" s="59" t="s">
        <v>399</v>
      </c>
      <c r="D255" s="59">
        <v>2012</v>
      </c>
      <c r="E255" s="59">
        <v>9</v>
      </c>
      <c r="F255" s="59">
        <v>0</v>
      </c>
      <c r="G255" s="59" t="s">
        <v>78</v>
      </c>
      <c r="H255" s="28">
        <v>7</v>
      </c>
      <c r="I255" s="59">
        <f t="shared" si="77"/>
        <v>2019</v>
      </c>
      <c r="J255" s="34">
        <f t="shared" si="78"/>
        <v>2019.75</v>
      </c>
      <c r="K255" s="35">
        <v>61284</v>
      </c>
      <c r="L255" s="35">
        <f t="shared" si="79"/>
        <v>61284</v>
      </c>
      <c r="M255" s="35">
        <f t="shared" si="80"/>
        <v>729.57142857142856</v>
      </c>
      <c r="N255" s="35">
        <f t="shared" si="81"/>
        <v>8754.8571428571431</v>
      </c>
      <c r="O255" s="35">
        <f t="shared" si="82"/>
        <v>0</v>
      </c>
      <c r="P255" s="35">
        <f t="shared" si="83"/>
        <v>61284</v>
      </c>
      <c r="Q255" s="35">
        <f t="shared" si="84"/>
        <v>61284</v>
      </c>
      <c r="R255" s="35">
        <f t="shared" si="85"/>
        <v>0</v>
      </c>
    </row>
    <row r="256" spans="1:18" s="59" customFormat="1" hidden="1" outlineLevel="1">
      <c r="A256" s="53">
        <v>97739</v>
      </c>
      <c r="B256" s="59">
        <v>217</v>
      </c>
      <c r="C256" s="59" t="s">
        <v>474</v>
      </c>
      <c r="D256" s="59">
        <v>2012</v>
      </c>
      <c r="E256" s="59">
        <v>10</v>
      </c>
      <c r="F256" s="59">
        <v>0</v>
      </c>
      <c r="G256" s="59" t="s">
        <v>78</v>
      </c>
      <c r="H256" s="28">
        <v>7</v>
      </c>
      <c r="I256" s="59">
        <f t="shared" si="77"/>
        <v>2019</v>
      </c>
      <c r="J256" s="34">
        <f t="shared" si="78"/>
        <v>2019.8333333333333</v>
      </c>
      <c r="K256" s="35">
        <v>7167</v>
      </c>
      <c r="L256" s="35">
        <f t="shared" si="79"/>
        <v>7167</v>
      </c>
      <c r="M256" s="35">
        <f t="shared" si="80"/>
        <v>85.321428571428569</v>
      </c>
      <c r="N256" s="35">
        <f t="shared" si="81"/>
        <v>1023.8571428571429</v>
      </c>
      <c r="O256" s="35">
        <f t="shared" si="82"/>
        <v>0</v>
      </c>
      <c r="P256" s="35">
        <f t="shared" si="83"/>
        <v>7167</v>
      </c>
      <c r="Q256" s="35">
        <f t="shared" si="84"/>
        <v>7167</v>
      </c>
      <c r="R256" s="35">
        <f t="shared" si="85"/>
        <v>0</v>
      </c>
    </row>
    <row r="257" spans="1:18" s="59" customFormat="1" hidden="1" outlineLevel="1">
      <c r="A257" s="53">
        <v>104087</v>
      </c>
      <c r="B257" s="59">
        <v>324</v>
      </c>
      <c r="C257" s="59" t="s">
        <v>400</v>
      </c>
      <c r="D257" s="59">
        <v>2013</v>
      </c>
      <c r="E257" s="59">
        <v>3</v>
      </c>
      <c r="F257" s="59">
        <v>0</v>
      </c>
      <c r="G257" s="59" t="s">
        <v>78</v>
      </c>
      <c r="H257" s="28">
        <v>7</v>
      </c>
      <c r="I257" s="59">
        <f t="shared" si="77"/>
        <v>2020</v>
      </c>
      <c r="J257" s="34">
        <f t="shared" si="78"/>
        <v>2020.25</v>
      </c>
      <c r="K257" s="35">
        <v>14387.53</v>
      </c>
      <c r="L257" s="35">
        <f t="shared" si="79"/>
        <v>14387.53</v>
      </c>
      <c r="M257" s="35">
        <f t="shared" si="80"/>
        <v>171.28011904761908</v>
      </c>
      <c r="N257" s="35">
        <f t="shared" si="81"/>
        <v>2055.3614285714289</v>
      </c>
      <c r="O257" s="35">
        <f t="shared" si="82"/>
        <v>0</v>
      </c>
      <c r="P257" s="35">
        <f t="shared" si="83"/>
        <v>14387.53</v>
      </c>
      <c r="Q257" s="35">
        <f t="shared" si="84"/>
        <v>14387.53</v>
      </c>
      <c r="R257" s="35">
        <f t="shared" si="85"/>
        <v>0</v>
      </c>
    </row>
    <row r="258" spans="1:18" s="59" customFormat="1" hidden="1" outlineLevel="1">
      <c r="A258" s="53">
        <v>107055</v>
      </c>
      <c r="B258" s="59">
        <v>217</v>
      </c>
      <c r="C258" s="59" t="s">
        <v>466</v>
      </c>
      <c r="D258" s="59">
        <v>2013</v>
      </c>
      <c r="E258" s="59">
        <v>5</v>
      </c>
      <c r="F258" s="59">
        <v>0</v>
      </c>
      <c r="G258" s="59" t="s">
        <v>78</v>
      </c>
      <c r="H258" s="28">
        <v>7</v>
      </c>
      <c r="I258" s="59">
        <f t="shared" ref="I258:I289" si="86">D258+H258</f>
        <v>2020</v>
      </c>
      <c r="J258" s="34">
        <f t="shared" ref="J258:J289" si="87">+I258+(E258/12)</f>
        <v>2020.4166666666667</v>
      </c>
      <c r="K258" s="35">
        <v>8693.01</v>
      </c>
      <c r="L258" s="35">
        <f t="shared" ref="L258:L289" si="88">K258-K258*F258</f>
        <v>8693.01</v>
      </c>
      <c r="M258" s="35">
        <f t="shared" ref="M258:M289" si="89">L258/H258/12</f>
        <v>103.48821428571428</v>
      </c>
      <c r="N258" s="35">
        <f t="shared" ref="N258:N289" si="90">+M258*12</f>
        <v>1241.8585714285714</v>
      </c>
      <c r="O258" s="35">
        <f t="shared" ref="O258:O289" si="91">+IF(J258&lt;=$L$5,0,IF(I258&gt;$L$4,N258,(M258*E258)))</f>
        <v>0</v>
      </c>
      <c r="P258" s="35">
        <f t="shared" ref="P258:P289" si="92">+IF(O258=0,L258,IF($L$3-D258&lt;1,0,(($L$3-D258)*O258)))</f>
        <v>8693.01</v>
      </c>
      <c r="Q258" s="35">
        <f t="shared" ref="Q258:Q289" si="93">+IF(O258=0,P258,P258+O258)</f>
        <v>8693.01</v>
      </c>
      <c r="R258" s="35">
        <f t="shared" ref="R258:R289" si="94">+K258-Q258</f>
        <v>0</v>
      </c>
    </row>
    <row r="259" spans="1:18" s="59" customFormat="1" hidden="1" outlineLevel="1">
      <c r="A259" s="53">
        <v>104088</v>
      </c>
      <c r="B259" s="59">
        <v>444</v>
      </c>
      <c r="C259" s="59" t="s">
        <v>398</v>
      </c>
      <c r="D259" s="59">
        <v>2013</v>
      </c>
      <c r="E259" s="59">
        <v>5</v>
      </c>
      <c r="F259" s="59">
        <v>0</v>
      </c>
      <c r="G259" s="59" t="s">
        <v>78</v>
      </c>
      <c r="H259" s="28">
        <v>7</v>
      </c>
      <c r="I259" s="59">
        <f t="shared" si="86"/>
        <v>2020</v>
      </c>
      <c r="J259" s="34">
        <f t="shared" si="87"/>
        <v>2020.4166666666667</v>
      </c>
      <c r="K259" s="35">
        <v>16700.669999999998</v>
      </c>
      <c r="L259" s="35">
        <f t="shared" si="88"/>
        <v>16700.669999999998</v>
      </c>
      <c r="M259" s="35">
        <f t="shared" si="89"/>
        <v>198.8175</v>
      </c>
      <c r="N259" s="35">
        <f t="shared" si="90"/>
        <v>2385.81</v>
      </c>
      <c r="O259" s="35">
        <f t="shared" si="91"/>
        <v>0</v>
      </c>
      <c r="P259" s="35">
        <f t="shared" si="92"/>
        <v>16700.669999999998</v>
      </c>
      <c r="Q259" s="35">
        <f t="shared" si="93"/>
        <v>16700.669999999998</v>
      </c>
      <c r="R259" s="35">
        <f t="shared" si="94"/>
        <v>0</v>
      </c>
    </row>
    <row r="260" spans="1:18" s="59" customFormat="1" hidden="1" outlineLevel="1">
      <c r="A260" s="53">
        <v>104089</v>
      </c>
      <c r="B260" s="59">
        <v>126</v>
      </c>
      <c r="C260" s="59" t="s">
        <v>399</v>
      </c>
      <c r="D260" s="59">
        <v>2013</v>
      </c>
      <c r="E260" s="59">
        <v>5</v>
      </c>
      <c r="F260" s="59">
        <v>0</v>
      </c>
      <c r="G260" s="59" t="s">
        <v>78</v>
      </c>
      <c r="H260" s="28">
        <v>7</v>
      </c>
      <c r="I260" s="59">
        <f t="shared" si="86"/>
        <v>2020</v>
      </c>
      <c r="J260" s="34">
        <f t="shared" si="87"/>
        <v>2020.4166666666667</v>
      </c>
      <c r="K260" s="35">
        <v>6580.15</v>
      </c>
      <c r="L260" s="35">
        <f t="shared" si="88"/>
        <v>6580.15</v>
      </c>
      <c r="M260" s="35">
        <f t="shared" si="89"/>
        <v>78.335119047619045</v>
      </c>
      <c r="N260" s="35">
        <f t="shared" si="90"/>
        <v>940.02142857142849</v>
      </c>
      <c r="O260" s="35">
        <f t="shared" si="91"/>
        <v>0</v>
      </c>
      <c r="P260" s="35">
        <f t="shared" si="92"/>
        <v>6580.15</v>
      </c>
      <c r="Q260" s="35">
        <f t="shared" si="93"/>
        <v>6580.15</v>
      </c>
      <c r="R260" s="35">
        <f t="shared" si="94"/>
        <v>0</v>
      </c>
    </row>
    <row r="261" spans="1:18" s="59" customFormat="1" hidden="1" outlineLevel="1">
      <c r="A261" s="53">
        <v>106448</v>
      </c>
      <c r="B261" s="59">
        <v>540</v>
      </c>
      <c r="C261" s="59" t="s">
        <v>398</v>
      </c>
      <c r="D261" s="59">
        <v>2013</v>
      </c>
      <c r="E261" s="59">
        <v>7</v>
      </c>
      <c r="F261" s="59">
        <v>0</v>
      </c>
      <c r="G261" s="59" t="s">
        <v>78</v>
      </c>
      <c r="H261" s="28">
        <v>7</v>
      </c>
      <c r="I261" s="59">
        <f t="shared" si="86"/>
        <v>2020</v>
      </c>
      <c r="J261" s="34">
        <f t="shared" si="87"/>
        <v>2020.5833333333333</v>
      </c>
      <c r="K261" s="35">
        <v>21137.37</v>
      </c>
      <c r="L261" s="35">
        <f t="shared" si="88"/>
        <v>21137.37</v>
      </c>
      <c r="M261" s="35">
        <f t="shared" si="89"/>
        <v>251.63535714285715</v>
      </c>
      <c r="N261" s="35">
        <f t="shared" si="90"/>
        <v>3019.6242857142856</v>
      </c>
      <c r="O261" s="35">
        <f t="shared" si="91"/>
        <v>0</v>
      </c>
      <c r="P261" s="35">
        <f t="shared" si="92"/>
        <v>21137.37</v>
      </c>
      <c r="Q261" s="35">
        <f t="shared" si="93"/>
        <v>21137.37</v>
      </c>
      <c r="R261" s="35">
        <f t="shared" si="94"/>
        <v>0</v>
      </c>
    </row>
    <row r="262" spans="1:18" s="59" customFormat="1" hidden="1" outlineLevel="1">
      <c r="A262" s="53">
        <v>107455</v>
      </c>
      <c r="B262" s="59">
        <v>162</v>
      </c>
      <c r="C262" s="59" t="s">
        <v>400</v>
      </c>
      <c r="D262" s="59">
        <v>2013</v>
      </c>
      <c r="E262" s="59">
        <v>7</v>
      </c>
      <c r="F262" s="59">
        <v>0</v>
      </c>
      <c r="G262" s="59" t="s">
        <v>78</v>
      </c>
      <c r="H262" s="28">
        <v>7</v>
      </c>
      <c r="I262" s="59">
        <f t="shared" si="86"/>
        <v>2020</v>
      </c>
      <c r="J262" s="34">
        <f t="shared" si="87"/>
        <v>2020.5833333333333</v>
      </c>
      <c r="K262" s="35">
        <v>7724.66</v>
      </c>
      <c r="L262" s="35">
        <f t="shared" si="88"/>
        <v>7724.66</v>
      </c>
      <c r="M262" s="35">
        <f t="shared" si="89"/>
        <v>91.960238095238097</v>
      </c>
      <c r="N262" s="35">
        <f t="shared" si="90"/>
        <v>1103.5228571428572</v>
      </c>
      <c r="O262" s="35">
        <f t="shared" si="91"/>
        <v>0</v>
      </c>
      <c r="P262" s="35">
        <f t="shared" si="92"/>
        <v>7724.66</v>
      </c>
      <c r="Q262" s="35">
        <f t="shared" si="93"/>
        <v>7724.66</v>
      </c>
      <c r="R262" s="35">
        <f t="shared" si="94"/>
        <v>0</v>
      </c>
    </row>
    <row r="263" spans="1:18" s="59" customFormat="1" hidden="1" outlineLevel="1">
      <c r="A263" s="53">
        <v>107454</v>
      </c>
      <c r="B263" s="59">
        <v>237</v>
      </c>
      <c r="C263" s="59" t="s">
        <v>399</v>
      </c>
      <c r="D263" s="59">
        <v>2013</v>
      </c>
      <c r="E263" s="59">
        <v>7</v>
      </c>
      <c r="F263" s="59">
        <v>0</v>
      </c>
      <c r="G263" s="59" t="s">
        <v>78</v>
      </c>
      <c r="H263" s="28">
        <v>7</v>
      </c>
      <c r="I263" s="59">
        <f t="shared" si="86"/>
        <v>2020</v>
      </c>
      <c r="J263" s="34">
        <f t="shared" si="87"/>
        <v>2020.5833333333333</v>
      </c>
      <c r="K263" s="35">
        <v>13002.62</v>
      </c>
      <c r="L263" s="35">
        <f t="shared" si="88"/>
        <v>13002.62</v>
      </c>
      <c r="M263" s="35">
        <f t="shared" si="89"/>
        <v>154.79309523809525</v>
      </c>
      <c r="N263" s="35">
        <f t="shared" si="90"/>
        <v>1857.517142857143</v>
      </c>
      <c r="O263" s="35">
        <f t="shared" si="91"/>
        <v>0</v>
      </c>
      <c r="P263" s="35">
        <f t="shared" si="92"/>
        <v>13002.62</v>
      </c>
      <c r="Q263" s="35">
        <f t="shared" si="93"/>
        <v>13002.62</v>
      </c>
      <c r="R263" s="35">
        <f t="shared" si="94"/>
        <v>0</v>
      </c>
    </row>
    <row r="264" spans="1:18" s="59" customFormat="1" hidden="1" outlineLevel="1">
      <c r="A264" s="53">
        <v>109344</v>
      </c>
      <c r="B264" s="59">
        <v>1080</v>
      </c>
      <c r="C264" s="59" t="s">
        <v>398</v>
      </c>
      <c r="D264" s="59">
        <v>2013</v>
      </c>
      <c r="E264" s="59">
        <v>11</v>
      </c>
      <c r="F264" s="59">
        <v>0</v>
      </c>
      <c r="G264" s="59" t="s">
        <v>78</v>
      </c>
      <c r="H264" s="28">
        <v>7</v>
      </c>
      <c r="I264" s="59">
        <f t="shared" si="86"/>
        <v>2020</v>
      </c>
      <c r="J264" s="34">
        <f t="shared" si="87"/>
        <v>2020.9166666666667</v>
      </c>
      <c r="K264" s="35">
        <v>38869.17</v>
      </c>
      <c r="L264" s="35">
        <f t="shared" si="88"/>
        <v>38869.17</v>
      </c>
      <c r="M264" s="35">
        <f t="shared" si="89"/>
        <v>462.72821428571427</v>
      </c>
      <c r="N264" s="35">
        <f t="shared" si="90"/>
        <v>5552.738571428571</v>
      </c>
      <c r="O264" s="35">
        <f t="shared" si="91"/>
        <v>0</v>
      </c>
      <c r="P264" s="35">
        <f t="shared" si="92"/>
        <v>38869.17</v>
      </c>
      <c r="Q264" s="35">
        <f t="shared" si="93"/>
        <v>38869.17</v>
      </c>
      <c r="R264" s="35">
        <f t="shared" si="94"/>
        <v>0</v>
      </c>
    </row>
    <row r="265" spans="1:18" s="59" customFormat="1" hidden="1" outlineLevel="1">
      <c r="A265" s="53">
        <v>109186</v>
      </c>
      <c r="B265" s="59">
        <v>324</v>
      </c>
      <c r="C265" s="59" t="s">
        <v>400</v>
      </c>
      <c r="D265" s="59">
        <v>2013</v>
      </c>
      <c r="E265" s="59">
        <v>11</v>
      </c>
      <c r="F265" s="59">
        <v>0</v>
      </c>
      <c r="G265" s="59" t="s">
        <v>78</v>
      </c>
      <c r="H265" s="28">
        <v>7</v>
      </c>
      <c r="I265" s="59">
        <f t="shared" si="86"/>
        <v>2020</v>
      </c>
      <c r="J265" s="34">
        <f t="shared" si="87"/>
        <v>2020.9166666666667</v>
      </c>
      <c r="K265" s="35">
        <v>13520.49</v>
      </c>
      <c r="L265" s="35">
        <f t="shared" si="88"/>
        <v>13520.49</v>
      </c>
      <c r="M265" s="35">
        <f t="shared" si="89"/>
        <v>160.95821428571429</v>
      </c>
      <c r="N265" s="35">
        <f t="shared" si="90"/>
        <v>1931.4985714285715</v>
      </c>
      <c r="O265" s="35">
        <f t="shared" si="91"/>
        <v>0</v>
      </c>
      <c r="P265" s="35">
        <f t="shared" si="92"/>
        <v>13520.49</v>
      </c>
      <c r="Q265" s="35">
        <f t="shared" si="93"/>
        <v>13520.49</v>
      </c>
      <c r="R265" s="35">
        <f t="shared" si="94"/>
        <v>0</v>
      </c>
    </row>
    <row r="266" spans="1:18" s="59" customFormat="1" hidden="1" outlineLevel="1">
      <c r="A266" s="53">
        <v>109341</v>
      </c>
      <c r="B266" s="59">
        <v>122</v>
      </c>
      <c r="C266" s="59" t="s">
        <v>399</v>
      </c>
      <c r="D266" s="59">
        <v>2013</v>
      </c>
      <c r="E266" s="59">
        <v>11</v>
      </c>
      <c r="F266" s="59">
        <v>0</v>
      </c>
      <c r="G266" s="59" t="s">
        <v>78</v>
      </c>
      <c r="H266" s="28">
        <v>7</v>
      </c>
      <c r="I266" s="59">
        <f t="shared" si="86"/>
        <v>2020</v>
      </c>
      <c r="J266" s="34">
        <f t="shared" si="87"/>
        <v>2020.9166666666667</v>
      </c>
      <c r="K266" s="35">
        <f>7308.09</f>
        <v>7308.09</v>
      </c>
      <c r="L266" s="35">
        <f t="shared" si="88"/>
        <v>7308.09</v>
      </c>
      <c r="M266" s="35">
        <f t="shared" si="89"/>
        <v>87.001071428571436</v>
      </c>
      <c r="N266" s="35">
        <f t="shared" si="90"/>
        <v>1044.0128571428572</v>
      </c>
      <c r="O266" s="35">
        <f t="shared" si="91"/>
        <v>0</v>
      </c>
      <c r="P266" s="35">
        <f t="shared" si="92"/>
        <v>7308.09</v>
      </c>
      <c r="Q266" s="35">
        <f t="shared" si="93"/>
        <v>7308.09</v>
      </c>
      <c r="R266" s="35">
        <f t="shared" si="94"/>
        <v>0</v>
      </c>
    </row>
    <row r="267" spans="1:18" s="59" customFormat="1" hidden="1" outlineLevel="1">
      <c r="A267" s="53">
        <v>112465</v>
      </c>
      <c r="B267" s="59">
        <v>210</v>
      </c>
      <c r="C267" s="59" t="s">
        <v>466</v>
      </c>
      <c r="D267" s="59">
        <v>2014</v>
      </c>
      <c r="E267" s="59">
        <v>3</v>
      </c>
      <c r="F267" s="59">
        <v>0</v>
      </c>
      <c r="G267" s="59" t="s">
        <v>78</v>
      </c>
      <c r="H267" s="28">
        <v>7</v>
      </c>
      <c r="I267" s="59">
        <f t="shared" si="86"/>
        <v>2021</v>
      </c>
      <c r="J267" s="34">
        <f t="shared" si="87"/>
        <v>2021.25</v>
      </c>
      <c r="K267" s="35">
        <v>9383.1</v>
      </c>
      <c r="L267" s="35">
        <f t="shared" si="88"/>
        <v>9383.1</v>
      </c>
      <c r="M267" s="35">
        <f t="shared" si="89"/>
        <v>111.70357142857144</v>
      </c>
      <c r="N267" s="35">
        <f t="shared" si="90"/>
        <v>1340.4428571428573</v>
      </c>
      <c r="O267" s="35">
        <f t="shared" si="91"/>
        <v>0</v>
      </c>
      <c r="P267" s="35">
        <f t="shared" si="92"/>
        <v>9383.1</v>
      </c>
      <c r="Q267" s="35">
        <f t="shared" si="93"/>
        <v>9383.1</v>
      </c>
      <c r="R267" s="35">
        <f t="shared" si="94"/>
        <v>0</v>
      </c>
    </row>
    <row r="268" spans="1:18" s="59" customFormat="1" hidden="1" outlineLevel="1">
      <c r="A268" s="53">
        <v>112464</v>
      </c>
      <c r="B268" s="59">
        <v>810</v>
      </c>
      <c r="C268" s="59" t="s">
        <v>398</v>
      </c>
      <c r="D268" s="59">
        <v>2014</v>
      </c>
      <c r="E268" s="59">
        <v>3</v>
      </c>
      <c r="F268" s="59">
        <v>0</v>
      </c>
      <c r="G268" s="59" t="s">
        <v>78</v>
      </c>
      <c r="H268" s="28">
        <v>7</v>
      </c>
      <c r="I268" s="59">
        <f t="shared" si="86"/>
        <v>2021</v>
      </c>
      <c r="J268" s="34">
        <f t="shared" si="87"/>
        <v>2021.25</v>
      </c>
      <c r="K268" s="35">
        <v>30408.07</v>
      </c>
      <c r="L268" s="35">
        <f t="shared" si="88"/>
        <v>30408.07</v>
      </c>
      <c r="M268" s="35">
        <f t="shared" si="89"/>
        <v>362.00083333333333</v>
      </c>
      <c r="N268" s="35">
        <f t="shared" si="90"/>
        <v>4344.01</v>
      </c>
      <c r="O268" s="35">
        <f t="shared" si="91"/>
        <v>0</v>
      </c>
      <c r="P268" s="35">
        <f t="shared" si="92"/>
        <v>30408.07</v>
      </c>
      <c r="Q268" s="35">
        <f t="shared" si="93"/>
        <v>30408.07</v>
      </c>
      <c r="R268" s="35">
        <f t="shared" si="94"/>
        <v>0</v>
      </c>
    </row>
    <row r="269" spans="1:18" s="59" customFormat="1" hidden="1" outlineLevel="1">
      <c r="A269" s="53">
        <v>112463</v>
      </c>
      <c r="B269" s="59">
        <v>324</v>
      </c>
      <c r="C269" s="59" t="s">
        <v>400</v>
      </c>
      <c r="D269" s="59">
        <v>2014</v>
      </c>
      <c r="E269" s="59">
        <v>3</v>
      </c>
      <c r="F269" s="59">
        <v>0</v>
      </c>
      <c r="G269" s="59" t="s">
        <v>78</v>
      </c>
      <c r="H269" s="28">
        <v>7</v>
      </c>
      <c r="I269" s="59">
        <f t="shared" si="86"/>
        <v>2021</v>
      </c>
      <c r="J269" s="34">
        <f t="shared" si="87"/>
        <v>2021.25</v>
      </c>
      <c r="K269" s="35">
        <v>16748.46</v>
      </c>
      <c r="L269" s="35">
        <f t="shared" si="88"/>
        <v>16748.46</v>
      </c>
      <c r="M269" s="35">
        <f t="shared" si="89"/>
        <v>199.38642857142858</v>
      </c>
      <c r="N269" s="35">
        <f t="shared" si="90"/>
        <v>2392.6371428571429</v>
      </c>
      <c r="O269" s="35">
        <f t="shared" si="91"/>
        <v>0</v>
      </c>
      <c r="P269" s="35">
        <f t="shared" si="92"/>
        <v>16748.46</v>
      </c>
      <c r="Q269" s="35">
        <f t="shared" si="93"/>
        <v>16748.46</v>
      </c>
      <c r="R269" s="35">
        <f t="shared" si="94"/>
        <v>0</v>
      </c>
    </row>
    <row r="270" spans="1:18" s="59" customFormat="1" hidden="1" outlineLevel="1">
      <c r="A270" s="53">
        <v>112462</v>
      </c>
      <c r="B270" s="59">
        <v>243</v>
      </c>
      <c r="C270" s="59" t="s">
        <v>399</v>
      </c>
      <c r="D270" s="59">
        <v>2014</v>
      </c>
      <c r="E270" s="59">
        <v>3</v>
      </c>
      <c r="F270" s="59">
        <v>0</v>
      </c>
      <c r="G270" s="59" t="s">
        <v>78</v>
      </c>
      <c r="H270" s="28">
        <v>7</v>
      </c>
      <c r="I270" s="59">
        <f t="shared" si="86"/>
        <v>2021</v>
      </c>
      <c r="J270" s="34">
        <f t="shared" si="87"/>
        <v>2021.25</v>
      </c>
      <c r="K270" s="35">
        <v>14855.45</v>
      </c>
      <c r="L270" s="35">
        <f t="shared" si="88"/>
        <v>14855.45</v>
      </c>
      <c r="M270" s="35">
        <f t="shared" si="89"/>
        <v>176.85059523809525</v>
      </c>
      <c r="N270" s="35">
        <f t="shared" si="90"/>
        <v>2122.207142857143</v>
      </c>
      <c r="O270" s="35">
        <f t="shared" si="91"/>
        <v>0</v>
      </c>
      <c r="P270" s="35">
        <f t="shared" si="92"/>
        <v>14855.45</v>
      </c>
      <c r="Q270" s="35">
        <f t="shared" si="93"/>
        <v>14855.45</v>
      </c>
      <c r="R270" s="35">
        <f t="shared" si="94"/>
        <v>0</v>
      </c>
    </row>
    <row r="271" spans="1:18" s="59" customFormat="1" hidden="1" outlineLevel="1">
      <c r="A271" s="53">
        <v>115104</v>
      </c>
      <c r="B271" s="59">
        <v>637</v>
      </c>
      <c r="C271" s="59" t="s">
        <v>513</v>
      </c>
      <c r="D271" s="59">
        <v>2014</v>
      </c>
      <c r="E271" s="59">
        <v>7</v>
      </c>
      <c r="F271" s="59">
        <v>0</v>
      </c>
      <c r="G271" s="59" t="s">
        <v>78</v>
      </c>
      <c r="H271" s="28">
        <v>7</v>
      </c>
      <c r="I271" s="59">
        <f t="shared" si="86"/>
        <v>2021</v>
      </c>
      <c r="J271" s="34">
        <f t="shared" si="87"/>
        <v>2021.5833333333333</v>
      </c>
      <c r="K271" s="35">
        <v>33464.61</v>
      </c>
      <c r="L271" s="35">
        <f t="shared" si="88"/>
        <v>33464.61</v>
      </c>
      <c r="M271" s="35">
        <f t="shared" si="89"/>
        <v>398.38821428571424</v>
      </c>
      <c r="N271" s="35">
        <f t="shared" si="90"/>
        <v>4780.6585714285711</v>
      </c>
      <c r="O271" s="35">
        <f t="shared" si="91"/>
        <v>0</v>
      </c>
      <c r="P271" s="35">
        <f t="shared" si="92"/>
        <v>33464.61</v>
      </c>
      <c r="Q271" s="35">
        <f t="shared" si="93"/>
        <v>33464.61</v>
      </c>
      <c r="R271" s="35">
        <f t="shared" si="94"/>
        <v>0</v>
      </c>
    </row>
    <row r="272" spans="1:18" s="59" customFormat="1" hidden="1" outlineLevel="1">
      <c r="A272" s="53">
        <v>115103</v>
      </c>
      <c r="B272" s="59">
        <v>504</v>
      </c>
      <c r="C272" s="59" t="s">
        <v>512</v>
      </c>
      <c r="D272" s="59">
        <v>2014</v>
      </c>
      <c r="E272" s="59">
        <v>7</v>
      </c>
      <c r="F272" s="59">
        <v>0</v>
      </c>
      <c r="G272" s="59" t="s">
        <v>78</v>
      </c>
      <c r="H272" s="28">
        <v>7</v>
      </c>
      <c r="I272" s="59">
        <f t="shared" si="86"/>
        <v>2021</v>
      </c>
      <c r="J272" s="34">
        <f t="shared" si="87"/>
        <v>2021.5833333333333</v>
      </c>
      <c r="K272" s="35">
        <v>29260.560000000001</v>
      </c>
      <c r="L272" s="35">
        <f t="shared" si="88"/>
        <v>29260.560000000001</v>
      </c>
      <c r="M272" s="35">
        <f t="shared" si="89"/>
        <v>348.34</v>
      </c>
      <c r="N272" s="35">
        <f t="shared" si="90"/>
        <v>4180.08</v>
      </c>
      <c r="O272" s="35">
        <f t="shared" si="91"/>
        <v>0</v>
      </c>
      <c r="P272" s="35">
        <f t="shared" si="92"/>
        <v>29260.560000000001</v>
      </c>
      <c r="Q272" s="35">
        <f t="shared" si="93"/>
        <v>29260.560000000001</v>
      </c>
      <c r="R272" s="35">
        <f t="shared" si="94"/>
        <v>0</v>
      </c>
    </row>
    <row r="273" spans="1:18" s="59" customFormat="1" hidden="1" outlineLevel="1">
      <c r="A273" s="53">
        <v>116682</v>
      </c>
      <c r="B273" s="59">
        <v>480</v>
      </c>
      <c r="C273" s="59" t="s">
        <v>398</v>
      </c>
      <c r="D273" s="59">
        <v>2014</v>
      </c>
      <c r="E273" s="59">
        <v>10</v>
      </c>
      <c r="F273" s="59">
        <v>0</v>
      </c>
      <c r="G273" s="59" t="s">
        <v>78</v>
      </c>
      <c r="H273" s="28">
        <v>7</v>
      </c>
      <c r="I273" s="59">
        <f t="shared" si="86"/>
        <v>2021</v>
      </c>
      <c r="J273" s="34">
        <f t="shared" si="87"/>
        <v>2021.8333333333333</v>
      </c>
      <c r="K273" s="35">
        <v>20039.759999999998</v>
      </c>
      <c r="L273" s="35">
        <f t="shared" si="88"/>
        <v>20039.759999999998</v>
      </c>
      <c r="M273" s="35">
        <f t="shared" si="89"/>
        <v>238.5685714285714</v>
      </c>
      <c r="N273" s="35">
        <f t="shared" si="90"/>
        <v>2862.8228571428567</v>
      </c>
      <c r="O273" s="35">
        <f t="shared" si="91"/>
        <v>0</v>
      </c>
      <c r="P273" s="35">
        <f t="shared" si="92"/>
        <v>20039.759999999998</v>
      </c>
      <c r="Q273" s="35">
        <f t="shared" si="93"/>
        <v>20039.759999999998</v>
      </c>
      <c r="R273" s="35">
        <f t="shared" si="94"/>
        <v>0</v>
      </c>
    </row>
    <row r="274" spans="1:18" s="59" customFormat="1" hidden="1" outlineLevel="1">
      <c r="A274" s="53">
        <v>120166</v>
      </c>
      <c r="B274" s="59">
        <v>360</v>
      </c>
      <c r="C274" s="59" t="s">
        <v>400</v>
      </c>
      <c r="D274" s="59">
        <v>2015</v>
      </c>
      <c r="E274" s="59">
        <v>1</v>
      </c>
      <c r="F274" s="59">
        <v>0</v>
      </c>
      <c r="G274" s="59" t="s">
        <v>78</v>
      </c>
      <c r="H274" s="28">
        <v>7</v>
      </c>
      <c r="I274" s="59">
        <f t="shared" si="86"/>
        <v>2022</v>
      </c>
      <c r="J274" s="34">
        <f t="shared" si="87"/>
        <v>2022.0833333333333</v>
      </c>
      <c r="K274" s="35">
        <v>17686.53</v>
      </c>
      <c r="L274" s="35">
        <f t="shared" si="88"/>
        <v>17686.53</v>
      </c>
      <c r="M274" s="35">
        <f t="shared" si="89"/>
        <v>210.55392857142854</v>
      </c>
      <c r="N274" s="35">
        <f t="shared" si="90"/>
        <v>2526.6471428571426</v>
      </c>
      <c r="O274" s="35">
        <f t="shared" si="91"/>
        <v>0</v>
      </c>
      <c r="P274" s="35">
        <f t="shared" si="92"/>
        <v>17686.53</v>
      </c>
      <c r="Q274" s="35">
        <f t="shared" si="93"/>
        <v>17686.53</v>
      </c>
      <c r="R274" s="35">
        <f t="shared" si="94"/>
        <v>0</v>
      </c>
    </row>
    <row r="275" spans="1:18" s="59" customFormat="1" hidden="1" outlineLevel="1">
      <c r="A275" s="53">
        <v>120167</v>
      </c>
      <c r="B275" s="59">
        <v>360</v>
      </c>
      <c r="C275" s="59" t="s">
        <v>512</v>
      </c>
      <c r="D275" s="59">
        <v>2015</v>
      </c>
      <c r="E275" s="59">
        <v>1</v>
      </c>
      <c r="F275" s="59">
        <v>0</v>
      </c>
      <c r="G275" s="59" t="s">
        <v>78</v>
      </c>
      <c r="H275" s="28">
        <v>7</v>
      </c>
      <c r="I275" s="59">
        <f t="shared" si="86"/>
        <v>2022</v>
      </c>
      <c r="J275" s="34">
        <f t="shared" si="87"/>
        <v>2022.0833333333333</v>
      </c>
      <c r="K275" s="35">
        <v>19252</v>
      </c>
      <c r="L275" s="35">
        <f t="shared" si="88"/>
        <v>19252</v>
      </c>
      <c r="M275" s="35">
        <f t="shared" si="89"/>
        <v>229.19047619047618</v>
      </c>
      <c r="N275" s="35">
        <f t="shared" si="90"/>
        <v>2750.2857142857142</v>
      </c>
      <c r="O275" s="35">
        <f t="shared" si="91"/>
        <v>0</v>
      </c>
      <c r="P275" s="35">
        <f t="shared" si="92"/>
        <v>19252</v>
      </c>
      <c r="Q275" s="35">
        <f t="shared" si="93"/>
        <v>19252</v>
      </c>
      <c r="R275" s="35">
        <f t="shared" si="94"/>
        <v>0</v>
      </c>
    </row>
    <row r="276" spans="1:18" s="59" customFormat="1" hidden="1" outlineLevel="1">
      <c r="A276" s="53">
        <v>120169</v>
      </c>
      <c r="B276" s="59">
        <v>1404</v>
      </c>
      <c r="C276" s="59" t="s">
        <v>398</v>
      </c>
      <c r="D276" s="59">
        <v>2015</v>
      </c>
      <c r="E276" s="59">
        <v>2</v>
      </c>
      <c r="F276" s="59">
        <v>0</v>
      </c>
      <c r="G276" s="59" t="s">
        <v>78</v>
      </c>
      <c r="H276" s="28">
        <v>7</v>
      </c>
      <c r="I276" s="59">
        <f t="shared" si="86"/>
        <v>2022</v>
      </c>
      <c r="J276" s="34">
        <f t="shared" si="87"/>
        <v>2022.1666666666667</v>
      </c>
      <c r="K276" s="35">
        <v>55764.93</v>
      </c>
      <c r="L276" s="35">
        <f t="shared" si="88"/>
        <v>55764.93</v>
      </c>
      <c r="M276" s="35">
        <f t="shared" si="89"/>
        <v>663.86821428571432</v>
      </c>
      <c r="N276" s="35">
        <f t="shared" si="90"/>
        <v>7966.4185714285722</v>
      </c>
      <c r="O276" s="35">
        <f t="shared" si="91"/>
        <v>0</v>
      </c>
      <c r="P276" s="35">
        <f t="shared" si="92"/>
        <v>55764.93</v>
      </c>
      <c r="Q276" s="35">
        <f t="shared" si="93"/>
        <v>55764.93</v>
      </c>
      <c r="R276" s="35">
        <f t="shared" si="94"/>
        <v>0</v>
      </c>
    </row>
    <row r="277" spans="1:18" s="59" customFormat="1" collapsed="1">
      <c r="A277" s="53">
        <v>123661</v>
      </c>
      <c r="B277" s="59">
        <v>648</v>
      </c>
      <c r="C277" s="59" t="s">
        <v>400</v>
      </c>
      <c r="D277" s="59">
        <v>2015</v>
      </c>
      <c r="E277" s="59">
        <v>4</v>
      </c>
      <c r="F277" s="59">
        <v>0</v>
      </c>
      <c r="G277" s="59" t="s">
        <v>78</v>
      </c>
      <c r="H277" s="28">
        <v>7</v>
      </c>
      <c r="I277" s="59">
        <f t="shared" si="86"/>
        <v>2022</v>
      </c>
      <c r="J277" s="34">
        <f t="shared" si="87"/>
        <v>2022.3333333333333</v>
      </c>
      <c r="K277" s="35">
        <v>30802.93</v>
      </c>
      <c r="L277" s="35">
        <f t="shared" si="88"/>
        <v>30802.93</v>
      </c>
      <c r="M277" s="35">
        <f t="shared" si="89"/>
        <v>366.70154761904763</v>
      </c>
      <c r="N277" s="35">
        <f t="shared" si="90"/>
        <v>4400.4185714285713</v>
      </c>
      <c r="O277" s="35">
        <f t="shared" si="91"/>
        <v>1466.8061904761905</v>
      </c>
      <c r="P277" s="35">
        <f t="shared" si="92"/>
        <v>8800.8371428571427</v>
      </c>
      <c r="Q277" s="35">
        <f t="shared" si="93"/>
        <v>10267.643333333333</v>
      </c>
      <c r="R277" s="35">
        <f t="shared" si="94"/>
        <v>20535.286666666667</v>
      </c>
    </row>
    <row r="278" spans="1:18" s="59" customFormat="1">
      <c r="A278" s="53">
        <v>123662</v>
      </c>
      <c r="B278" s="59">
        <v>840</v>
      </c>
      <c r="C278" s="59" t="s">
        <v>398</v>
      </c>
      <c r="D278" s="59">
        <v>2015</v>
      </c>
      <c r="E278" s="59">
        <v>6</v>
      </c>
      <c r="F278" s="59">
        <v>0</v>
      </c>
      <c r="G278" s="59" t="s">
        <v>78</v>
      </c>
      <c r="H278" s="28">
        <v>7</v>
      </c>
      <c r="I278" s="59">
        <f t="shared" si="86"/>
        <v>2022</v>
      </c>
      <c r="J278" s="34">
        <f t="shared" si="87"/>
        <v>2022.5</v>
      </c>
      <c r="K278" s="35">
        <v>32103.19</v>
      </c>
      <c r="L278" s="35">
        <f t="shared" si="88"/>
        <v>32103.19</v>
      </c>
      <c r="M278" s="35">
        <f t="shared" si="89"/>
        <v>382.18083333333334</v>
      </c>
      <c r="N278" s="35">
        <f t="shared" si="90"/>
        <v>4586.17</v>
      </c>
      <c r="O278" s="35">
        <f t="shared" si="91"/>
        <v>2293.085</v>
      </c>
      <c r="P278" s="35">
        <f t="shared" si="92"/>
        <v>13758.51</v>
      </c>
      <c r="Q278" s="35">
        <f t="shared" si="93"/>
        <v>16051.595000000001</v>
      </c>
      <c r="R278" s="35">
        <f t="shared" si="94"/>
        <v>16051.594999999998</v>
      </c>
    </row>
    <row r="279" spans="1:18" s="59" customFormat="1">
      <c r="A279" s="53" t="s">
        <v>564</v>
      </c>
      <c r="B279" s="59">
        <f>276+192</f>
        <v>468</v>
      </c>
      <c r="C279" s="59" t="s">
        <v>512</v>
      </c>
      <c r="D279" s="59">
        <v>2015</v>
      </c>
      <c r="E279" s="59">
        <v>6</v>
      </c>
      <c r="F279" s="59">
        <v>0</v>
      </c>
      <c r="G279" s="59" t="s">
        <v>78</v>
      </c>
      <c r="H279" s="28">
        <v>7</v>
      </c>
      <c r="I279" s="59">
        <f t="shared" si="86"/>
        <v>2022</v>
      </c>
      <c r="J279" s="34">
        <f t="shared" si="87"/>
        <v>2022.5</v>
      </c>
      <c r="K279" s="35">
        <f>9871.7+8569.2</f>
        <v>18440.900000000001</v>
      </c>
      <c r="L279" s="35">
        <f t="shared" si="88"/>
        <v>18440.900000000001</v>
      </c>
      <c r="M279" s="35">
        <f t="shared" si="89"/>
        <v>219.53452380952385</v>
      </c>
      <c r="N279" s="35">
        <f t="shared" si="90"/>
        <v>2634.4142857142861</v>
      </c>
      <c r="O279" s="35">
        <f t="shared" si="91"/>
        <v>1317.207142857143</v>
      </c>
      <c r="P279" s="35">
        <f t="shared" si="92"/>
        <v>7903.2428571428582</v>
      </c>
      <c r="Q279" s="35">
        <f t="shared" si="93"/>
        <v>9220.4500000000007</v>
      </c>
      <c r="R279" s="35">
        <f t="shared" si="94"/>
        <v>9220.4500000000007</v>
      </c>
    </row>
    <row r="280" spans="1:18" s="59" customFormat="1">
      <c r="A280" s="53">
        <v>126736</v>
      </c>
      <c r="B280" s="59">
        <v>1140</v>
      </c>
      <c r="C280" s="59" t="s">
        <v>398</v>
      </c>
      <c r="D280" s="59">
        <v>2015</v>
      </c>
      <c r="E280" s="59">
        <v>9</v>
      </c>
      <c r="F280" s="59">
        <v>0</v>
      </c>
      <c r="G280" s="59" t="s">
        <v>78</v>
      </c>
      <c r="H280" s="28">
        <v>7</v>
      </c>
      <c r="I280" s="59">
        <f t="shared" si="86"/>
        <v>2022</v>
      </c>
      <c r="J280" s="34">
        <f t="shared" si="87"/>
        <v>2022.75</v>
      </c>
      <c r="K280" s="35">
        <v>39343.97</v>
      </c>
      <c r="L280" s="35">
        <f t="shared" si="88"/>
        <v>39343.97</v>
      </c>
      <c r="M280" s="35">
        <f t="shared" si="89"/>
        <v>468.38059523809528</v>
      </c>
      <c r="N280" s="35">
        <f t="shared" si="90"/>
        <v>5620.5671428571432</v>
      </c>
      <c r="O280" s="35">
        <f t="shared" si="91"/>
        <v>4215.4253571428571</v>
      </c>
      <c r="P280" s="35">
        <f t="shared" si="92"/>
        <v>25292.552142857145</v>
      </c>
      <c r="Q280" s="35">
        <f t="shared" si="93"/>
        <v>29507.977500000001</v>
      </c>
      <c r="R280" s="35">
        <f t="shared" si="94"/>
        <v>9835.9925000000003</v>
      </c>
    </row>
    <row r="281" spans="1:18" s="59" customFormat="1">
      <c r="A281" s="53">
        <v>126474</v>
      </c>
      <c r="B281" s="59">
        <v>432</v>
      </c>
      <c r="C281" s="59" t="s">
        <v>513</v>
      </c>
      <c r="D281" s="59">
        <v>2015</v>
      </c>
      <c r="E281" s="59">
        <v>9</v>
      </c>
      <c r="F281" s="59">
        <v>0</v>
      </c>
      <c r="G281" s="59" t="s">
        <v>78</v>
      </c>
      <c r="H281" s="28">
        <v>7</v>
      </c>
      <c r="I281" s="59">
        <f t="shared" si="86"/>
        <v>2022</v>
      </c>
      <c r="J281" s="34">
        <f t="shared" si="87"/>
        <v>2022.75</v>
      </c>
      <c r="K281" s="35">
        <v>20520.12</v>
      </c>
      <c r="L281" s="35">
        <f t="shared" si="88"/>
        <v>20520.12</v>
      </c>
      <c r="M281" s="35">
        <f t="shared" si="89"/>
        <v>244.28714285714284</v>
      </c>
      <c r="N281" s="35">
        <f t="shared" si="90"/>
        <v>2931.4457142857141</v>
      </c>
      <c r="O281" s="35">
        <f t="shared" si="91"/>
        <v>2198.5842857142857</v>
      </c>
      <c r="P281" s="35">
        <f t="shared" si="92"/>
        <v>13191.505714285715</v>
      </c>
      <c r="Q281" s="35">
        <f t="shared" si="93"/>
        <v>15390.09</v>
      </c>
      <c r="R281" s="35">
        <f t="shared" si="94"/>
        <v>5130.0299999999988</v>
      </c>
    </row>
    <row r="282" spans="1:18" s="59" customFormat="1">
      <c r="A282" s="53">
        <v>126473</v>
      </c>
      <c r="B282" s="59">
        <v>312</v>
      </c>
      <c r="C282" s="59" t="s">
        <v>512</v>
      </c>
      <c r="D282" s="59">
        <v>2015</v>
      </c>
      <c r="E282" s="59">
        <v>9</v>
      </c>
      <c r="F282" s="59">
        <v>0</v>
      </c>
      <c r="G282" s="59" t="s">
        <v>78</v>
      </c>
      <c r="H282" s="28">
        <v>7</v>
      </c>
      <c r="I282" s="59">
        <f t="shared" si="86"/>
        <v>2022</v>
      </c>
      <c r="J282" s="34">
        <f t="shared" si="87"/>
        <v>2022.75</v>
      </c>
      <c r="K282" s="35">
        <v>16893.89</v>
      </c>
      <c r="L282" s="35">
        <f t="shared" si="88"/>
        <v>16893.89</v>
      </c>
      <c r="M282" s="35">
        <f t="shared" si="89"/>
        <v>201.11773809523808</v>
      </c>
      <c r="N282" s="35">
        <f t="shared" si="90"/>
        <v>2413.4128571428569</v>
      </c>
      <c r="O282" s="35">
        <f t="shared" si="91"/>
        <v>1810.0596428571428</v>
      </c>
      <c r="P282" s="35">
        <f t="shared" si="92"/>
        <v>10860.357857142857</v>
      </c>
      <c r="Q282" s="35">
        <f t="shared" si="93"/>
        <v>12670.4175</v>
      </c>
      <c r="R282" s="35">
        <f t="shared" si="94"/>
        <v>4223.4724999999999</v>
      </c>
    </row>
    <row r="283" spans="1:18" s="59" customFormat="1">
      <c r="A283" s="53">
        <v>127478</v>
      </c>
      <c r="B283" s="59">
        <v>864</v>
      </c>
      <c r="C283" s="59" t="s">
        <v>513</v>
      </c>
      <c r="D283" s="59">
        <v>2015</v>
      </c>
      <c r="E283" s="59">
        <v>11</v>
      </c>
      <c r="F283" s="59">
        <v>0</v>
      </c>
      <c r="G283" s="59" t="s">
        <v>78</v>
      </c>
      <c r="H283" s="28">
        <v>7</v>
      </c>
      <c r="I283" s="59">
        <f t="shared" si="86"/>
        <v>2022</v>
      </c>
      <c r="J283" s="34">
        <f t="shared" si="87"/>
        <v>2022.9166666666667</v>
      </c>
      <c r="K283" s="35">
        <v>39330.959999999999</v>
      </c>
      <c r="L283" s="35">
        <f t="shared" si="88"/>
        <v>39330.959999999999</v>
      </c>
      <c r="M283" s="35">
        <f t="shared" si="89"/>
        <v>468.22571428571428</v>
      </c>
      <c r="N283" s="35">
        <f t="shared" si="90"/>
        <v>5618.7085714285713</v>
      </c>
      <c r="O283" s="35">
        <f t="shared" si="91"/>
        <v>5150.482857142857</v>
      </c>
      <c r="P283" s="35">
        <f t="shared" si="92"/>
        <v>30902.897142857142</v>
      </c>
      <c r="Q283" s="35">
        <f t="shared" si="93"/>
        <v>36053.379999999997</v>
      </c>
      <c r="R283" s="35">
        <f t="shared" si="94"/>
        <v>3277.5800000000017</v>
      </c>
    </row>
    <row r="284" spans="1:18" s="59" customFormat="1">
      <c r="A284" s="53">
        <v>128183</v>
      </c>
      <c r="B284" s="59">
        <v>288</v>
      </c>
      <c r="C284" s="59" t="s">
        <v>512</v>
      </c>
      <c r="D284" s="59">
        <v>2015</v>
      </c>
      <c r="E284" s="59">
        <v>11</v>
      </c>
      <c r="F284" s="59">
        <v>0</v>
      </c>
      <c r="G284" s="59" t="s">
        <v>78</v>
      </c>
      <c r="H284" s="28">
        <v>7</v>
      </c>
      <c r="I284" s="59">
        <f t="shared" si="86"/>
        <v>2022</v>
      </c>
      <c r="J284" s="34">
        <f t="shared" si="87"/>
        <v>2022.9166666666667</v>
      </c>
      <c r="K284" s="35">
        <v>16008.28</v>
      </c>
      <c r="L284" s="35">
        <f t="shared" si="88"/>
        <v>16008.28</v>
      </c>
      <c r="M284" s="35">
        <f t="shared" si="89"/>
        <v>190.57476190476191</v>
      </c>
      <c r="N284" s="35">
        <f t="shared" si="90"/>
        <v>2286.8971428571431</v>
      </c>
      <c r="O284" s="35">
        <f t="shared" si="91"/>
        <v>2096.3223809523811</v>
      </c>
      <c r="P284" s="35">
        <f t="shared" si="92"/>
        <v>12577.934285714287</v>
      </c>
      <c r="Q284" s="35">
        <f t="shared" si="93"/>
        <v>14674.256666666668</v>
      </c>
      <c r="R284" s="35">
        <f t="shared" si="94"/>
        <v>1334.0233333333326</v>
      </c>
    </row>
    <row r="285" spans="1:18" s="59" customFormat="1">
      <c r="A285" s="53">
        <v>129324</v>
      </c>
      <c r="B285" s="59">
        <v>500</v>
      </c>
      <c r="C285" s="59" t="s">
        <v>586</v>
      </c>
      <c r="D285" s="59">
        <v>2016</v>
      </c>
      <c r="E285" s="59">
        <v>1</v>
      </c>
      <c r="F285" s="59">
        <v>0</v>
      </c>
      <c r="G285" s="59" t="s">
        <v>78</v>
      </c>
      <c r="H285" s="28">
        <v>7</v>
      </c>
      <c r="I285" s="59">
        <f t="shared" si="86"/>
        <v>2023</v>
      </c>
      <c r="J285" s="34">
        <f t="shared" si="87"/>
        <v>2023.0833333333333</v>
      </c>
      <c r="K285" s="35">
        <v>17256.13</v>
      </c>
      <c r="L285" s="35">
        <f t="shared" si="88"/>
        <v>17256.13</v>
      </c>
      <c r="M285" s="35">
        <f t="shared" si="89"/>
        <v>205.43011904761906</v>
      </c>
      <c r="N285" s="35">
        <f t="shared" si="90"/>
        <v>2465.1614285714286</v>
      </c>
      <c r="O285" s="35">
        <f t="shared" si="91"/>
        <v>2465.1614285714286</v>
      </c>
      <c r="P285" s="35">
        <f t="shared" si="92"/>
        <v>12325.807142857142</v>
      </c>
      <c r="Q285" s="35">
        <f t="shared" si="93"/>
        <v>14790.96857142857</v>
      </c>
      <c r="R285" s="35">
        <f t="shared" si="94"/>
        <v>2465.1614285714313</v>
      </c>
    </row>
    <row r="286" spans="1:18" s="59" customFormat="1">
      <c r="A286" s="53">
        <v>131197</v>
      </c>
      <c r="B286" s="59">
        <v>624</v>
      </c>
      <c r="C286" s="59" t="s">
        <v>587</v>
      </c>
      <c r="D286" s="59">
        <v>2016</v>
      </c>
      <c r="E286" s="59">
        <v>3</v>
      </c>
      <c r="F286" s="59">
        <v>0</v>
      </c>
      <c r="G286" s="59" t="s">
        <v>78</v>
      </c>
      <c r="H286" s="28">
        <v>7</v>
      </c>
      <c r="I286" s="59">
        <f t="shared" si="86"/>
        <v>2023</v>
      </c>
      <c r="J286" s="34">
        <f t="shared" si="87"/>
        <v>2023.25</v>
      </c>
      <c r="K286" s="35">
        <v>30834.93</v>
      </c>
      <c r="L286" s="35">
        <f t="shared" si="88"/>
        <v>30834.93</v>
      </c>
      <c r="M286" s="35">
        <f t="shared" si="89"/>
        <v>367.08249999999998</v>
      </c>
      <c r="N286" s="35">
        <f t="shared" si="90"/>
        <v>4404.99</v>
      </c>
      <c r="O286" s="35">
        <f t="shared" si="91"/>
        <v>4404.99</v>
      </c>
      <c r="P286" s="35">
        <f t="shared" si="92"/>
        <v>22024.949999999997</v>
      </c>
      <c r="Q286" s="35">
        <f t="shared" si="93"/>
        <v>26429.939999999995</v>
      </c>
      <c r="R286" s="35">
        <f t="shared" si="94"/>
        <v>4404.9900000000052</v>
      </c>
    </row>
    <row r="287" spans="1:18" s="59" customFormat="1">
      <c r="A287" s="53">
        <v>131756</v>
      </c>
      <c r="B287" s="59">
        <v>840</v>
      </c>
      <c r="C287" s="59" t="s">
        <v>586</v>
      </c>
      <c r="D287" s="59">
        <v>2016</v>
      </c>
      <c r="E287" s="59">
        <v>4</v>
      </c>
      <c r="F287" s="59">
        <v>0</v>
      </c>
      <c r="G287" s="59" t="s">
        <v>78</v>
      </c>
      <c r="H287" s="28">
        <v>7</v>
      </c>
      <c r="I287" s="59">
        <f t="shared" si="86"/>
        <v>2023</v>
      </c>
      <c r="J287" s="34">
        <f t="shared" si="87"/>
        <v>2023.3333333333333</v>
      </c>
      <c r="K287" s="35">
        <v>29504.44</v>
      </c>
      <c r="L287" s="35">
        <f t="shared" si="88"/>
        <v>29504.44</v>
      </c>
      <c r="M287" s="35">
        <f t="shared" si="89"/>
        <v>351.24333333333334</v>
      </c>
      <c r="N287" s="35">
        <f t="shared" si="90"/>
        <v>4214.92</v>
      </c>
      <c r="O287" s="35">
        <f t="shared" si="91"/>
        <v>4214.92</v>
      </c>
      <c r="P287" s="35">
        <f t="shared" si="92"/>
        <v>21074.6</v>
      </c>
      <c r="Q287" s="35">
        <f t="shared" si="93"/>
        <v>25289.519999999997</v>
      </c>
      <c r="R287" s="35">
        <f t="shared" si="94"/>
        <v>4214.9200000000019</v>
      </c>
    </row>
    <row r="288" spans="1:18" s="59" customFormat="1">
      <c r="A288" s="53">
        <v>165691</v>
      </c>
      <c r="B288" s="59">
        <v>624</v>
      </c>
      <c r="C288" s="59" t="s">
        <v>587</v>
      </c>
      <c r="D288" s="59">
        <v>2016</v>
      </c>
      <c r="E288" s="59">
        <v>6</v>
      </c>
      <c r="F288" s="59">
        <v>0</v>
      </c>
      <c r="G288" s="59" t="s">
        <v>78</v>
      </c>
      <c r="H288" s="28">
        <v>7</v>
      </c>
      <c r="I288" s="59">
        <f t="shared" si="86"/>
        <v>2023</v>
      </c>
      <c r="J288" s="34">
        <f t="shared" si="87"/>
        <v>2023.5</v>
      </c>
      <c r="K288" s="35">
        <v>30864.1</v>
      </c>
      <c r="L288" s="35">
        <f t="shared" si="88"/>
        <v>30864.1</v>
      </c>
      <c r="M288" s="35">
        <f t="shared" si="89"/>
        <v>367.42976190476185</v>
      </c>
      <c r="N288" s="35">
        <f t="shared" si="90"/>
        <v>4409.1571428571424</v>
      </c>
      <c r="O288" s="35">
        <f t="shared" si="91"/>
        <v>4409.1571428571424</v>
      </c>
      <c r="P288" s="35">
        <f t="shared" si="92"/>
        <v>22045.78571428571</v>
      </c>
      <c r="Q288" s="35">
        <f t="shared" si="93"/>
        <v>26454.942857142851</v>
      </c>
      <c r="R288" s="35">
        <f t="shared" si="94"/>
        <v>4409.1571428571478</v>
      </c>
    </row>
    <row r="289" spans="1:18" s="59" customFormat="1">
      <c r="A289" s="53">
        <v>165693</v>
      </c>
      <c r="B289" s="59">
        <v>950</v>
      </c>
      <c r="C289" s="59" t="s">
        <v>586</v>
      </c>
      <c r="D289" s="59">
        <v>2016</v>
      </c>
      <c r="E289" s="59">
        <v>7</v>
      </c>
      <c r="F289" s="59">
        <v>0</v>
      </c>
      <c r="G289" s="59" t="s">
        <v>78</v>
      </c>
      <c r="H289" s="28">
        <v>7</v>
      </c>
      <c r="I289" s="59">
        <f t="shared" si="86"/>
        <v>2023</v>
      </c>
      <c r="J289" s="34">
        <f t="shared" si="87"/>
        <v>2023.5833333333333</v>
      </c>
      <c r="K289" s="35">
        <v>33156.589999999997</v>
      </c>
      <c r="L289" s="35">
        <f t="shared" si="88"/>
        <v>33156.589999999997</v>
      </c>
      <c r="M289" s="35">
        <f t="shared" si="89"/>
        <v>394.72130952380945</v>
      </c>
      <c r="N289" s="35">
        <f t="shared" si="90"/>
        <v>4736.6557142857137</v>
      </c>
      <c r="O289" s="35">
        <f t="shared" si="91"/>
        <v>4736.6557142857137</v>
      </c>
      <c r="P289" s="35">
        <f t="shared" si="92"/>
        <v>23683.278571428567</v>
      </c>
      <c r="Q289" s="35">
        <f t="shared" si="93"/>
        <v>28419.93428571428</v>
      </c>
      <c r="R289" s="35">
        <f t="shared" si="94"/>
        <v>4736.6557142857164</v>
      </c>
    </row>
    <row r="290" spans="1:18" s="59" customFormat="1">
      <c r="A290" s="53">
        <v>166033</v>
      </c>
      <c r="B290" s="59">
        <v>864</v>
      </c>
      <c r="C290" s="59" t="s">
        <v>596</v>
      </c>
      <c r="D290" s="59">
        <v>2016</v>
      </c>
      <c r="E290" s="59">
        <v>7</v>
      </c>
      <c r="F290" s="59">
        <v>0</v>
      </c>
      <c r="G290" s="59" t="s">
        <v>78</v>
      </c>
      <c r="H290" s="28">
        <v>7</v>
      </c>
      <c r="I290" s="59">
        <f t="shared" ref="I290:I315" si="95">D290+H290</f>
        <v>2023</v>
      </c>
      <c r="J290" s="34">
        <f t="shared" ref="J290:J315" si="96">+I290+(E290/12)</f>
        <v>2023.5833333333333</v>
      </c>
      <c r="K290" s="35">
        <v>36851.300000000003</v>
      </c>
      <c r="L290" s="35">
        <f t="shared" ref="L290:L315" si="97">K290-K290*F290</f>
        <v>36851.300000000003</v>
      </c>
      <c r="M290" s="35">
        <f t="shared" ref="M290:M315" si="98">L290/H290/12</f>
        <v>438.7059523809524</v>
      </c>
      <c r="N290" s="35">
        <f t="shared" ref="N290:N315" si="99">+M290*12</f>
        <v>5264.471428571429</v>
      </c>
      <c r="O290" s="35">
        <f t="shared" ref="O290:O315" si="100">+IF(J290&lt;=$L$5,0,IF(I290&gt;$L$4,N290,(M290*E290)))</f>
        <v>5264.471428571429</v>
      </c>
      <c r="P290" s="35">
        <f t="shared" ref="P290:P315" si="101">+IF(O290=0,L290,IF($L$3-D290&lt;1,0,(($L$3-D290)*O290)))</f>
        <v>26322.357142857145</v>
      </c>
      <c r="Q290" s="35">
        <f t="shared" ref="Q290:Q315" si="102">+IF(O290=0,P290,P290+O290)</f>
        <v>31586.828571428574</v>
      </c>
      <c r="R290" s="35">
        <f t="shared" ref="R290:R315" si="103">+K290-Q290</f>
        <v>5264.471428571429</v>
      </c>
    </row>
    <row r="291" spans="1:18" s="59" customFormat="1">
      <c r="A291" s="53">
        <v>170668</v>
      </c>
      <c r="B291" s="59">
        <v>950</v>
      </c>
      <c r="C291" s="59" t="s">
        <v>586</v>
      </c>
      <c r="D291" s="59">
        <v>2016</v>
      </c>
      <c r="E291" s="59">
        <v>11</v>
      </c>
      <c r="F291" s="59">
        <v>0</v>
      </c>
      <c r="G291" s="59" t="s">
        <v>78</v>
      </c>
      <c r="H291" s="28">
        <v>7</v>
      </c>
      <c r="I291" s="59">
        <f t="shared" si="95"/>
        <v>2023</v>
      </c>
      <c r="J291" s="34">
        <f t="shared" si="96"/>
        <v>2023.9166666666667</v>
      </c>
      <c r="K291" s="35">
        <v>37597.57</v>
      </c>
      <c r="L291" s="35">
        <f t="shared" si="97"/>
        <v>37597.57</v>
      </c>
      <c r="M291" s="35">
        <f t="shared" si="98"/>
        <v>447.59011904761905</v>
      </c>
      <c r="N291" s="35">
        <f t="shared" si="99"/>
        <v>5371.0814285714287</v>
      </c>
      <c r="O291" s="35">
        <f t="shared" si="100"/>
        <v>5371.0814285714287</v>
      </c>
      <c r="P291" s="35">
        <f t="shared" si="101"/>
        <v>26855.407142857144</v>
      </c>
      <c r="Q291" s="35">
        <f t="shared" si="102"/>
        <v>32226.488571428574</v>
      </c>
      <c r="R291" s="35">
        <f t="shared" si="103"/>
        <v>5371.0814285714259</v>
      </c>
    </row>
    <row r="292" spans="1:18" s="59" customFormat="1">
      <c r="A292" s="53">
        <v>170669</v>
      </c>
      <c r="B292" s="59">
        <v>864</v>
      </c>
      <c r="C292" s="59" t="s">
        <v>596</v>
      </c>
      <c r="D292" s="59">
        <v>2016</v>
      </c>
      <c r="E292" s="59">
        <v>11</v>
      </c>
      <c r="F292" s="59">
        <v>0</v>
      </c>
      <c r="G292" s="59" t="s">
        <v>78</v>
      </c>
      <c r="H292" s="28">
        <v>7</v>
      </c>
      <c r="I292" s="59">
        <f t="shared" si="95"/>
        <v>2023</v>
      </c>
      <c r="J292" s="34">
        <f t="shared" si="96"/>
        <v>2023.9166666666667</v>
      </c>
      <c r="K292" s="35">
        <v>37809.53</v>
      </c>
      <c r="L292" s="35">
        <f t="shared" si="97"/>
        <v>37809.53</v>
      </c>
      <c r="M292" s="35">
        <f t="shared" si="98"/>
        <v>450.11345238095237</v>
      </c>
      <c r="N292" s="35">
        <f t="shared" si="99"/>
        <v>5401.3614285714284</v>
      </c>
      <c r="O292" s="35">
        <f t="shared" si="100"/>
        <v>5401.3614285714284</v>
      </c>
      <c r="P292" s="35">
        <f t="shared" si="101"/>
        <v>27006.807142857142</v>
      </c>
      <c r="Q292" s="35">
        <f t="shared" si="102"/>
        <v>32408.16857142857</v>
      </c>
      <c r="R292" s="35">
        <f t="shared" si="103"/>
        <v>5401.3614285714284</v>
      </c>
    </row>
    <row r="293" spans="1:18" s="59" customFormat="1">
      <c r="A293" s="53">
        <v>176637</v>
      </c>
      <c r="B293" s="59">
        <v>875</v>
      </c>
      <c r="C293" s="59" t="s">
        <v>624</v>
      </c>
      <c r="D293" s="59">
        <v>2017</v>
      </c>
      <c r="E293" s="59">
        <v>1</v>
      </c>
      <c r="F293" s="59">
        <v>0</v>
      </c>
      <c r="G293" s="59" t="s">
        <v>78</v>
      </c>
      <c r="H293" s="28">
        <v>7</v>
      </c>
      <c r="I293" s="59">
        <f t="shared" si="95"/>
        <v>2024</v>
      </c>
      <c r="J293" s="34">
        <f t="shared" si="96"/>
        <v>2024.0833333333333</v>
      </c>
      <c r="K293" s="35">
        <v>30080.55</v>
      </c>
      <c r="L293" s="35">
        <f t="shared" si="97"/>
        <v>30080.55</v>
      </c>
      <c r="M293" s="35">
        <f t="shared" si="98"/>
        <v>358.10178571428565</v>
      </c>
      <c r="N293" s="35">
        <f t="shared" si="99"/>
        <v>4297.2214285714281</v>
      </c>
      <c r="O293" s="35">
        <f t="shared" si="100"/>
        <v>4297.2214285714281</v>
      </c>
      <c r="P293" s="35">
        <f t="shared" si="101"/>
        <v>17188.885714285712</v>
      </c>
      <c r="Q293" s="35">
        <f t="shared" si="102"/>
        <v>21486.107142857141</v>
      </c>
      <c r="R293" s="35">
        <f t="shared" si="103"/>
        <v>8594.442857142858</v>
      </c>
    </row>
    <row r="294" spans="1:18" s="59" customFormat="1">
      <c r="A294" s="53">
        <v>179026</v>
      </c>
      <c r="B294" s="59">
        <v>945</v>
      </c>
      <c r="C294" s="59" t="s">
        <v>621</v>
      </c>
      <c r="D294" s="59">
        <v>2017</v>
      </c>
      <c r="E294" s="59">
        <v>3</v>
      </c>
      <c r="F294" s="59">
        <v>0</v>
      </c>
      <c r="G294" s="59" t="s">
        <v>78</v>
      </c>
      <c r="H294" s="28">
        <v>7</v>
      </c>
      <c r="I294" s="59">
        <f t="shared" si="95"/>
        <v>2024</v>
      </c>
      <c r="J294" s="34">
        <f t="shared" si="96"/>
        <v>2024.25</v>
      </c>
      <c r="K294" s="35">
        <v>37282.6</v>
      </c>
      <c r="L294" s="35">
        <f t="shared" si="97"/>
        <v>37282.6</v>
      </c>
      <c r="M294" s="35">
        <f t="shared" si="98"/>
        <v>443.84047619047618</v>
      </c>
      <c r="N294" s="35">
        <f t="shared" si="99"/>
        <v>5326.0857142857139</v>
      </c>
      <c r="O294" s="35">
        <f t="shared" si="100"/>
        <v>5326.0857142857139</v>
      </c>
      <c r="P294" s="35">
        <f t="shared" si="101"/>
        <v>21304.342857142856</v>
      </c>
      <c r="Q294" s="35">
        <f t="shared" si="102"/>
        <v>26630.428571428569</v>
      </c>
      <c r="R294" s="35">
        <f t="shared" si="103"/>
        <v>10652.17142857143</v>
      </c>
    </row>
    <row r="295" spans="1:18" s="59" customFormat="1">
      <c r="A295" s="53">
        <v>181061</v>
      </c>
      <c r="B295" s="59">
        <v>864</v>
      </c>
      <c r="C295" s="59" t="s">
        <v>620</v>
      </c>
      <c r="D295" s="59">
        <v>2017</v>
      </c>
      <c r="E295" s="59">
        <v>4</v>
      </c>
      <c r="F295" s="59">
        <v>0</v>
      </c>
      <c r="G295" s="59" t="s">
        <v>78</v>
      </c>
      <c r="H295" s="28">
        <v>7</v>
      </c>
      <c r="I295" s="59">
        <f t="shared" si="95"/>
        <v>2024</v>
      </c>
      <c r="J295" s="34">
        <f t="shared" si="96"/>
        <v>2024.3333333333333</v>
      </c>
      <c r="K295" s="35">
        <v>38790.9</v>
      </c>
      <c r="L295" s="35">
        <f t="shared" si="97"/>
        <v>38790.9</v>
      </c>
      <c r="M295" s="35">
        <f t="shared" si="98"/>
        <v>461.79642857142858</v>
      </c>
      <c r="N295" s="35">
        <f t="shared" si="99"/>
        <v>5541.5571428571429</v>
      </c>
      <c r="O295" s="35">
        <f t="shared" si="100"/>
        <v>5541.5571428571429</v>
      </c>
      <c r="P295" s="35">
        <f t="shared" si="101"/>
        <v>22166.228571428572</v>
      </c>
      <c r="Q295" s="35">
        <f t="shared" si="102"/>
        <v>27707.785714285714</v>
      </c>
      <c r="R295" s="35">
        <f t="shared" si="103"/>
        <v>11083.114285714288</v>
      </c>
    </row>
    <row r="296" spans="1:18" s="59" customFormat="1">
      <c r="A296" s="53">
        <v>182634</v>
      </c>
      <c r="B296" s="59">
        <v>864</v>
      </c>
      <c r="C296" s="59" t="s">
        <v>619</v>
      </c>
      <c r="D296" s="59">
        <v>2017</v>
      </c>
      <c r="E296" s="59">
        <v>5</v>
      </c>
      <c r="F296" s="59">
        <v>0</v>
      </c>
      <c r="G296" s="59" t="s">
        <v>78</v>
      </c>
      <c r="H296" s="28">
        <v>7</v>
      </c>
      <c r="I296" s="59">
        <f t="shared" si="95"/>
        <v>2024</v>
      </c>
      <c r="J296" s="34">
        <f t="shared" si="96"/>
        <v>2024.4166666666667</v>
      </c>
      <c r="K296" s="35">
        <v>38790.980000000003</v>
      </c>
      <c r="L296" s="35">
        <f t="shared" si="97"/>
        <v>38790.980000000003</v>
      </c>
      <c r="M296" s="35">
        <f t="shared" si="98"/>
        <v>461.79738095238099</v>
      </c>
      <c r="N296" s="35">
        <f t="shared" si="99"/>
        <v>5541.5685714285719</v>
      </c>
      <c r="O296" s="35">
        <f t="shared" si="100"/>
        <v>5541.5685714285719</v>
      </c>
      <c r="P296" s="35">
        <f t="shared" si="101"/>
        <v>22166.274285714288</v>
      </c>
      <c r="Q296" s="35">
        <f t="shared" si="102"/>
        <v>27707.842857142859</v>
      </c>
      <c r="R296" s="35">
        <f t="shared" si="103"/>
        <v>11083.137142857144</v>
      </c>
    </row>
    <row r="297" spans="1:18" s="59" customFormat="1">
      <c r="A297" s="53">
        <v>183937</v>
      </c>
      <c r="B297" s="59">
        <v>945</v>
      </c>
      <c r="C297" s="59" t="s">
        <v>615</v>
      </c>
      <c r="D297" s="59">
        <v>2017</v>
      </c>
      <c r="E297" s="59">
        <v>6</v>
      </c>
      <c r="F297" s="59">
        <v>0</v>
      </c>
      <c r="G297" s="59" t="s">
        <v>78</v>
      </c>
      <c r="H297" s="28">
        <v>7</v>
      </c>
      <c r="I297" s="59">
        <f t="shared" si="95"/>
        <v>2024</v>
      </c>
      <c r="J297" s="34">
        <f t="shared" si="96"/>
        <v>2024.5</v>
      </c>
      <c r="K297" s="35">
        <v>38071.93</v>
      </c>
      <c r="L297" s="35">
        <f t="shared" si="97"/>
        <v>38071.93</v>
      </c>
      <c r="M297" s="35">
        <f t="shared" si="98"/>
        <v>453.23726190476191</v>
      </c>
      <c r="N297" s="35">
        <f t="shared" si="99"/>
        <v>5438.8471428571429</v>
      </c>
      <c r="O297" s="35">
        <f t="shared" si="100"/>
        <v>5438.8471428571429</v>
      </c>
      <c r="P297" s="35">
        <f t="shared" si="101"/>
        <v>21755.388571428572</v>
      </c>
      <c r="Q297" s="35">
        <f t="shared" si="102"/>
        <v>27194.235714285714</v>
      </c>
      <c r="R297" s="35">
        <f t="shared" si="103"/>
        <v>10877.694285714286</v>
      </c>
    </row>
    <row r="298" spans="1:18" s="59" customFormat="1">
      <c r="A298" s="53">
        <v>183936</v>
      </c>
      <c r="B298" s="59">
        <v>624</v>
      </c>
      <c r="C298" s="59" t="s">
        <v>616</v>
      </c>
      <c r="D298" s="59">
        <v>2017</v>
      </c>
      <c r="E298" s="59">
        <v>6</v>
      </c>
      <c r="F298" s="59">
        <v>0</v>
      </c>
      <c r="G298" s="59" t="s">
        <v>78</v>
      </c>
      <c r="H298" s="28">
        <v>7</v>
      </c>
      <c r="I298" s="59">
        <f t="shared" si="95"/>
        <v>2024</v>
      </c>
      <c r="J298" s="34">
        <f t="shared" si="96"/>
        <v>2024.5</v>
      </c>
      <c r="K298" s="35">
        <v>32107.98</v>
      </c>
      <c r="L298" s="35">
        <f t="shared" si="97"/>
        <v>32107.98</v>
      </c>
      <c r="M298" s="35">
        <f t="shared" si="98"/>
        <v>382.23785714285714</v>
      </c>
      <c r="N298" s="35">
        <f t="shared" si="99"/>
        <v>4586.8542857142857</v>
      </c>
      <c r="O298" s="35">
        <f t="shared" si="100"/>
        <v>4586.8542857142857</v>
      </c>
      <c r="P298" s="35">
        <f t="shared" si="101"/>
        <v>18347.417142857143</v>
      </c>
      <c r="Q298" s="35">
        <f t="shared" si="102"/>
        <v>22934.271428571428</v>
      </c>
      <c r="R298" s="35">
        <f t="shared" si="103"/>
        <v>9173.7085714285713</v>
      </c>
    </row>
    <row r="299" spans="1:18" s="59" customFormat="1">
      <c r="A299" s="53">
        <v>188327</v>
      </c>
      <c r="B299" s="59">
        <v>945</v>
      </c>
      <c r="C299" s="59" t="s">
        <v>615</v>
      </c>
      <c r="D299" s="59">
        <v>2017</v>
      </c>
      <c r="E299" s="59">
        <v>10</v>
      </c>
      <c r="F299" s="59">
        <v>0</v>
      </c>
      <c r="G299" s="59" t="s">
        <v>78</v>
      </c>
      <c r="H299" s="28">
        <v>7</v>
      </c>
      <c r="I299" s="59">
        <f t="shared" si="95"/>
        <v>2024</v>
      </c>
      <c r="J299" s="34">
        <f t="shared" si="96"/>
        <v>2024.8333333333333</v>
      </c>
      <c r="K299" s="35">
        <v>38070.199999999997</v>
      </c>
      <c r="L299" s="35">
        <f t="shared" si="97"/>
        <v>38070.199999999997</v>
      </c>
      <c r="M299" s="35">
        <f t="shared" si="98"/>
        <v>453.21666666666664</v>
      </c>
      <c r="N299" s="35">
        <f t="shared" si="99"/>
        <v>5438.5999999999995</v>
      </c>
      <c r="O299" s="35">
        <f t="shared" si="100"/>
        <v>5438.5999999999995</v>
      </c>
      <c r="P299" s="35">
        <f t="shared" si="101"/>
        <v>21754.399999999998</v>
      </c>
      <c r="Q299" s="35">
        <f t="shared" si="102"/>
        <v>27192.999999999996</v>
      </c>
      <c r="R299" s="35">
        <f t="shared" si="103"/>
        <v>10877.2</v>
      </c>
    </row>
    <row r="300" spans="1:18" s="59" customFormat="1">
      <c r="A300" s="53">
        <v>189053</v>
      </c>
      <c r="B300" s="59">
        <v>945</v>
      </c>
      <c r="C300" s="59" t="s">
        <v>615</v>
      </c>
      <c r="D300" s="59">
        <v>2017</v>
      </c>
      <c r="E300" s="59">
        <v>11</v>
      </c>
      <c r="F300" s="59">
        <v>0</v>
      </c>
      <c r="G300" s="59" t="s">
        <v>78</v>
      </c>
      <c r="H300" s="28">
        <v>7</v>
      </c>
      <c r="I300" s="59">
        <f t="shared" si="95"/>
        <v>2024</v>
      </c>
      <c r="J300" s="34">
        <f t="shared" si="96"/>
        <v>2024.9166666666667</v>
      </c>
      <c r="K300" s="35">
        <v>38070.199999999997</v>
      </c>
      <c r="L300" s="35">
        <f t="shared" si="97"/>
        <v>38070.199999999997</v>
      </c>
      <c r="M300" s="35">
        <f t="shared" si="98"/>
        <v>453.21666666666664</v>
      </c>
      <c r="N300" s="35">
        <f t="shared" si="99"/>
        <v>5438.5999999999995</v>
      </c>
      <c r="O300" s="35">
        <f t="shared" si="100"/>
        <v>5438.5999999999995</v>
      </c>
      <c r="P300" s="35">
        <f t="shared" si="101"/>
        <v>21754.399999999998</v>
      </c>
      <c r="Q300" s="35">
        <f t="shared" si="102"/>
        <v>27192.999999999996</v>
      </c>
      <c r="R300" s="35">
        <f t="shared" si="103"/>
        <v>10877.2</v>
      </c>
    </row>
    <row r="301" spans="1:18" s="59" customFormat="1">
      <c r="A301" s="53">
        <v>190473</v>
      </c>
      <c r="B301" s="59">
        <v>432</v>
      </c>
      <c r="C301" s="59" t="s">
        <v>718</v>
      </c>
      <c r="D301" s="59">
        <v>2017</v>
      </c>
      <c r="E301" s="59">
        <v>11</v>
      </c>
      <c r="F301" s="59">
        <v>0</v>
      </c>
      <c r="G301" s="59" t="s">
        <v>78</v>
      </c>
      <c r="H301" s="28">
        <v>7</v>
      </c>
      <c r="I301" s="59">
        <f t="shared" si="95"/>
        <v>2024</v>
      </c>
      <c r="J301" s="34">
        <f t="shared" si="96"/>
        <v>2024.9166666666667</v>
      </c>
      <c r="K301" s="35">
        <v>19630.52</v>
      </c>
      <c r="L301" s="35">
        <f t="shared" si="97"/>
        <v>19630.52</v>
      </c>
      <c r="M301" s="35">
        <f t="shared" si="98"/>
        <v>233.69666666666669</v>
      </c>
      <c r="N301" s="35">
        <f t="shared" si="99"/>
        <v>2804.36</v>
      </c>
      <c r="O301" s="35">
        <f t="shared" si="100"/>
        <v>2804.36</v>
      </c>
      <c r="P301" s="35">
        <f t="shared" si="101"/>
        <v>11217.44</v>
      </c>
      <c r="Q301" s="35">
        <f t="shared" si="102"/>
        <v>14021.800000000001</v>
      </c>
      <c r="R301" s="35">
        <f t="shared" si="103"/>
        <v>5608.7199999999993</v>
      </c>
    </row>
    <row r="302" spans="1:18" s="59" customFormat="1">
      <c r="A302" s="53">
        <v>190472</v>
      </c>
      <c r="B302" s="59">
        <v>312</v>
      </c>
      <c r="C302" s="59" t="s">
        <v>616</v>
      </c>
      <c r="D302" s="59">
        <v>2017</v>
      </c>
      <c r="E302" s="59">
        <v>11</v>
      </c>
      <c r="F302" s="59">
        <v>0</v>
      </c>
      <c r="G302" s="59" t="s">
        <v>78</v>
      </c>
      <c r="H302" s="28">
        <v>7</v>
      </c>
      <c r="I302" s="59">
        <f t="shared" si="95"/>
        <v>2024</v>
      </c>
      <c r="J302" s="34">
        <f t="shared" si="96"/>
        <v>2024.9166666666667</v>
      </c>
      <c r="K302" s="35">
        <v>16402.71</v>
      </c>
      <c r="L302" s="35">
        <f t="shared" si="97"/>
        <v>16402.71</v>
      </c>
      <c r="M302" s="35">
        <f t="shared" si="98"/>
        <v>195.27035714285714</v>
      </c>
      <c r="N302" s="35">
        <f t="shared" si="99"/>
        <v>2343.2442857142855</v>
      </c>
      <c r="O302" s="35">
        <f t="shared" si="100"/>
        <v>2343.2442857142855</v>
      </c>
      <c r="P302" s="35">
        <f t="shared" si="101"/>
        <v>9372.9771428571421</v>
      </c>
      <c r="Q302" s="35">
        <f t="shared" si="102"/>
        <v>11716.221428571427</v>
      </c>
      <c r="R302" s="35">
        <f t="shared" si="103"/>
        <v>4686.488571428572</v>
      </c>
    </row>
    <row r="303" spans="1:18" s="59" customFormat="1">
      <c r="A303" s="53">
        <v>199449</v>
      </c>
      <c r="B303" s="59">
        <v>864</v>
      </c>
      <c r="C303" s="59" t="s">
        <v>738</v>
      </c>
      <c r="D303" s="59">
        <v>2018</v>
      </c>
      <c r="E303" s="59">
        <v>3</v>
      </c>
      <c r="F303" s="59">
        <v>0</v>
      </c>
      <c r="G303" s="59" t="s">
        <v>78</v>
      </c>
      <c r="H303" s="28">
        <v>7</v>
      </c>
      <c r="I303" s="59">
        <f t="shared" si="95"/>
        <v>2025</v>
      </c>
      <c r="J303" s="34">
        <f t="shared" si="96"/>
        <v>2025.25</v>
      </c>
      <c r="K303" s="35">
        <v>39644.51</v>
      </c>
      <c r="L303" s="35">
        <f t="shared" si="97"/>
        <v>39644.51</v>
      </c>
      <c r="M303" s="35">
        <f t="shared" si="98"/>
        <v>471.95845238095239</v>
      </c>
      <c r="N303" s="35">
        <f t="shared" si="99"/>
        <v>5663.5014285714287</v>
      </c>
      <c r="O303" s="35">
        <f t="shared" si="100"/>
        <v>5663.5014285714287</v>
      </c>
      <c r="P303" s="35">
        <f t="shared" si="101"/>
        <v>16990.504285714287</v>
      </c>
      <c r="Q303" s="35">
        <f t="shared" si="102"/>
        <v>22654.005714285715</v>
      </c>
      <c r="R303" s="35">
        <f t="shared" si="103"/>
        <v>16990.504285714287</v>
      </c>
    </row>
    <row r="304" spans="1:18" s="59" customFormat="1">
      <c r="A304" s="53">
        <v>199444</v>
      </c>
      <c r="B304" s="59">
        <v>945</v>
      </c>
      <c r="C304" s="59" t="s">
        <v>735</v>
      </c>
      <c r="D304" s="59">
        <v>2018</v>
      </c>
      <c r="E304" s="59">
        <v>4</v>
      </c>
      <c r="F304" s="59">
        <v>0</v>
      </c>
      <c r="G304" s="59" t="s">
        <v>78</v>
      </c>
      <c r="H304" s="28">
        <v>7</v>
      </c>
      <c r="I304" s="59">
        <f t="shared" si="95"/>
        <v>2025</v>
      </c>
      <c r="J304" s="34">
        <f t="shared" si="96"/>
        <v>2025.3333333333333</v>
      </c>
      <c r="K304" s="35">
        <v>37863.78</v>
      </c>
      <c r="L304" s="35">
        <f t="shared" si="97"/>
        <v>37863.78</v>
      </c>
      <c r="M304" s="35">
        <f t="shared" si="98"/>
        <v>450.75928571428568</v>
      </c>
      <c r="N304" s="35">
        <f t="shared" si="99"/>
        <v>5409.1114285714284</v>
      </c>
      <c r="O304" s="35">
        <f t="shared" si="100"/>
        <v>5409.1114285714284</v>
      </c>
      <c r="P304" s="35">
        <f t="shared" si="101"/>
        <v>16227.334285714285</v>
      </c>
      <c r="Q304" s="35">
        <f t="shared" si="102"/>
        <v>21636.445714285714</v>
      </c>
      <c r="R304" s="35">
        <f t="shared" si="103"/>
        <v>16227.334285714285</v>
      </c>
    </row>
    <row r="305" spans="1:18" s="59" customFormat="1">
      <c r="A305" s="53">
        <v>199447</v>
      </c>
      <c r="B305" s="59">
        <v>432</v>
      </c>
      <c r="C305" s="59" t="s">
        <v>737</v>
      </c>
      <c r="D305" s="59">
        <v>2018</v>
      </c>
      <c r="E305" s="59">
        <v>4</v>
      </c>
      <c r="F305" s="59">
        <v>0</v>
      </c>
      <c r="G305" s="59" t="s">
        <v>78</v>
      </c>
      <c r="H305" s="28">
        <v>7</v>
      </c>
      <c r="I305" s="59">
        <f t="shared" si="95"/>
        <v>2025</v>
      </c>
      <c r="J305" s="34">
        <f t="shared" si="96"/>
        <v>2025.3333333333333</v>
      </c>
      <c r="K305" s="35">
        <v>20942.36</v>
      </c>
      <c r="L305" s="35">
        <f t="shared" si="97"/>
        <v>20942.36</v>
      </c>
      <c r="M305" s="35">
        <f t="shared" si="98"/>
        <v>249.31380952380951</v>
      </c>
      <c r="N305" s="35">
        <f t="shared" si="99"/>
        <v>2991.7657142857142</v>
      </c>
      <c r="O305" s="35">
        <f t="shared" si="100"/>
        <v>2991.7657142857142</v>
      </c>
      <c r="P305" s="35">
        <f t="shared" si="101"/>
        <v>8975.2971428571436</v>
      </c>
      <c r="Q305" s="35">
        <f t="shared" si="102"/>
        <v>11967.062857142857</v>
      </c>
      <c r="R305" s="35">
        <f t="shared" si="103"/>
        <v>8975.2971428571436</v>
      </c>
    </row>
    <row r="306" spans="1:18" s="59" customFormat="1">
      <c r="A306" s="53">
        <v>199446</v>
      </c>
      <c r="B306" s="59">
        <v>312</v>
      </c>
      <c r="C306" s="59" t="s">
        <v>736</v>
      </c>
      <c r="D306" s="59">
        <v>2018</v>
      </c>
      <c r="E306" s="59">
        <v>4</v>
      </c>
      <c r="F306" s="59">
        <v>0</v>
      </c>
      <c r="G306" s="59" t="s">
        <v>78</v>
      </c>
      <c r="H306" s="28">
        <v>7</v>
      </c>
      <c r="I306" s="59">
        <f t="shared" si="95"/>
        <v>2025</v>
      </c>
      <c r="J306" s="34">
        <f t="shared" si="96"/>
        <v>2025.3333333333333</v>
      </c>
      <c r="K306" s="35">
        <v>17734.16</v>
      </c>
      <c r="L306" s="35">
        <f t="shared" si="97"/>
        <v>17734.16</v>
      </c>
      <c r="M306" s="35">
        <f t="shared" si="98"/>
        <v>211.12095238095239</v>
      </c>
      <c r="N306" s="35">
        <f t="shared" si="99"/>
        <v>2533.4514285714286</v>
      </c>
      <c r="O306" s="35">
        <f t="shared" si="100"/>
        <v>2533.4514285714286</v>
      </c>
      <c r="P306" s="35">
        <f t="shared" si="101"/>
        <v>7600.3542857142857</v>
      </c>
      <c r="Q306" s="35">
        <f t="shared" si="102"/>
        <v>10133.805714285714</v>
      </c>
      <c r="R306" s="35">
        <f t="shared" si="103"/>
        <v>7600.3542857142857</v>
      </c>
    </row>
    <row r="307" spans="1:18" s="59" customFormat="1">
      <c r="A307" s="53">
        <v>202193</v>
      </c>
      <c r="B307" s="59">
        <v>864</v>
      </c>
      <c r="C307" s="59" t="s">
        <v>737</v>
      </c>
      <c r="D307" s="59">
        <v>2018</v>
      </c>
      <c r="E307" s="59">
        <v>7</v>
      </c>
      <c r="F307" s="59">
        <v>0</v>
      </c>
      <c r="G307" s="59" t="s">
        <v>78</v>
      </c>
      <c r="H307" s="28">
        <v>7</v>
      </c>
      <c r="I307" s="59">
        <f t="shared" si="95"/>
        <v>2025</v>
      </c>
      <c r="J307" s="34">
        <f t="shared" si="96"/>
        <v>2025.5833333333333</v>
      </c>
      <c r="K307" s="35">
        <v>39852.21</v>
      </c>
      <c r="L307" s="35">
        <f t="shared" si="97"/>
        <v>39852.21</v>
      </c>
      <c r="M307" s="35">
        <f t="shared" si="98"/>
        <v>474.43107142857139</v>
      </c>
      <c r="N307" s="35">
        <f t="shared" si="99"/>
        <v>5693.1728571428566</v>
      </c>
      <c r="O307" s="35">
        <f t="shared" si="100"/>
        <v>5693.1728571428566</v>
      </c>
      <c r="P307" s="35">
        <f t="shared" si="101"/>
        <v>17079.518571428569</v>
      </c>
      <c r="Q307" s="35">
        <f t="shared" si="102"/>
        <v>22772.691428571427</v>
      </c>
      <c r="R307" s="35">
        <f t="shared" si="103"/>
        <v>17079.518571428573</v>
      </c>
    </row>
    <row r="308" spans="1:18" s="59" customFormat="1">
      <c r="A308" s="53">
        <v>204246</v>
      </c>
      <c r="B308" s="59">
        <v>468</v>
      </c>
      <c r="C308" s="59" t="s">
        <v>735</v>
      </c>
      <c r="D308" s="59">
        <v>2018</v>
      </c>
      <c r="E308" s="59">
        <v>8</v>
      </c>
      <c r="F308" s="59">
        <v>0</v>
      </c>
      <c r="G308" s="59" t="s">
        <v>78</v>
      </c>
      <c r="H308" s="28">
        <v>7</v>
      </c>
      <c r="I308" s="59">
        <f t="shared" si="95"/>
        <v>2025</v>
      </c>
      <c r="J308" s="34">
        <f t="shared" si="96"/>
        <v>2025.6666666666667</v>
      </c>
      <c r="K308" s="35">
        <v>18944.09</v>
      </c>
      <c r="L308" s="35">
        <f t="shared" si="97"/>
        <v>18944.09</v>
      </c>
      <c r="M308" s="35">
        <f t="shared" si="98"/>
        <v>225.52488095238095</v>
      </c>
      <c r="N308" s="35">
        <f t="shared" si="99"/>
        <v>2706.2985714285714</v>
      </c>
      <c r="O308" s="35">
        <f t="shared" si="100"/>
        <v>2706.2985714285714</v>
      </c>
      <c r="P308" s="35">
        <f t="shared" si="101"/>
        <v>8118.8957142857143</v>
      </c>
      <c r="Q308" s="35">
        <f t="shared" si="102"/>
        <v>10825.194285714286</v>
      </c>
      <c r="R308" s="35">
        <f t="shared" si="103"/>
        <v>8118.8957142857143</v>
      </c>
    </row>
    <row r="309" spans="1:18" s="59" customFormat="1">
      <c r="A309" s="53">
        <v>202192</v>
      </c>
      <c r="B309" s="59">
        <v>624</v>
      </c>
      <c r="C309" s="59" t="s">
        <v>739</v>
      </c>
      <c r="D309" s="59">
        <v>2018</v>
      </c>
      <c r="E309" s="59">
        <v>8</v>
      </c>
      <c r="F309" s="59">
        <v>0</v>
      </c>
      <c r="G309" s="59" t="s">
        <v>78</v>
      </c>
      <c r="H309" s="28">
        <v>7</v>
      </c>
      <c r="I309" s="59">
        <f t="shared" si="95"/>
        <v>2025</v>
      </c>
      <c r="J309" s="34">
        <f t="shared" si="96"/>
        <v>2025.6666666666667</v>
      </c>
      <c r="K309" s="35">
        <v>33435.82</v>
      </c>
      <c r="L309" s="35">
        <f t="shared" si="97"/>
        <v>33435.82</v>
      </c>
      <c r="M309" s="35">
        <f t="shared" si="98"/>
        <v>398.04547619047617</v>
      </c>
      <c r="N309" s="35">
        <f t="shared" si="99"/>
        <v>4776.545714285714</v>
      </c>
      <c r="O309" s="35">
        <f t="shared" si="100"/>
        <v>4776.545714285714</v>
      </c>
      <c r="P309" s="35">
        <f t="shared" si="101"/>
        <v>14329.637142857142</v>
      </c>
      <c r="Q309" s="35">
        <f t="shared" si="102"/>
        <v>19106.182857142856</v>
      </c>
      <c r="R309" s="35">
        <f t="shared" si="103"/>
        <v>14329.637142857144</v>
      </c>
    </row>
    <row r="310" spans="1:18" s="59" customFormat="1">
      <c r="A310" s="53">
        <v>202191</v>
      </c>
      <c r="B310" s="59">
        <v>624</v>
      </c>
      <c r="C310" s="59" t="s">
        <v>736</v>
      </c>
      <c r="D310" s="59">
        <v>2018</v>
      </c>
      <c r="E310" s="59">
        <v>8</v>
      </c>
      <c r="F310" s="59">
        <v>0</v>
      </c>
      <c r="G310" s="59" t="s">
        <v>78</v>
      </c>
      <c r="H310" s="28">
        <v>7</v>
      </c>
      <c r="I310" s="59">
        <f t="shared" si="95"/>
        <v>2025</v>
      </c>
      <c r="J310" s="34">
        <f t="shared" si="96"/>
        <v>2025.6666666666667</v>
      </c>
      <c r="K310" s="35">
        <v>33435.82</v>
      </c>
      <c r="L310" s="35">
        <f t="shared" si="97"/>
        <v>33435.82</v>
      </c>
      <c r="M310" s="35">
        <f t="shared" si="98"/>
        <v>398.04547619047617</v>
      </c>
      <c r="N310" s="35">
        <f t="shared" si="99"/>
        <v>4776.545714285714</v>
      </c>
      <c r="O310" s="35">
        <f t="shared" si="100"/>
        <v>4776.545714285714</v>
      </c>
      <c r="P310" s="35">
        <f t="shared" si="101"/>
        <v>14329.637142857142</v>
      </c>
      <c r="Q310" s="35">
        <f t="shared" si="102"/>
        <v>19106.182857142856</v>
      </c>
      <c r="R310" s="35">
        <f t="shared" si="103"/>
        <v>14329.637142857144</v>
      </c>
    </row>
    <row r="311" spans="1:18" s="59" customFormat="1">
      <c r="A311" s="53">
        <v>205650</v>
      </c>
      <c r="B311" s="59">
        <v>864</v>
      </c>
      <c r="C311" s="59" t="s">
        <v>738</v>
      </c>
      <c r="D311" s="59">
        <v>2018</v>
      </c>
      <c r="E311" s="59">
        <v>10</v>
      </c>
      <c r="F311" s="59">
        <v>0</v>
      </c>
      <c r="G311" s="59" t="s">
        <v>78</v>
      </c>
      <c r="H311" s="28">
        <v>7</v>
      </c>
      <c r="I311" s="59">
        <f t="shared" si="95"/>
        <v>2025</v>
      </c>
      <c r="J311" s="34">
        <f t="shared" si="96"/>
        <v>2025.8333333333333</v>
      </c>
      <c r="K311" s="35">
        <v>39779.9</v>
      </c>
      <c r="L311" s="35">
        <f t="shared" si="97"/>
        <v>39779.9</v>
      </c>
      <c r="M311" s="35">
        <f t="shared" si="98"/>
        <v>473.57023809523815</v>
      </c>
      <c r="N311" s="35">
        <f t="shared" si="99"/>
        <v>5682.8428571428576</v>
      </c>
      <c r="O311" s="35">
        <f t="shared" si="100"/>
        <v>5682.8428571428576</v>
      </c>
      <c r="P311" s="35">
        <f t="shared" si="101"/>
        <v>17048.528571428571</v>
      </c>
      <c r="Q311" s="35">
        <f t="shared" si="102"/>
        <v>22731.37142857143</v>
      </c>
      <c r="R311" s="35">
        <f t="shared" si="103"/>
        <v>17048.528571428571</v>
      </c>
    </row>
    <row r="312" spans="1:18" s="59" customFormat="1">
      <c r="A312" s="53">
        <v>210119</v>
      </c>
      <c r="B312" s="59">
        <v>945</v>
      </c>
      <c r="C312" s="56" t="s">
        <v>801</v>
      </c>
      <c r="D312" s="59">
        <v>2019</v>
      </c>
      <c r="E312" s="59">
        <v>1</v>
      </c>
      <c r="F312" s="59">
        <v>0</v>
      </c>
      <c r="G312" s="56" t="s">
        <v>78</v>
      </c>
      <c r="H312" s="28">
        <v>7</v>
      </c>
      <c r="I312" s="59">
        <f t="shared" si="95"/>
        <v>2026</v>
      </c>
      <c r="J312" s="34">
        <f t="shared" si="96"/>
        <v>2026.0833333333333</v>
      </c>
      <c r="K312" s="35">
        <v>37953.050000000003</v>
      </c>
      <c r="L312" s="35">
        <f t="shared" si="97"/>
        <v>37953.050000000003</v>
      </c>
      <c r="M312" s="35">
        <f t="shared" si="98"/>
        <v>451.82202380952384</v>
      </c>
      <c r="N312" s="35">
        <f t="shared" si="99"/>
        <v>5421.8642857142859</v>
      </c>
      <c r="O312" s="35">
        <f t="shared" si="100"/>
        <v>5421.8642857142859</v>
      </c>
      <c r="P312" s="35">
        <f t="shared" si="101"/>
        <v>10843.728571428572</v>
      </c>
      <c r="Q312" s="35">
        <f t="shared" si="102"/>
        <v>16265.592857142858</v>
      </c>
      <c r="R312" s="35">
        <f t="shared" si="103"/>
        <v>21687.457142857143</v>
      </c>
    </row>
    <row r="313" spans="1:18" s="59" customFormat="1">
      <c r="A313" s="53">
        <v>210118</v>
      </c>
      <c r="B313" s="59">
        <v>864</v>
      </c>
      <c r="C313" s="56" t="s">
        <v>737</v>
      </c>
      <c r="D313" s="59">
        <v>2019</v>
      </c>
      <c r="E313" s="59">
        <v>1</v>
      </c>
      <c r="F313" s="59">
        <v>0</v>
      </c>
      <c r="G313" s="56" t="s">
        <v>78</v>
      </c>
      <c r="H313" s="28">
        <v>7</v>
      </c>
      <c r="I313" s="59">
        <f t="shared" si="95"/>
        <v>2026</v>
      </c>
      <c r="J313" s="34">
        <f t="shared" si="96"/>
        <v>2026.0833333333333</v>
      </c>
      <c r="K313" s="35">
        <v>39187.980000000003</v>
      </c>
      <c r="L313" s="35">
        <f t="shared" si="97"/>
        <v>39187.980000000003</v>
      </c>
      <c r="M313" s="35">
        <f t="shared" si="98"/>
        <v>466.52357142857142</v>
      </c>
      <c r="N313" s="35">
        <f t="shared" si="99"/>
        <v>5598.2828571428572</v>
      </c>
      <c r="O313" s="35">
        <f t="shared" si="100"/>
        <v>5598.2828571428572</v>
      </c>
      <c r="P313" s="35">
        <f t="shared" si="101"/>
        <v>11196.565714285714</v>
      </c>
      <c r="Q313" s="35">
        <f t="shared" si="102"/>
        <v>16794.848571428571</v>
      </c>
      <c r="R313" s="35">
        <f t="shared" si="103"/>
        <v>22393.131428571432</v>
      </c>
    </row>
    <row r="314" spans="1:18" s="59" customFormat="1">
      <c r="A314" s="53">
        <v>210121</v>
      </c>
      <c r="B314" s="59">
        <v>624</v>
      </c>
      <c r="C314" s="33" t="s">
        <v>736</v>
      </c>
      <c r="D314" s="59">
        <v>2019</v>
      </c>
      <c r="E314" s="59">
        <v>1</v>
      </c>
      <c r="F314" s="59">
        <v>0</v>
      </c>
      <c r="G314" s="33" t="s">
        <v>78</v>
      </c>
      <c r="H314" s="28">
        <v>7</v>
      </c>
      <c r="I314" s="59">
        <f t="shared" si="95"/>
        <v>2026</v>
      </c>
      <c r="J314" s="34">
        <f t="shared" si="96"/>
        <v>2026.0833333333333</v>
      </c>
      <c r="K314" s="35">
        <v>31843.759999999998</v>
      </c>
      <c r="L314" s="35">
        <f t="shared" si="97"/>
        <v>31843.759999999998</v>
      </c>
      <c r="M314" s="35">
        <f t="shared" si="98"/>
        <v>379.09238095238089</v>
      </c>
      <c r="N314" s="35">
        <f t="shared" si="99"/>
        <v>4549.1085714285709</v>
      </c>
      <c r="O314" s="35">
        <f t="shared" si="100"/>
        <v>4549.1085714285709</v>
      </c>
      <c r="P314" s="35">
        <f t="shared" si="101"/>
        <v>9098.2171428571419</v>
      </c>
      <c r="Q314" s="35">
        <f t="shared" si="102"/>
        <v>13647.325714285713</v>
      </c>
      <c r="R314" s="35">
        <f t="shared" si="103"/>
        <v>18196.434285714284</v>
      </c>
    </row>
    <row r="315" spans="1:18" s="59" customFormat="1">
      <c r="A315" s="53">
        <v>213901</v>
      </c>
      <c r="B315" s="59">
        <v>864</v>
      </c>
      <c r="C315" s="33" t="s">
        <v>808</v>
      </c>
      <c r="D315" s="59">
        <v>2019</v>
      </c>
      <c r="E315" s="59">
        <v>5</v>
      </c>
      <c r="F315" s="59">
        <v>0</v>
      </c>
      <c r="G315" s="33" t="s">
        <v>78</v>
      </c>
      <c r="H315" s="28">
        <v>7</v>
      </c>
      <c r="I315" s="59">
        <f t="shared" si="95"/>
        <v>2026</v>
      </c>
      <c r="J315" s="34">
        <f t="shared" si="96"/>
        <v>2026.4166666666667</v>
      </c>
      <c r="K315" s="35">
        <v>37698.53</v>
      </c>
      <c r="L315" s="35">
        <f t="shared" si="97"/>
        <v>37698.53</v>
      </c>
      <c r="M315" s="35">
        <f t="shared" si="98"/>
        <v>448.79202380952376</v>
      </c>
      <c r="N315" s="35">
        <f t="shared" si="99"/>
        <v>5385.5042857142853</v>
      </c>
      <c r="O315" s="35">
        <f t="shared" si="100"/>
        <v>5385.5042857142853</v>
      </c>
      <c r="P315" s="35">
        <f t="shared" si="101"/>
        <v>10771.008571428571</v>
      </c>
      <c r="Q315" s="35">
        <f t="shared" si="102"/>
        <v>16156.512857142856</v>
      </c>
      <c r="R315" s="35">
        <f t="shared" si="103"/>
        <v>21542.017142857141</v>
      </c>
    </row>
    <row r="316" spans="1:18" s="59" customFormat="1">
      <c r="A316" s="53">
        <v>215135</v>
      </c>
      <c r="B316" s="59">
        <v>472</v>
      </c>
      <c r="C316" s="33" t="s">
        <v>615</v>
      </c>
      <c r="D316" s="59">
        <v>2019</v>
      </c>
      <c r="E316" s="59">
        <v>5</v>
      </c>
      <c r="F316" s="59">
        <v>0</v>
      </c>
      <c r="G316" s="33" t="s">
        <v>78</v>
      </c>
      <c r="H316" s="28">
        <v>7</v>
      </c>
      <c r="I316" s="59">
        <f t="shared" ref="I316:I317" si="104">D316+H316</f>
        <v>2026</v>
      </c>
      <c r="J316" s="34">
        <f t="shared" ref="J316:J317" si="105">+I316+(E316/12)</f>
        <v>2026.4166666666667</v>
      </c>
      <c r="K316" s="35">
        <v>18015.09</v>
      </c>
      <c r="L316" s="35">
        <f t="shared" ref="L316:L317" si="106">K316-K316*F316</f>
        <v>18015.09</v>
      </c>
      <c r="M316" s="35">
        <f t="shared" ref="M316:M317" si="107">L316/H316/12</f>
        <v>214.46535714285713</v>
      </c>
      <c r="N316" s="35">
        <f t="shared" ref="N316:N317" si="108">+M316*12</f>
        <v>2573.5842857142857</v>
      </c>
      <c r="O316" s="35">
        <f t="shared" ref="O316:O317" si="109">+IF(J316&lt;=$L$5,0,IF(I316&gt;$L$4,N316,(M316*E316)))</f>
        <v>2573.5842857142857</v>
      </c>
      <c r="P316" s="35">
        <f t="shared" ref="P316:P317" si="110">+IF(O316=0,L316,IF($L$3-D316&lt;1,0,(($L$3-D316)*O316)))</f>
        <v>5147.1685714285713</v>
      </c>
      <c r="Q316" s="35">
        <f t="shared" ref="Q316:Q317" si="111">+IF(O316=0,P316,P316+O316)</f>
        <v>7720.7528571428575</v>
      </c>
      <c r="R316" s="35">
        <f t="shared" ref="R316:R317" si="112">+K316-Q316</f>
        <v>10294.337142857143</v>
      </c>
    </row>
    <row r="317" spans="1:18" s="59" customFormat="1">
      <c r="A317" s="53">
        <v>215134</v>
      </c>
      <c r="B317" s="59">
        <v>624</v>
      </c>
      <c r="C317" s="33" t="s">
        <v>616</v>
      </c>
      <c r="D317" s="59">
        <v>2019</v>
      </c>
      <c r="E317" s="59">
        <v>5</v>
      </c>
      <c r="F317" s="59">
        <v>0</v>
      </c>
      <c r="G317" s="33" t="s">
        <v>78</v>
      </c>
      <c r="H317" s="28">
        <v>7</v>
      </c>
      <c r="I317" s="59">
        <f t="shared" si="104"/>
        <v>2026</v>
      </c>
      <c r="J317" s="34">
        <f t="shared" si="105"/>
        <v>2026.4166666666667</v>
      </c>
      <c r="K317" s="35">
        <v>30295.86</v>
      </c>
      <c r="L317" s="35">
        <f t="shared" si="106"/>
        <v>30295.86</v>
      </c>
      <c r="M317" s="35">
        <f t="shared" si="107"/>
        <v>360.66500000000002</v>
      </c>
      <c r="N317" s="35">
        <f t="shared" si="108"/>
        <v>4327.9800000000005</v>
      </c>
      <c r="O317" s="35">
        <f t="shared" si="109"/>
        <v>4327.9800000000005</v>
      </c>
      <c r="P317" s="35">
        <f t="shared" si="110"/>
        <v>8655.9600000000009</v>
      </c>
      <c r="Q317" s="35">
        <f t="shared" si="111"/>
        <v>12983.940000000002</v>
      </c>
      <c r="R317" s="35">
        <f t="shared" si="112"/>
        <v>17311.919999999998</v>
      </c>
    </row>
    <row r="318" spans="1:18" s="59" customFormat="1">
      <c r="A318" s="53">
        <v>221428</v>
      </c>
      <c r="B318" s="59">
        <v>864</v>
      </c>
      <c r="C318" s="33" t="s">
        <v>820</v>
      </c>
      <c r="D318" s="59">
        <v>2019</v>
      </c>
      <c r="E318" s="59">
        <v>9</v>
      </c>
      <c r="F318" s="59">
        <v>0</v>
      </c>
      <c r="G318" s="33" t="s">
        <v>78</v>
      </c>
      <c r="H318" s="28">
        <v>7</v>
      </c>
      <c r="I318" s="59">
        <f t="shared" ref="I318" si="113">D318+H318</f>
        <v>2026</v>
      </c>
      <c r="J318" s="34">
        <f t="shared" ref="J318" si="114">+I318+(E318/12)</f>
        <v>2026.75</v>
      </c>
      <c r="K318" s="35">
        <v>38397.360000000001</v>
      </c>
      <c r="L318" s="35">
        <f t="shared" ref="L318" si="115">K318-K318*F318</f>
        <v>38397.360000000001</v>
      </c>
      <c r="M318" s="35">
        <f t="shared" ref="M318" si="116">L318/H318/12</f>
        <v>457.11142857142858</v>
      </c>
      <c r="N318" s="35">
        <f t="shared" ref="N318" si="117">+M318*12</f>
        <v>5485.3371428571427</v>
      </c>
      <c r="O318" s="35">
        <f t="shared" ref="O318" si="118">+IF(J318&lt;=$L$5,0,IF(I318&gt;$L$4,N318,(M318*E318)))</f>
        <v>5485.3371428571427</v>
      </c>
      <c r="P318" s="35">
        <f t="shared" ref="P318" si="119">+IF(O318=0,L318,IF($L$3-D318&lt;1,0,(($L$3-D318)*O318)))</f>
        <v>10970.674285714285</v>
      </c>
      <c r="Q318" s="35">
        <f t="shared" ref="Q318" si="120">+IF(O318=0,P318,P318+O318)</f>
        <v>16456.01142857143</v>
      </c>
      <c r="R318" s="35">
        <f t="shared" ref="R318" si="121">+K318-Q318</f>
        <v>21941.348571428571</v>
      </c>
    </row>
    <row r="319" spans="1:18" s="59" customFormat="1" ht="11.25" customHeight="1">
      <c r="A319" s="53">
        <v>221711</v>
      </c>
      <c r="B319" s="59">
        <v>475</v>
      </c>
      <c r="C319" s="33" t="s">
        <v>821</v>
      </c>
      <c r="D319" s="59">
        <v>2019</v>
      </c>
      <c r="E319" s="59">
        <v>9</v>
      </c>
      <c r="F319" s="59">
        <v>0</v>
      </c>
      <c r="G319" s="33" t="s">
        <v>78</v>
      </c>
      <c r="H319" s="28">
        <v>7</v>
      </c>
      <c r="I319" s="59">
        <f t="shared" ref="I319:I328" si="122">D319+H319</f>
        <v>2026</v>
      </c>
      <c r="J319" s="34">
        <f t="shared" ref="J319:J328" si="123">+I319+(E319/12)</f>
        <v>2026.75</v>
      </c>
      <c r="K319" s="35">
        <v>16956.259999999998</v>
      </c>
      <c r="L319" s="35">
        <f t="shared" ref="L319:L323" si="124">K319-K319*F319</f>
        <v>16956.259999999998</v>
      </c>
      <c r="M319" s="35">
        <f t="shared" ref="M319:M323" si="125">L319/H319/12</f>
        <v>201.86023809523806</v>
      </c>
      <c r="N319" s="35">
        <f t="shared" ref="N319:N323" si="126">+M319*12</f>
        <v>2422.3228571428567</v>
      </c>
      <c r="O319" s="35">
        <f t="shared" ref="O319:O323" si="127">+IF(J319&lt;=$L$5,0,IF(I319&gt;$L$4,N319,(M319*E319)))</f>
        <v>2422.3228571428567</v>
      </c>
      <c r="P319" s="35">
        <f t="shared" ref="P319:P323" si="128">+IF(O319=0,L319,IF($L$3-D319&lt;1,0,(($L$3-D319)*O319)))</f>
        <v>4844.6457142857134</v>
      </c>
      <c r="Q319" s="35">
        <f t="shared" ref="Q319:Q323" si="129">+IF(O319=0,P319,P319+O319)</f>
        <v>7266.9685714285697</v>
      </c>
      <c r="R319" s="35">
        <f t="shared" ref="R319:R323" si="130">+K319-Q319</f>
        <v>9689.2914285714287</v>
      </c>
    </row>
    <row r="320" spans="1:18" s="59" customFormat="1">
      <c r="A320" s="53">
        <v>221710</v>
      </c>
      <c r="B320" s="59">
        <v>945</v>
      </c>
      <c r="C320" s="33" t="s">
        <v>735</v>
      </c>
      <c r="D320" s="59">
        <v>2019</v>
      </c>
      <c r="E320" s="59">
        <v>9</v>
      </c>
      <c r="F320" s="59">
        <v>0</v>
      </c>
      <c r="G320" s="33" t="s">
        <v>78</v>
      </c>
      <c r="H320" s="28">
        <v>7</v>
      </c>
      <c r="I320" s="59">
        <f t="shared" si="122"/>
        <v>2026</v>
      </c>
      <c r="J320" s="34">
        <f t="shared" si="123"/>
        <v>2026.75</v>
      </c>
      <c r="K320" s="35">
        <v>37349.120000000003</v>
      </c>
      <c r="L320" s="35">
        <f t="shared" si="124"/>
        <v>37349.120000000003</v>
      </c>
      <c r="M320" s="35">
        <f t="shared" si="125"/>
        <v>444.63238095238097</v>
      </c>
      <c r="N320" s="35">
        <f t="shared" si="126"/>
        <v>5335.5885714285714</v>
      </c>
      <c r="O320" s="35">
        <f t="shared" si="127"/>
        <v>5335.5885714285714</v>
      </c>
      <c r="P320" s="35">
        <f t="shared" si="128"/>
        <v>10671.177142857143</v>
      </c>
      <c r="Q320" s="35">
        <f t="shared" si="129"/>
        <v>16006.765714285713</v>
      </c>
      <c r="R320" s="35">
        <f t="shared" si="130"/>
        <v>21342.354285714289</v>
      </c>
    </row>
    <row r="321" spans="1:18" s="59" customFormat="1">
      <c r="A321" s="53">
        <v>221709</v>
      </c>
      <c r="B321" s="59">
        <v>312</v>
      </c>
      <c r="C321" s="33" t="s">
        <v>736</v>
      </c>
      <c r="D321" s="59">
        <v>2019</v>
      </c>
      <c r="E321" s="59">
        <v>9</v>
      </c>
      <c r="F321" s="59">
        <v>0</v>
      </c>
      <c r="G321" s="33" t="s">
        <v>78</v>
      </c>
      <c r="H321" s="28">
        <v>7</v>
      </c>
      <c r="I321" s="59">
        <f t="shared" si="122"/>
        <v>2026</v>
      </c>
      <c r="J321" s="34">
        <f t="shared" si="123"/>
        <v>2026.75</v>
      </c>
      <c r="K321" s="35">
        <v>15229.77</v>
      </c>
      <c r="L321" s="35">
        <f t="shared" si="124"/>
        <v>15229.77</v>
      </c>
      <c r="M321" s="35">
        <f t="shared" si="125"/>
        <v>181.30678571428572</v>
      </c>
      <c r="N321" s="35">
        <f t="shared" si="126"/>
        <v>2175.6814285714286</v>
      </c>
      <c r="O321" s="35">
        <f t="shared" si="127"/>
        <v>2175.6814285714286</v>
      </c>
      <c r="P321" s="35">
        <f t="shared" si="128"/>
        <v>4351.3628571428571</v>
      </c>
      <c r="Q321" s="35">
        <f t="shared" si="129"/>
        <v>6527.0442857142862</v>
      </c>
      <c r="R321" s="35">
        <f t="shared" si="130"/>
        <v>8702.7257142857143</v>
      </c>
    </row>
    <row r="322" spans="1:18" s="59" customFormat="1">
      <c r="A322" s="53">
        <v>237569</v>
      </c>
      <c r="B322" s="59">
        <v>351</v>
      </c>
      <c r="C322" s="33" t="s">
        <v>861</v>
      </c>
      <c r="D322" s="59">
        <v>2020</v>
      </c>
      <c r="E322" s="59">
        <v>7</v>
      </c>
      <c r="F322" s="59">
        <v>0</v>
      </c>
      <c r="G322" s="33" t="s">
        <v>78</v>
      </c>
      <c r="H322" s="28">
        <v>7</v>
      </c>
      <c r="I322" s="59">
        <f t="shared" si="122"/>
        <v>2027</v>
      </c>
      <c r="J322" s="34">
        <f t="shared" si="123"/>
        <v>2027.5833333333333</v>
      </c>
      <c r="K322" s="35">
        <v>15029.53</v>
      </c>
      <c r="L322" s="35">
        <f t="shared" si="124"/>
        <v>15029.53</v>
      </c>
      <c r="M322" s="35">
        <f t="shared" si="125"/>
        <v>178.92297619047619</v>
      </c>
      <c r="N322" s="35">
        <f t="shared" si="126"/>
        <v>2147.0757142857142</v>
      </c>
      <c r="O322" s="35">
        <f t="shared" si="127"/>
        <v>2147.0757142857142</v>
      </c>
      <c r="P322" s="35">
        <f t="shared" si="128"/>
        <v>2147.0757142857142</v>
      </c>
      <c r="Q322" s="35">
        <f t="shared" si="129"/>
        <v>4294.1514285714284</v>
      </c>
      <c r="R322" s="35">
        <f t="shared" si="130"/>
        <v>10735.378571428573</v>
      </c>
    </row>
    <row r="323" spans="1:18" s="59" customFormat="1">
      <c r="A323" s="54" t="s">
        <v>865</v>
      </c>
      <c r="B323" s="59">
        <f>864+864</f>
        <v>1728</v>
      </c>
      <c r="C323" s="33" t="s">
        <v>864</v>
      </c>
      <c r="D323" s="59">
        <v>2020</v>
      </c>
      <c r="E323" s="59">
        <v>7</v>
      </c>
      <c r="F323" s="59">
        <v>0</v>
      </c>
      <c r="G323" s="33" t="s">
        <v>78</v>
      </c>
      <c r="H323" s="28">
        <v>7</v>
      </c>
      <c r="I323" s="59">
        <f t="shared" si="122"/>
        <v>2027</v>
      </c>
      <c r="J323" s="34">
        <f t="shared" si="123"/>
        <v>2027.5833333333333</v>
      </c>
      <c r="K323" s="35">
        <f>27326.2+27326.2</f>
        <v>54652.4</v>
      </c>
      <c r="L323" s="35">
        <f t="shared" si="124"/>
        <v>54652.4</v>
      </c>
      <c r="M323" s="35">
        <f t="shared" si="125"/>
        <v>650.62380952380954</v>
      </c>
      <c r="N323" s="35">
        <f t="shared" si="126"/>
        <v>7807.4857142857145</v>
      </c>
      <c r="O323" s="35">
        <f t="shared" si="127"/>
        <v>7807.4857142857145</v>
      </c>
      <c r="P323" s="35">
        <f t="shared" si="128"/>
        <v>7807.4857142857145</v>
      </c>
      <c r="Q323" s="35">
        <f t="shared" si="129"/>
        <v>15614.971428571429</v>
      </c>
      <c r="R323" s="35">
        <f t="shared" si="130"/>
        <v>39037.428571428572</v>
      </c>
    </row>
    <row r="324" spans="1:18" s="59" customFormat="1">
      <c r="A324" s="53">
        <v>231609</v>
      </c>
      <c r="B324" s="59">
        <v>1080</v>
      </c>
      <c r="C324" s="33" t="s">
        <v>735</v>
      </c>
      <c r="D324" s="59">
        <v>2020</v>
      </c>
      <c r="E324" s="59">
        <v>7</v>
      </c>
      <c r="F324" s="59">
        <v>0</v>
      </c>
      <c r="G324" s="33" t="s">
        <v>78</v>
      </c>
      <c r="H324" s="28">
        <v>7</v>
      </c>
      <c r="I324" s="59">
        <f t="shared" si="122"/>
        <v>2027</v>
      </c>
      <c r="J324" s="34">
        <f t="shared" si="123"/>
        <v>2027.5833333333333</v>
      </c>
      <c r="K324" s="35">
        <v>35932.589999999997</v>
      </c>
      <c r="L324" s="35">
        <f t="shared" ref="L324:L328" si="131">K324-K324*F324</f>
        <v>35932.589999999997</v>
      </c>
      <c r="M324" s="35">
        <f t="shared" ref="M324:M328" si="132">L324/H324/12</f>
        <v>427.76892857142849</v>
      </c>
      <c r="N324" s="35">
        <f t="shared" ref="N324:N328" si="133">+M324*12</f>
        <v>5133.2271428571421</v>
      </c>
      <c r="O324" s="35">
        <f t="shared" ref="O324:O328" si="134">+IF(J324&lt;=$L$5,0,IF(I324&gt;$L$4,N324,(M324*E324)))</f>
        <v>5133.2271428571421</v>
      </c>
      <c r="P324" s="35">
        <f t="shared" ref="P324:P328" si="135">+IF(O324=0,L324,IF($L$3-D324&lt;1,0,(($L$3-D324)*O324)))</f>
        <v>5133.2271428571421</v>
      </c>
      <c r="Q324" s="35">
        <f t="shared" ref="Q324:Q328" si="136">+IF(O324=0,P324,P324+O324)</f>
        <v>10266.454285714284</v>
      </c>
      <c r="R324" s="35">
        <f t="shared" ref="R324:R328" si="137">+K324-Q324</f>
        <v>25666.135714285712</v>
      </c>
    </row>
    <row r="325" spans="1:18" s="59" customFormat="1">
      <c r="A325" s="53">
        <v>231608</v>
      </c>
      <c r="B325" s="59">
        <v>936</v>
      </c>
      <c r="C325" s="33" t="s">
        <v>738</v>
      </c>
      <c r="D325" s="59">
        <v>2020</v>
      </c>
      <c r="E325" s="59">
        <v>2</v>
      </c>
      <c r="F325" s="59">
        <v>0</v>
      </c>
      <c r="G325" s="33" t="s">
        <v>78</v>
      </c>
      <c r="H325" s="28">
        <v>7</v>
      </c>
      <c r="I325" s="59">
        <f t="shared" si="122"/>
        <v>2027</v>
      </c>
      <c r="J325" s="34">
        <f t="shared" si="123"/>
        <v>2027.1666666666667</v>
      </c>
      <c r="K325" s="35">
        <v>37525.410000000003</v>
      </c>
      <c r="L325" s="35">
        <f t="shared" si="131"/>
        <v>37525.410000000003</v>
      </c>
      <c r="M325" s="35">
        <f t="shared" si="132"/>
        <v>446.73107142857151</v>
      </c>
      <c r="N325" s="35">
        <f t="shared" si="133"/>
        <v>5360.7728571428579</v>
      </c>
      <c r="O325" s="35">
        <f t="shared" si="134"/>
        <v>5360.7728571428579</v>
      </c>
      <c r="P325" s="35">
        <f t="shared" si="135"/>
        <v>5360.7728571428579</v>
      </c>
      <c r="Q325" s="35">
        <f t="shared" si="136"/>
        <v>10721.545714285716</v>
      </c>
      <c r="R325" s="35">
        <f t="shared" si="137"/>
        <v>26803.864285714288</v>
      </c>
    </row>
    <row r="326" spans="1:18" s="59" customFormat="1">
      <c r="A326" s="53">
        <v>229285</v>
      </c>
      <c r="B326" s="59">
        <v>875</v>
      </c>
      <c r="C326" s="56" t="s">
        <v>866</v>
      </c>
      <c r="D326" s="59">
        <v>2020</v>
      </c>
      <c r="E326" s="59">
        <v>2</v>
      </c>
      <c r="F326" s="59">
        <v>0</v>
      </c>
      <c r="G326" s="56" t="s">
        <v>78</v>
      </c>
      <c r="H326" s="28">
        <v>7</v>
      </c>
      <c r="I326" s="59">
        <f t="shared" si="122"/>
        <v>2027</v>
      </c>
      <c r="J326" s="34">
        <f t="shared" si="123"/>
        <v>2027.1666666666667</v>
      </c>
      <c r="K326" s="35">
        <v>29112.05</v>
      </c>
      <c r="L326" s="35">
        <f t="shared" si="131"/>
        <v>29112.05</v>
      </c>
      <c r="M326" s="35">
        <f t="shared" si="132"/>
        <v>346.57202380952384</v>
      </c>
      <c r="N326" s="35">
        <f t="shared" si="133"/>
        <v>4158.8642857142859</v>
      </c>
      <c r="O326" s="35">
        <f t="shared" si="134"/>
        <v>4158.8642857142859</v>
      </c>
      <c r="P326" s="35">
        <f t="shared" si="135"/>
        <v>4158.8642857142859</v>
      </c>
      <c r="Q326" s="35">
        <f t="shared" si="136"/>
        <v>8317.7285714285717</v>
      </c>
      <c r="R326" s="35">
        <f t="shared" si="137"/>
        <v>20794.321428571428</v>
      </c>
    </row>
    <row r="327" spans="1:18" s="59" customFormat="1">
      <c r="A327" s="54">
        <v>229006</v>
      </c>
      <c r="B327" s="59">
        <v>702</v>
      </c>
      <c r="C327" s="56" t="s">
        <v>736</v>
      </c>
      <c r="D327" s="59">
        <v>2020</v>
      </c>
      <c r="E327" s="59">
        <v>2</v>
      </c>
      <c r="F327" s="59">
        <v>0</v>
      </c>
      <c r="G327" s="56" t="s">
        <v>78</v>
      </c>
      <c r="H327" s="28">
        <v>7</v>
      </c>
      <c r="I327" s="59">
        <f t="shared" si="122"/>
        <v>2027</v>
      </c>
      <c r="J327" s="34">
        <f t="shared" si="123"/>
        <v>2027.1666666666667</v>
      </c>
      <c r="K327" s="35">
        <v>32333.439999999999</v>
      </c>
      <c r="L327" s="35">
        <f t="shared" si="131"/>
        <v>32333.439999999999</v>
      </c>
      <c r="M327" s="35">
        <f t="shared" si="132"/>
        <v>384.92190476190473</v>
      </c>
      <c r="N327" s="35">
        <f t="shared" si="133"/>
        <v>4619.062857142857</v>
      </c>
      <c r="O327" s="35">
        <f t="shared" si="134"/>
        <v>4619.062857142857</v>
      </c>
      <c r="P327" s="35">
        <f t="shared" si="135"/>
        <v>4619.062857142857</v>
      </c>
      <c r="Q327" s="35">
        <f t="shared" si="136"/>
        <v>9238.1257142857139</v>
      </c>
      <c r="R327" s="35">
        <f t="shared" si="137"/>
        <v>23095.314285714285</v>
      </c>
    </row>
    <row r="328" spans="1:18" s="59" customFormat="1">
      <c r="A328" s="54">
        <v>236070</v>
      </c>
      <c r="B328" s="59">
        <v>624</v>
      </c>
      <c r="C328" s="56" t="s">
        <v>869</v>
      </c>
      <c r="D328" s="59">
        <v>2020</v>
      </c>
      <c r="E328" s="59">
        <v>7</v>
      </c>
      <c r="F328" s="59">
        <v>0</v>
      </c>
      <c r="G328" s="56" t="s">
        <v>78</v>
      </c>
      <c r="H328" s="28">
        <v>7</v>
      </c>
      <c r="I328" s="59">
        <f t="shared" si="122"/>
        <v>2027</v>
      </c>
      <c r="J328" s="34">
        <f t="shared" si="123"/>
        <v>2027.5833333333333</v>
      </c>
      <c r="K328" s="35">
        <v>23148.87</v>
      </c>
      <c r="L328" s="35">
        <f t="shared" si="131"/>
        <v>23148.87</v>
      </c>
      <c r="M328" s="35">
        <f t="shared" si="132"/>
        <v>275.58178571428567</v>
      </c>
      <c r="N328" s="35">
        <f t="shared" si="133"/>
        <v>3306.9814285714283</v>
      </c>
      <c r="O328" s="35">
        <f t="shared" si="134"/>
        <v>3306.9814285714283</v>
      </c>
      <c r="P328" s="35">
        <f t="shared" si="135"/>
        <v>3306.9814285714283</v>
      </c>
      <c r="Q328" s="35">
        <f t="shared" si="136"/>
        <v>6613.9628571428566</v>
      </c>
      <c r="R328" s="35">
        <f t="shared" si="137"/>
        <v>16534.907142857141</v>
      </c>
    </row>
    <row r="329" spans="1:18" s="59" customFormat="1">
      <c r="A329" s="54">
        <v>241476</v>
      </c>
      <c r="B329" s="59">
        <v>540</v>
      </c>
      <c r="C329" s="56" t="s">
        <v>880</v>
      </c>
      <c r="D329" s="59">
        <v>2020</v>
      </c>
      <c r="E329" s="59">
        <v>11</v>
      </c>
      <c r="F329" s="59">
        <v>0</v>
      </c>
      <c r="G329" s="56" t="s">
        <v>78</v>
      </c>
      <c r="H329" s="28">
        <v>7</v>
      </c>
      <c r="I329" s="59">
        <f t="shared" ref="I329:I331" si="138">D329+H329</f>
        <v>2027</v>
      </c>
      <c r="J329" s="34">
        <f t="shared" ref="J329:J331" si="139">+I329+(E329/12)</f>
        <v>2027.9166666666667</v>
      </c>
      <c r="K329" s="35">
        <v>18632.57</v>
      </c>
      <c r="L329" s="35">
        <f t="shared" ref="L329:L331" si="140">K329-K329*F329</f>
        <v>18632.57</v>
      </c>
      <c r="M329" s="35">
        <f t="shared" ref="M329:M331" si="141">L329/H329/12</f>
        <v>221.81630952380954</v>
      </c>
      <c r="N329" s="35">
        <f t="shared" ref="N329:N331" si="142">+M329*12</f>
        <v>2661.7957142857144</v>
      </c>
      <c r="O329" s="35">
        <f t="shared" ref="O329:O331" si="143">+IF(J329&lt;=$L$5,0,IF(I329&gt;$L$4,N329,(M329*E329)))</f>
        <v>2661.7957142857144</v>
      </c>
      <c r="P329" s="35">
        <f t="shared" ref="P329:P331" si="144">+IF(O329=0,L329,IF($L$3-D329&lt;1,0,(($L$3-D329)*O329)))</f>
        <v>2661.7957142857144</v>
      </c>
      <c r="Q329" s="35">
        <f t="shared" ref="Q329:Q331" si="145">+IF(O329=0,P329,P329+O329)</f>
        <v>5323.5914285714289</v>
      </c>
      <c r="R329" s="35">
        <f t="shared" ref="R329:R331" si="146">+K329-Q329</f>
        <v>13308.978571428572</v>
      </c>
    </row>
    <row r="330" spans="1:18" s="59" customFormat="1">
      <c r="A330" s="54">
        <v>241477</v>
      </c>
      <c r="B330" s="59">
        <v>702</v>
      </c>
      <c r="C330" s="56" t="s">
        <v>881</v>
      </c>
      <c r="D330" s="59">
        <v>2020</v>
      </c>
      <c r="E330" s="59">
        <v>11</v>
      </c>
      <c r="F330" s="59">
        <v>0</v>
      </c>
      <c r="G330" s="56" t="s">
        <v>78</v>
      </c>
      <c r="H330" s="28">
        <v>7</v>
      </c>
      <c r="I330" s="59">
        <f t="shared" si="138"/>
        <v>2027</v>
      </c>
      <c r="J330" s="34">
        <f t="shared" si="139"/>
        <v>2027.9166666666667</v>
      </c>
      <c r="K330" s="35">
        <v>31902.22</v>
      </c>
      <c r="L330" s="35">
        <f t="shared" si="140"/>
        <v>31902.22</v>
      </c>
      <c r="M330" s="35">
        <f t="shared" si="141"/>
        <v>379.78833333333336</v>
      </c>
      <c r="N330" s="35">
        <f t="shared" si="142"/>
        <v>4557.46</v>
      </c>
      <c r="O330" s="35">
        <f t="shared" si="143"/>
        <v>4557.46</v>
      </c>
      <c r="P330" s="35">
        <f t="shared" si="144"/>
        <v>4557.46</v>
      </c>
      <c r="Q330" s="35">
        <f t="shared" si="145"/>
        <v>9114.92</v>
      </c>
      <c r="R330" s="35">
        <f t="shared" si="146"/>
        <v>22787.300000000003</v>
      </c>
    </row>
    <row r="331" spans="1:18" s="59" customFormat="1">
      <c r="A331" s="54">
        <v>241478</v>
      </c>
      <c r="B331" s="59">
        <v>972</v>
      </c>
      <c r="C331" s="56" t="s">
        <v>910</v>
      </c>
      <c r="D331" s="59">
        <v>2020</v>
      </c>
      <c r="E331" s="59">
        <v>11</v>
      </c>
      <c r="F331" s="59">
        <v>0</v>
      </c>
      <c r="G331" s="56" t="s">
        <v>78</v>
      </c>
      <c r="H331" s="28">
        <v>7</v>
      </c>
      <c r="I331" s="59">
        <f t="shared" si="138"/>
        <v>2027</v>
      </c>
      <c r="J331" s="34">
        <f t="shared" si="139"/>
        <v>2027.9166666666667</v>
      </c>
      <c r="K331" s="35">
        <v>38855.47</v>
      </c>
      <c r="L331" s="35">
        <f t="shared" si="140"/>
        <v>38855.47</v>
      </c>
      <c r="M331" s="35">
        <f t="shared" si="141"/>
        <v>462.56511904761902</v>
      </c>
      <c r="N331" s="35">
        <f t="shared" si="142"/>
        <v>5550.7814285714285</v>
      </c>
      <c r="O331" s="35">
        <f t="shared" si="143"/>
        <v>5550.7814285714285</v>
      </c>
      <c r="P331" s="35">
        <f t="shared" si="144"/>
        <v>5550.7814285714285</v>
      </c>
      <c r="Q331" s="35">
        <f t="shared" si="145"/>
        <v>11101.562857142857</v>
      </c>
      <c r="R331" s="35">
        <f t="shared" si="146"/>
        <v>27753.907142857144</v>
      </c>
    </row>
    <row r="332" spans="1:18" s="59" customFormat="1">
      <c r="A332" s="53"/>
      <c r="H332" s="28"/>
      <c r="K332" s="35"/>
      <c r="L332" s="35"/>
      <c r="M332" s="35"/>
      <c r="N332" s="35"/>
      <c r="O332" s="35"/>
      <c r="P332" s="35"/>
      <c r="Q332" s="35"/>
      <c r="R332" s="35"/>
    </row>
    <row r="333" spans="1:18" s="59" customFormat="1">
      <c r="A333" s="53"/>
      <c r="C333" s="51" t="s">
        <v>393</v>
      </c>
      <c r="H333" s="28"/>
      <c r="K333" s="85">
        <f t="shared" ref="K333:R333" si="147">SUM(K194:K332)</f>
        <v>3466511.7199999969</v>
      </c>
      <c r="L333" s="85">
        <f t="shared" si="147"/>
        <v>3466511.7199999969</v>
      </c>
      <c r="M333" s="85">
        <f t="shared" si="147"/>
        <v>38749.065500000004</v>
      </c>
      <c r="N333" s="85">
        <f t="shared" si="147"/>
        <v>464988.78599999996</v>
      </c>
      <c r="O333" s="85">
        <f t="shared" si="147"/>
        <v>232384.70714285722</v>
      </c>
      <c r="P333" s="85">
        <f t="shared" si="147"/>
        <v>2514418.6471428559</v>
      </c>
      <c r="Q333" s="85">
        <f t="shared" si="147"/>
        <v>2746803.3542857133</v>
      </c>
      <c r="R333" s="85">
        <f t="shared" si="147"/>
        <v>719708.36571428576</v>
      </c>
    </row>
    <row r="334" spans="1:18" s="59" customFormat="1">
      <c r="A334" s="53"/>
      <c r="H334" s="28"/>
      <c r="K334" s="35"/>
      <c r="L334" s="35"/>
      <c r="M334" s="35"/>
      <c r="N334" s="35"/>
      <c r="O334" s="35"/>
      <c r="P334" s="35"/>
      <c r="Q334" s="35"/>
      <c r="R334" s="35"/>
    </row>
    <row r="335" spans="1:18" s="59" customFormat="1">
      <c r="A335" s="53"/>
      <c r="H335" s="28"/>
      <c r="K335" s="35"/>
      <c r="L335" s="35"/>
      <c r="M335" s="35"/>
      <c r="N335" s="35"/>
      <c r="O335" s="35"/>
      <c r="P335" s="35"/>
      <c r="Q335" s="35"/>
      <c r="R335" s="35"/>
    </row>
    <row r="336" spans="1:18" s="59" customFormat="1">
      <c r="A336" s="53"/>
      <c r="C336" s="51" t="s">
        <v>395</v>
      </c>
      <c r="H336" s="28"/>
      <c r="K336" s="35"/>
      <c r="L336" s="35"/>
      <c r="M336" s="35"/>
      <c r="N336" s="35"/>
      <c r="O336" s="35"/>
      <c r="P336" s="35"/>
      <c r="Q336" s="35"/>
      <c r="R336" s="35"/>
    </row>
    <row r="337" spans="1:18" s="59" customFormat="1" hidden="1" outlineLevel="1">
      <c r="A337" s="53"/>
      <c r="B337" s="59">
        <v>2</v>
      </c>
      <c r="C337" s="59" t="s">
        <v>172</v>
      </c>
      <c r="D337" s="59">
        <v>1995</v>
      </c>
      <c r="E337" s="59">
        <v>8</v>
      </c>
      <c r="F337" s="59">
        <v>0</v>
      </c>
      <c r="G337" s="59" t="s">
        <v>78</v>
      </c>
      <c r="H337" s="28" t="s">
        <v>9</v>
      </c>
      <c r="I337" s="59">
        <f t="shared" ref="I337:I347" si="148">D337+H337</f>
        <v>2005</v>
      </c>
      <c r="J337" s="34">
        <f t="shared" ref="J337:J375" si="149">+I337+(E337/12)</f>
        <v>2005.6666666666667</v>
      </c>
      <c r="K337" s="35">
        <v>8548</v>
      </c>
      <c r="L337" s="35">
        <f t="shared" ref="L337:L376" si="150">K337-K337*F337</f>
        <v>8548</v>
      </c>
      <c r="M337" s="35">
        <f t="shared" ref="M337:M376" si="151">L337/H337/12</f>
        <v>71.233333333333334</v>
      </c>
      <c r="N337" s="35">
        <f t="shared" ref="N337:N375" si="152">+M337*12</f>
        <v>854.8</v>
      </c>
      <c r="O337" s="35">
        <f t="shared" ref="O337:O376" si="153">+IF(J337&lt;=$L$5,0,IF(I337&gt;$L$4,N337,(M337*E337)))</f>
        <v>0</v>
      </c>
      <c r="P337" s="35">
        <f t="shared" ref="P337:P376" si="154">+IF(O337=0,L337,IF($L$3-D337&lt;1,0,(($L$3-D337)*O337)))</f>
        <v>8548</v>
      </c>
      <c r="Q337" s="35">
        <f t="shared" ref="Q337:Q376" si="155">+IF(O337=0,P337,P337+O337)</f>
        <v>8548</v>
      </c>
      <c r="R337" s="35">
        <f t="shared" ref="R337:R376" si="156">+K337-Q337</f>
        <v>0</v>
      </c>
    </row>
    <row r="338" spans="1:18" s="59" customFormat="1" hidden="1" outlineLevel="1">
      <c r="A338" s="53"/>
      <c r="B338" s="59">
        <v>2</v>
      </c>
      <c r="C338" s="59" t="s">
        <v>231</v>
      </c>
      <c r="D338" s="59">
        <v>1995</v>
      </c>
      <c r="E338" s="59">
        <v>9</v>
      </c>
      <c r="F338" s="59">
        <v>0</v>
      </c>
      <c r="G338" s="59" t="s">
        <v>78</v>
      </c>
      <c r="H338" s="28" t="s">
        <v>9</v>
      </c>
      <c r="I338" s="59">
        <f t="shared" si="148"/>
        <v>2005</v>
      </c>
      <c r="J338" s="34">
        <f t="shared" si="149"/>
        <v>2005.75</v>
      </c>
      <c r="K338" s="35">
        <v>8548</v>
      </c>
      <c r="L338" s="35">
        <f t="shared" si="150"/>
        <v>8548</v>
      </c>
      <c r="M338" s="35">
        <f t="shared" si="151"/>
        <v>71.233333333333334</v>
      </c>
      <c r="N338" s="35">
        <f t="shared" si="152"/>
        <v>854.8</v>
      </c>
      <c r="O338" s="35">
        <f t="shared" si="153"/>
        <v>0</v>
      </c>
      <c r="P338" s="35">
        <f t="shared" si="154"/>
        <v>8548</v>
      </c>
      <c r="Q338" s="35">
        <f t="shared" si="155"/>
        <v>8548</v>
      </c>
      <c r="R338" s="35">
        <f t="shared" si="156"/>
        <v>0</v>
      </c>
    </row>
    <row r="339" spans="1:18" s="59" customFormat="1" hidden="1" outlineLevel="1">
      <c r="A339" s="53"/>
      <c r="B339" s="59">
        <v>5</v>
      </c>
      <c r="C339" s="59" t="s">
        <v>172</v>
      </c>
      <c r="D339" s="59">
        <v>1995</v>
      </c>
      <c r="E339" s="59">
        <v>11</v>
      </c>
      <c r="F339" s="59">
        <v>0</v>
      </c>
      <c r="G339" s="59" t="s">
        <v>78</v>
      </c>
      <c r="H339" s="28" t="s">
        <v>9</v>
      </c>
      <c r="I339" s="59">
        <f t="shared" si="148"/>
        <v>2005</v>
      </c>
      <c r="J339" s="34">
        <f t="shared" si="149"/>
        <v>2005.9166666666667</v>
      </c>
      <c r="K339" s="35">
        <v>21369</v>
      </c>
      <c r="L339" s="35">
        <f t="shared" si="150"/>
        <v>21369</v>
      </c>
      <c r="M339" s="35">
        <f t="shared" si="151"/>
        <v>178.07500000000002</v>
      </c>
      <c r="N339" s="35">
        <f t="shared" si="152"/>
        <v>2136.9</v>
      </c>
      <c r="O339" s="35">
        <f t="shared" si="153"/>
        <v>0</v>
      </c>
      <c r="P339" s="35">
        <f t="shared" si="154"/>
        <v>21369</v>
      </c>
      <c r="Q339" s="35">
        <f t="shared" si="155"/>
        <v>21369</v>
      </c>
      <c r="R339" s="35">
        <f t="shared" si="156"/>
        <v>0</v>
      </c>
    </row>
    <row r="340" spans="1:18" s="59" customFormat="1" hidden="1" outlineLevel="1">
      <c r="A340" s="53"/>
      <c r="B340" s="59">
        <v>4</v>
      </c>
      <c r="C340" s="59" t="s">
        <v>172</v>
      </c>
      <c r="D340" s="59">
        <v>1996</v>
      </c>
      <c r="E340" s="59">
        <v>9</v>
      </c>
      <c r="F340" s="59">
        <v>0</v>
      </c>
      <c r="G340" s="59" t="s">
        <v>78</v>
      </c>
      <c r="H340" s="28" t="s">
        <v>9</v>
      </c>
      <c r="I340" s="59">
        <f t="shared" si="148"/>
        <v>2006</v>
      </c>
      <c r="J340" s="34">
        <f t="shared" si="149"/>
        <v>2006.75</v>
      </c>
      <c r="K340" s="35">
        <v>17096</v>
      </c>
      <c r="L340" s="35">
        <f t="shared" si="150"/>
        <v>17096</v>
      </c>
      <c r="M340" s="35">
        <f t="shared" si="151"/>
        <v>142.46666666666667</v>
      </c>
      <c r="N340" s="35">
        <f t="shared" si="152"/>
        <v>1709.6</v>
      </c>
      <c r="O340" s="35">
        <f t="shared" si="153"/>
        <v>0</v>
      </c>
      <c r="P340" s="35">
        <f t="shared" si="154"/>
        <v>17096</v>
      </c>
      <c r="Q340" s="35">
        <f t="shared" si="155"/>
        <v>17096</v>
      </c>
      <c r="R340" s="35">
        <f t="shared" si="156"/>
        <v>0</v>
      </c>
    </row>
    <row r="341" spans="1:18" s="59" customFormat="1" hidden="1" outlineLevel="1">
      <c r="A341" s="53"/>
      <c r="B341" s="59">
        <v>5</v>
      </c>
      <c r="C341" s="59" t="s">
        <v>93</v>
      </c>
      <c r="D341" s="59">
        <v>1997</v>
      </c>
      <c r="E341" s="59">
        <v>12</v>
      </c>
      <c r="F341" s="59">
        <v>0</v>
      </c>
      <c r="G341" s="59" t="s">
        <v>78</v>
      </c>
      <c r="H341" s="28" t="s">
        <v>9</v>
      </c>
      <c r="I341" s="59">
        <f t="shared" si="148"/>
        <v>2007</v>
      </c>
      <c r="J341" s="34">
        <f t="shared" si="149"/>
        <v>2008</v>
      </c>
      <c r="K341" s="35">
        <v>225.94</v>
      </c>
      <c r="L341" s="35">
        <f t="shared" si="150"/>
        <v>225.94</v>
      </c>
      <c r="M341" s="35">
        <f t="shared" si="151"/>
        <v>1.8828333333333334</v>
      </c>
      <c r="N341" s="35">
        <f t="shared" si="152"/>
        <v>22.594000000000001</v>
      </c>
      <c r="O341" s="35">
        <f t="shared" si="153"/>
        <v>0</v>
      </c>
      <c r="P341" s="35">
        <f t="shared" si="154"/>
        <v>225.94</v>
      </c>
      <c r="Q341" s="35">
        <f t="shared" si="155"/>
        <v>225.94</v>
      </c>
      <c r="R341" s="35">
        <f t="shared" si="156"/>
        <v>0</v>
      </c>
    </row>
    <row r="342" spans="1:18" s="59" customFormat="1" hidden="1" outlineLevel="1">
      <c r="A342" s="53"/>
      <c r="B342" s="59">
        <v>1</v>
      </c>
      <c r="C342" s="59" t="s">
        <v>232</v>
      </c>
      <c r="D342" s="59">
        <v>2002</v>
      </c>
      <c r="E342" s="59">
        <v>10</v>
      </c>
      <c r="F342" s="59">
        <v>0</v>
      </c>
      <c r="G342" s="59" t="s">
        <v>78</v>
      </c>
      <c r="H342" s="28" t="s">
        <v>9</v>
      </c>
      <c r="I342" s="59">
        <f t="shared" si="148"/>
        <v>2012</v>
      </c>
      <c r="J342" s="34">
        <f t="shared" si="149"/>
        <v>2012.8333333333333</v>
      </c>
      <c r="K342" s="35">
        <v>7279.2</v>
      </c>
      <c r="L342" s="35">
        <f t="shared" si="150"/>
        <v>7279.2</v>
      </c>
      <c r="M342" s="35">
        <f t="shared" si="151"/>
        <v>60.66</v>
      </c>
      <c r="N342" s="35">
        <f t="shared" si="152"/>
        <v>727.92</v>
      </c>
      <c r="O342" s="35">
        <f t="shared" si="153"/>
        <v>0</v>
      </c>
      <c r="P342" s="35">
        <f t="shared" si="154"/>
        <v>7279.2</v>
      </c>
      <c r="Q342" s="35">
        <f t="shared" si="155"/>
        <v>7279.2</v>
      </c>
      <c r="R342" s="35">
        <f t="shared" si="156"/>
        <v>0</v>
      </c>
    </row>
    <row r="343" spans="1:18" s="59" customFormat="1" hidden="1" outlineLevel="1">
      <c r="A343" s="53"/>
      <c r="B343" s="59">
        <v>3</v>
      </c>
      <c r="C343" s="59" t="s">
        <v>172</v>
      </c>
      <c r="D343" s="59">
        <v>2003</v>
      </c>
      <c r="E343" s="59">
        <v>1</v>
      </c>
      <c r="F343" s="59">
        <v>0</v>
      </c>
      <c r="G343" s="59" t="s">
        <v>78</v>
      </c>
      <c r="H343" s="28" t="s">
        <v>9</v>
      </c>
      <c r="I343" s="59">
        <f t="shared" si="148"/>
        <v>2013</v>
      </c>
      <c r="J343" s="34">
        <f t="shared" si="149"/>
        <v>2013.0833333333333</v>
      </c>
      <c r="K343" s="35">
        <v>18648.32</v>
      </c>
      <c r="L343" s="35">
        <f t="shared" si="150"/>
        <v>18648.32</v>
      </c>
      <c r="M343" s="35">
        <f t="shared" si="151"/>
        <v>155.40266666666665</v>
      </c>
      <c r="N343" s="35">
        <f t="shared" si="152"/>
        <v>1864.8319999999999</v>
      </c>
      <c r="O343" s="35">
        <f t="shared" si="153"/>
        <v>0</v>
      </c>
      <c r="P343" s="35">
        <f t="shared" si="154"/>
        <v>18648.32</v>
      </c>
      <c r="Q343" s="35">
        <f t="shared" si="155"/>
        <v>18648.32</v>
      </c>
      <c r="R343" s="35">
        <f t="shared" si="156"/>
        <v>0</v>
      </c>
    </row>
    <row r="344" spans="1:18" s="59" customFormat="1" hidden="1" outlineLevel="1">
      <c r="A344" s="53"/>
      <c r="B344" s="59">
        <v>1</v>
      </c>
      <c r="C344" s="59" t="s">
        <v>172</v>
      </c>
      <c r="D344" s="59">
        <v>2003</v>
      </c>
      <c r="E344" s="59">
        <v>3</v>
      </c>
      <c r="F344" s="59">
        <v>0</v>
      </c>
      <c r="G344" s="59" t="s">
        <v>78</v>
      </c>
      <c r="H344" s="28" t="s">
        <v>9</v>
      </c>
      <c r="I344" s="59">
        <f t="shared" si="148"/>
        <v>2013</v>
      </c>
      <c r="J344" s="34">
        <f t="shared" si="149"/>
        <v>2013.25</v>
      </c>
      <c r="K344" s="35">
        <v>4662.08</v>
      </c>
      <c r="L344" s="35">
        <f t="shared" si="150"/>
        <v>4662.08</v>
      </c>
      <c r="M344" s="35">
        <f t="shared" si="151"/>
        <v>38.850666666666662</v>
      </c>
      <c r="N344" s="35">
        <f t="shared" si="152"/>
        <v>466.20799999999997</v>
      </c>
      <c r="O344" s="35">
        <f t="shared" si="153"/>
        <v>0</v>
      </c>
      <c r="P344" s="35">
        <f t="shared" si="154"/>
        <v>4662.08</v>
      </c>
      <c r="Q344" s="35">
        <f t="shared" si="155"/>
        <v>4662.08</v>
      </c>
      <c r="R344" s="35">
        <f t="shared" si="156"/>
        <v>0</v>
      </c>
    </row>
    <row r="345" spans="1:18" s="59" customFormat="1" hidden="1" outlineLevel="1">
      <c r="A345" s="53"/>
      <c r="B345" s="59">
        <v>1</v>
      </c>
      <c r="C345" s="59" t="s">
        <v>172</v>
      </c>
      <c r="D345" s="59">
        <v>2003</v>
      </c>
      <c r="E345" s="59">
        <v>4</v>
      </c>
      <c r="F345" s="59">
        <v>0</v>
      </c>
      <c r="G345" s="59" t="s">
        <v>78</v>
      </c>
      <c r="H345" s="28" t="s">
        <v>9</v>
      </c>
      <c r="I345" s="59">
        <f t="shared" si="148"/>
        <v>2013</v>
      </c>
      <c r="J345" s="34">
        <f t="shared" si="149"/>
        <v>2013.3333333333333</v>
      </c>
      <c r="K345" s="35">
        <v>4662.08</v>
      </c>
      <c r="L345" s="35">
        <f t="shared" si="150"/>
        <v>4662.08</v>
      </c>
      <c r="M345" s="35">
        <f t="shared" si="151"/>
        <v>38.850666666666662</v>
      </c>
      <c r="N345" s="35">
        <f t="shared" si="152"/>
        <v>466.20799999999997</v>
      </c>
      <c r="O345" s="35">
        <f t="shared" si="153"/>
        <v>0</v>
      </c>
      <c r="P345" s="35">
        <f t="shared" si="154"/>
        <v>4662.08</v>
      </c>
      <c r="Q345" s="35">
        <f t="shared" si="155"/>
        <v>4662.08</v>
      </c>
      <c r="R345" s="35">
        <f t="shared" si="156"/>
        <v>0</v>
      </c>
    </row>
    <row r="346" spans="1:18" s="59" customFormat="1" hidden="1" outlineLevel="1">
      <c r="A346" s="53"/>
      <c r="B346" s="59">
        <v>1</v>
      </c>
      <c r="C346" s="59" t="s">
        <v>172</v>
      </c>
      <c r="D346" s="59">
        <v>2003</v>
      </c>
      <c r="E346" s="59">
        <v>7</v>
      </c>
      <c r="F346" s="59">
        <v>0</v>
      </c>
      <c r="G346" s="59" t="s">
        <v>78</v>
      </c>
      <c r="H346" s="28" t="s">
        <v>9</v>
      </c>
      <c r="I346" s="59">
        <f t="shared" si="148"/>
        <v>2013</v>
      </c>
      <c r="J346" s="34">
        <f t="shared" si="149"/>
        <v>2013.5833333333333</v>
      </c>
      <c r="K346" s="35">
        <v>4659.8999999999996</v>
      </c>
      <c r="L346" s="35">
        <f t="shared" si="150"/>
        <v>4659.8999999999996</v>
      </c>
      <c r="M346" s="35">
        <f t="shared" si="151"/>
        <v>38.832499999999996</v>
      </c>
      <c r="N346" s="35">
        <f t="shared" si="152"/>
        <v>465.98999999999995</v>
      </c>
      <c r="O346" s="35">
        <f t="shared" si="153"/>
        <v>0</v>
      </c>
      <c r="P346" s="35">
        <f t="shared" si="154"/>
        <v>4659.8999999999996</v>
      </c>
      <c r="Q346" s="35">
        <f t="shared" si="155"/>
        <v>4659.8999999999996</v>
      </c>
      <c r="R346" s="35">
        <f t="shared" si="156"/>
        <v>0</v>
      </c>
    </row>
    <row r="347" spans="1:18" s="59" customFormat="1" hidden="1" outlineLevel="1">
      <c r="A347" s="53"/>
      <c r="B347" s="59">
        <v>2</v>
      </c>
      <c r="C347" s="59" t="s">
        <v>171</v>
      </c>
      <c r="D347" s="59">
        <v>2003</v>
      </c>
      <c r="E347" s="59">
        <v>8</v>
      </c>
      <c r="F347" s="59">
        <v>0</v>
      </c>
      <c r="G347" s="59" t="s">
        <v>78</v>
      </c>
      <c r="H347" s="28" t="s">
        <v>9</v>
      </c>
      <c r="I347" s="59">
        <f t="shared" si="148"/>
        <v>2013</v>
      </c>
      <c r="J347" s="34">
        <f t="shared" si="149"/>
        <v>2013.6666666666667</v>
      </c>
      <c r="K347" s="35">
        <v>7501.76</v>
      </c>
      <c r="L347" s="35">
        <f t="shared" si="150"/>
        <v>7501.76</v>
      </c>
      <c r="M347" s="35">
        <f t="shared" si="151"/>
        <v>62.51466666666667</v>
      </c>
      <c r="N347" s="35">
        <f t="shared" si="152"/>
        <v>750.17600000000004</v>
      </c>
      <c r="O347" s="35">
        <f t="shared" si="153"/>
        <v>0</v>
      </c>
      <c r="P347" s="35">
        <f t="shared" si="154"/>
        <v>7501.76</v>
      </c>
      <c r="Q347" s="35">
        <f t="shared" si="155"/>
        <v>7501.76</v>
      </c>
      <c r="R347" s="35">
        <f t="shared" si="156"/>
        <v>0</v>
      </c>
    </row>
    <row r="348" spans="1:18" s="59" customFormat="1" hidden="1" outlineLevel="1">
      <c r="A348" s="53"/>
      <c r="B348" s="59">
        <v>1</v>
      </c>
      <c r="C348" s="59" t="s">
        <v>171</v>
      </c>
      <c r="D348" s="59">
        <v>2003</v>
      </c>
      <c r="E348" s="59">
        <v>8</v>
      </c>
      <c r="F348" s="59">
        <v>0</v>
      </c>
      <c r="G348" s="59" t="s">
        <v>78</v>
      </c>
      <c r="H348" s="28" t="s">
        <v>9</v>
      </c>
      <c r="I348" s="59">
        <f t="shared" ref="I348:I375" si="157">D348+H348</f>
        <v>2013</v>
      </c>
      <c r="J348" s="34">
        <f t="shared" si="149"/>
        <v>2013.6666666666667</v>
      </c>
      <c r="K348" s="35">
        <v>4003.84</v>
      </c>
      <c r="L348" s="35">
        <f t="shared" si="150"/>
        <v>4003.84</v>
      </c>
      <c r="M348" s="35">
        <f t="shared" si="151"/>
        <v>33.365333333333332</v>
      </c>
      <c r="N348" s="35">
        <f t="shared" si="152"/>
        <v>400.38400000000001</v>
      </c>
      <c r="O348" s="35">
        <f t="shared" si="153"/>
        <v>0</v>
      </c>
      <c r="P348" s="35">
        <f t="shared" si="154"/>
        <v>4003.84</v>
      </c>
      <c r="Q348" s="35">
        <f t="shared" si="155"/>
        <v>4003.84</v>
      </c>
      <c r="R348" s="35">
        <f t="shared" si="156"/>
        <v>0</v>
      </c>
    </row>
    <row r="349" spans="1:18" s="59" customFormat="1" hidden="1" outlineLevel="1">
      <c r="A349" s="53"/>
      <c r="B349" s="59">
        <v>1</v>
      </c>
      <c r="C349" s="59" t="s">
        <v>171</v>
      </c>
      <c r="D349" s="59">
        <v>2003</v>
      </c>
      <c r="E349" s="59">
        <v>9</v>
      </c>
      <c r="F349" s="59">
        <v>0</v>
      </c>
      <c r="G349" s="59" t="s">
        <v>78</v>
      </c>
      <c r="H349" s="28" t="s">
        <v>9</v>
      </c>
      <c r="I349" s="59">
        <f t="shared" si="157"/>
        <v>2013</v>
      </c>
      <c r="J349" s="34">
        <f t="shared" si="149"/>
        <v>2013.75</v>
      </c>
      <c r="K349" s="35">
        <v>4003.84</v>
      </c>
      <c r="L349" s="35">
        <f t="shared" si="150"/>
        <v>4003.84</v>
      </c>
      <c r="M349" s="35">
        <f t="shared" si="151"/>
        <v>33.365333333333332</v>
      </c>
      <c r="N349" s="35">
        <f t="shared" si="152"/>
        <v>400.38400000000001</v>
      </c>
      <c r="O349" s="35">
        <f t="shared" si="153"/>
        <v>0</v>
      </c>
      <c r="P349" s="35">
        <f t="shared" si="154"/>
        <v>4003.84</v>
      </c>
      <c r="Q349" s="35">
        <f t="shared" si="155"/>
        <v>4003.84</v>
      </c>
      <c r="R349" s="35">
        <f t="shared" si="156"/>
        <v>0</v>
      </c>
    </row>
    <row r="350" spans="1:18" s="59" customFormat="1" hidden="1" outlineLevel="1">
      <c r="A350" s="53"/>
      <c r="B350" s="59">
        <v>2</v>
      </c>
      <c r="C350" s="59" t="s">
        <v>172</v>
      </c>
      <c r="D350" s="59">
        <v>2003</v>
      </c>
      <c r="E350" s="59">
        <v>9</v>
      </c>
      <c r="F350" s="59">
        <v>0</v>
      </c>
      <c r="G350" s="59" t="s">
        <v>78</v>
      </c>
      <c r="H350" s="28" t="s">
        <v>9</v>
      </c>
      <c r="I350" s="59">
        <f t="shared" si="157"/>
        <v>2013</v>
      </c>
      <c r="J350" s="34">
        <f t="shared" si="149"/>
        <v>2013.75</v>
      </c>
      <c r="K350" s="35">
        <v>9324.16</v>
      </c>
      <c r="L350" s="35">
        <f t="shared" si="150"/>
        <v>9324.16</v>
      </c>
      <c r="M350" s="35">
        <f t="shared" si="151"/>
        <v>77.701333333333324</v>
      </c>
      <c r="N350" s="35">
        <f t="shared" si="152"/>
        <v>932.41599999999994</v>
      </c>
      <c r="O350" s="35">
        <f t="shared" si="153"/>
        <v>0</v>
      </c>
      <c r="P350" s="35">
        <f t="shared" si="154"/>
        <v>9324.16</v>
      </c>
      <c r="Q350" s="35">
        <f t="shared" si="155"/>
        <v>9324.16</v>
      </c>
      <c r="R350" s="35">
        <f t="shared" si="156"/>
        <v>0</v>
      </c>
    </row>
    <row r="351" spans="1:18" s="59" customFormat="1" hidden="1" outlineLevel="1">
      <c r="A351" s="53"/>
      <c r="B351" s="59">
        <v>4</v>
      </c>
      <c r="C351" s="59" t="s">
        <v>196</v>
      </c>
      <c r="D351" s="59">
        <v>2003</v>
      </c>
      <c r="E351" s="59">
        <v>11</v>
      </c>
      <c r="F351" s="59">
        <v>0</v>
      </c>
      <c r="G351" s="59" t="s">
        <v>78</v>
      </c>
      <c r="H351" s="28" t="s">
        <v>9</v>
      </c>
      <c r="I351" s="59">
        <f t="shared" si="157"/>
        <v>2013</v>
      </c>
      <c r="J351" s="34">
        <f t="shared" si="149"/>
        <v>2013.9166666666667</v>
      </c>
      <c r="K351" s="35">
        <v>10928.2</v>
      </c>
      <c r="L351" s="35">
        <f t="shared" si="150"/>
        <v>10928.2</v>
      </c>
      <c r="M351" s="35">
        <f t="shared" si="151"/>
        <v>91.068333333333342</v>
      </c>
      <c r="N351" s="35">
        <f t="shared" si="152"/>
        <v>1092.8200000000002</v>
      </c>
      <c r="O351" s="35">
        <f t="shared" si="153"/>
        <v>0</v>
      </c>
      <c r="P351" s="35">
        <f t="shared" si="154"/>
        <v>10928.2</v>
      </c>
      <c r="Q351" s="35">
        <f t="shared" si="155"/>
        <v>10928.2</v>
      </c>
      <c r="R351" s="35">
        <f t="shared" si="156"/>
        <v>0</v>
      </c>
    </row>
    <row r="352" spans="1:18" s="59" customFormat="1" hidden="1" outlineLevel="1">
      <c r="A352" s="53"/>
      <c r="B352" s="59">
        <v>4</v>
      </c>
      <c r="C352" s="59" t="s">
        <v>171</v>
      </c>
      <c r="D352" s="59">
        <v>2004</v>
      </c>
      <c r="E352" s="59">
        <v>2</v>
      </c>
      <c r="F352" s="59">
        <v>0</v>
      </c>
      <c r="G352" s="59" t="s">
        <v>78</v>
      </c>
      <c r="H352" s="28" t="s">
        <v>9</v>
      </c>
      <c r="I352" s="59">
        <f t="shared" si="157"/>
        <v>2014</v>
      </c>
      <c r="J352" s="34">
        <f t="shared" si="149"/>
        <v>2014.1666666666667</v>
      </c>
      <c r="K352" s="35">
        <v>17538.560000000001</v>
      </c>
      <c r="L352" s="35">
        <f t="shared" si="150"/>
        <v>17538.560000000001</v>
      </c>
      <c r="M352" s="35">
        <f t="shared" si="151"/>
        <v>146.15466666666669</v>
      </c>
      <c r="N352" s="35">
        <f t="shared" si="152"/>
        <v>1753.8560000000002</v>
      </c>
      <c r="O352" s="35">
        <f t="shared" si="153"/>
        <v>0</v>
      </c>
      <c r="P352" s="35">
        <f t="shared" si="154"/>
        <v>17538.560000000001</v>
      </c>
      <c r="Q352" s="35">
        <f t="shared" si="155"/>
        <v>17538.560000000001</v>
      </c>
      <c r="R352" s="35">
        <f t="shared" si="156"/>
        <v>0</v>
      </c>
    </row>
    <row r="353" spans="1:18" s="59" customFormat="1" hidden="1" outlineLevel="1">
      <c r="A353" s="53"/>
      <c r="B353" s="59">
        <v>2</v>
      </c>
      <c r="C353" s="59" t="s">
        <v>171</v>
      </c>
      <c r="D353" s="59">
        <v>2004</v>
      </c>
      <c r="E353" s="59">
        <v>3</v>
      </c>
      <c r="F353" s="59">
        <v>0</v>
      </c>
      <c r="G353" s="59" t="s">
        <v>78</v>
      </c>
      <c r="H353" s="28" t="s">
        <v>9</v>
      </c>
      <c r="I353" s="59">
        <f t="shared" si="157"/>
        <v>2014</v>
      </c>
      <c r="J353" s="34">
        <f t="shared" si="149"/>
        <v>2014.25</v>
      </c>
      <c r="K353" s="35">
        <v>8769.2800000000007</v>
      </c>
      <c r="L353" s="35">
        <f t="shared" si="150"/>
        <v>8769.2800000000007</v>
      </c>
      <c r="M353" s="35">
        <f t="shared" si="151"/>
        <v>73.077333333333343</v>
      </c>
      <c r="N353" s="35">
        <f t="shared" si="152"/>
        <v>876.92800000000011</v>
      </c>
      <c r="O353" s="35">
        <f t="shared" si="153"/>
        <v>0</v>
      </c>
      <c r="P353" s="35">
        <f t="shared" si="154"/>
        <v>8769.2800000000007</v>
      </c>
      <c r="Q353" s="35">
        <f t="shared" si="155"/>
        <v>8769.2800000000007</v>
      </c>
      <c r="R353" s="35">
        <f t="shared" si="156"/>
        <v>0</v>
      </c>
    </row>
    <row r="354" spans="1:18" s="59" customFormat="1" hidden="1" outlineLevel="1">
      <c r="A354" s="53"/>
      <c r="B354" s="59">
        <v>3</v>
      </c>
      <c r="C354" s="59" t="s">
        <v>172</v>
      </c>
      <c r="D354" s="59">
        <v>2004</v>
      </c>
      <c r="E354" s="59">
        <v>3</v>
      </c>
      <c r="F354" s="59">
        <v>0</v>
      </c>
      <c r="G354" s="59" t="s">
        <v>78</v>
      </c>
      <c r="H354" s="28" t="s">
        <v>9</v>
      </c>
      <c r="I354" s="59">
        <f t="shared" si="157"/>
        <v>2014</v>
      </c>
      <c r="J354" s="34">
        <f t="shared" si="149"/>
        <v>2014.25</v>
      </c>
      <c r="K354" s="35">
        <v>15063.36</v>
      </c>
      <c r="L354" s="35">
        <f t="shared" si="150"/>
        <v>15063.36</v>
      </c>
      <c r="M354" s="35">
        <f t="shared" si="151"/>
        <v>125.52800000000001</v>
      </c>
      <c r="N354" s="35">
        <f t="shared" si="152"/>
        <v>1506.336</v>
      </c>
      <c r="O354" s="35">
        <f t="shared" si="153"/>
        <v>0</v>
      </c>
      <c r="P354" s="35">
        <f t="shared" si="154"/>
        <v>15063.36</v>
      </c>
      <c r="Q354" s="35">
        <f t="shared" si="155"/>
        <v>15063.36</v>
      </c>
      <c r="R354" s="35">
        <f t="shared" si="156"/>
        <v>0</v>
      </c>
    </row>
    <row r="355" spans="1:18" s="59" customFormat="1" hidden="1" outlineLevel="1">
      <c r="A355" s="53"/>
      <c r="B355" s="59">
        <v>3</v>
      </c>
      <c r="C355" s="59" t="s">
        <v>172</v>
      </c>
      <c r="D355" s="59">
        <v>2004</v>
      </c>
      <c r="E355" s="59">
        <v>3</v>
      </c>
      <c r="F355" s="59">
        <v>0</v>
      </c>
      <c r="G355" s="59" t="s">
        <v>78</v>
      </c>
      <c r="H355" s="28" t="s">
        <v>9</v>
      </c>
      <c r="I355" s="59">
        <f t="shared" si="157"/>
        <v>2014</v>
      </c>
      <c r="J355" s="34">
        <f t="shared" si="149"/>
        <v>2014.25</v>
      </c>
      <c r="K355" s="35">
        <v>16271.04</v>
      </c>
      <c r="L355" s="35">
        <f t="shared" si="150"/>
        <v>16271.04</v>
      </c>
      <c r="M355" s="35">
        <f t="shared" si="151"/>
        <v>135.59200000000001</v>
      </c>
      <c r="N355" s="35">
        <f t="shared" si="152"/>
        <v>1627.1040000000003</v>
      </c>
      <c r="O355" s="35">
        <f t="shared" si="153"/>
        <v>0</v>
      </c>
      <c r="P355" s="35">
        <f t="shared" si="154"/>
        <v>16271.04</v>
      </c>
      <c r="Q355" s="35">
        <f t="shared" si="155"/>
        <v>16271.04</v>
      </c>
      <c r="R355" s="35">
        <f t="shared" si="156"/>
        <v>0</v>
      </c>
    </row>
    <row r="356" spans="1:18" s="59" customFormat="1" hidden="1" outlineLevel="1">
      <c r="A356" s="53"/>
      <c r="B356" s="59">
        <v>4</v>
      </c>
      <c r="C356" s="59" t="s">
        <v>171</v>
      </c>
      <c r="D356" s="59">
        <v>2004</v>
      </c>
      <c r="E356" s="59">
        <v>4</v>
      </c>
      <c r="F356" s="59">
        <v>0</v>
      </c>
      <c r="G356" s="59" t="s">
        <v>78</v>
      </c>
      <c r="H356" s="28" t="s">
        <v>9</v>
      </c>
      <c r="I356" s="59">
        <f t="shared" si="157"/>
        <v>2014</v>
      </c>
      <c r="J356" s="34">
        <f t="shared" si="149"/>
        <v>2014.3333333333333</v>
      </c>
      <c r="K356" s="35">
        <v>20389.12</v>
      </c>
      <c r="L356" s="35">
        <f t="shared" si="150"/>
        <v>20389.12</v>
      </c>
      <c r="M356" s="35">
        <f t="shared" si="151"/>
        <v>169.90933333333331</v>
      </c>
      <c r="N356" s="35">
        <f t="shared" si="152"/>
        <v>2038.9119999999998</v>
      </c>
      <c r="O356" s="35">
        <f t="shared" si="153"/>
        <v>0</v>
      </c>
      <c r="P356" s="35">
        <f t="shared" si="154"/>
        <v>20389.12</v>
      </c>
      <c r="Q356" s="35">
        <f t="shared" si="155"/>
        <v>20389.12</v>
      </c>
      <c r="R356" s="35">
        <f t="shared" si="156"/>
        <v>0</v>
      </c>
    </row>
    <row r="357" spans="1:18" s="59" customFormat="1" hidden="1" outlineLevel="1">
      <c r="A357" s="53"/>
      <c r="B357" s="59">
        <v>3</v>
      </c>
      <c r="C357" s="59" t="s">
        <v>171</v>
      </c>
      <c r="D357" s="59">
        <v>2004</v>
      </c>
      <c r="E357" s="59">
        <v>5</v>
      </c>
      <c r="F357" s="59">
        <v>0</v>
      </c>
      <c r="G357" s="59" t="s">
        <v>78</v>
      </c>
      <c r="H357" s="28" t="s">
        <v>9</v>
      </c>
      <c r="I357" s="59">
        <f t="shared" si="157"/>
        <v>2014</v>
      </c>
      <c r="J357" s="34">
        <f t="shared" si="149"/>
        <v>2014.4166666666667</v>
      </c>
      <c r="K357" s="35">
        <v>15993.6</v>
      </c>
      <c r="L357" s="35">
        <f t="shared" si="150"/>
        <v>15993.6</v>
      </c>
      <c r="M357" s="35">
        <f t="shared" si="151"/>
        <v>133.28</v>
      </c>
      <c r="N357" s="35">
        <f t="shared" si="152"/>
        <v>1599.3600000000001</v>
      </c>
      <c r="O357" s="35">
        <f t="shared" si="153"/>
        <v>0</v>
      </c>
      <c r="P357" s="35">
        <f t="shared" si="154"/>
        <v>15993.6</v>
      </c>
      <c r="Q357" s="35">
        <f t="shared" si="155"/>
        <v>15993.6</v>
      </c>
      <c r="R357" s="35">
        <f t="shared" si="156"/>
        <v>0</v>
      </c>
    </row>
    <row r="358" spans="1:18" s="59" customFormat="1" hidden="1" outlineLevel="1">
      <c r="A358" s="53"/>
      <c r="B358" s="59">
        <v>2</v>
      </c>
      <c r="C358" s="59" t="s">
        <v>171</v>
      </c>
      <c r="D358" s="59">
        <v>2004</v>
      </c>
      <c r="E358" s="59">
        <v>5</v>
      </c>
      <c r="F358" s="59">
        <v>0</v>
      </c>
      <c r="G358" s="59" t="s">
        <v>78</v>
      </c>
      <c r="H358" s="28" t="s">
        <v>9</v>
      </c>
      <c r="I358" s="59">
        <f t="shared" si="157"/>
        <v>2014</v>
      </c>
      <c r="J358" s="34">
        <f t="shared" si="149"/>
        <v>2014.4166666666667</v>
      </c>
      <c r="K358" s="35">
        <v>11097.6</v>
      </c>
      <c r="L358" s="35">
        <f t="shared" si="150"/>
        <v>11097.6</v>
      </c>
      <c r="M358" s="35">
        <f t="shared" si="151"/>
        <v>92.48</v>
      </c>
      <c r="N358" s="35">
        <f t="shared" si="152"/>
        <v>1109.76</v>
      </c>
      <c r="O358" s="35">
        <f t="shared" si="153"/>
        <v>0</v>
      </c>
      <c r="P358" s="35">
        <f t="shared" si="154"/>
        <v>11097.6</v>
      </c>
      <c r="Q358" s="35">
        <f t="shared" si="155"/>
        <v>11097.6</v>
      </c>
      <c r="R358" s="35">
        <f t="shared" si="156"/>
        <v>0</v>
      </c>
    </row>
    <row r="359" spans="1:18" s="59" customFormat="1" hidden="1" outlineLevel="1">
      <c r="A359" s="54">
        <v>237934</v>
      </c>
      <c r="B359" s="59">
        <v>2</v>
      </c>
      <c r="C359" s="56" t="s">
        <v>857</v>
      </c>
      <c r="D359" s="59">
        <v>2004</v>
      </c>
      <c r="E359" s="59">
        <v>6</v>
      </c>
      <c r="F359" s="59">
        <v>0</v>
      </c>
      <c r="G359" s="56" t="s">
        <v>78</v>
      </c>
      <c r="H359" s="28">
        <v>12</v>
      </c>
      <c r="I359" s="59">
        <f>D359+H359</f>
        <v>2016</v>
      </c>
      <c r="J359" s="34">
        <f>+I359+(E359/12)</f>
        <v>2016.5</v>
      </c>
      <c r="K359" s="35">
        <v>9062.24</v>
      </c>
      <c r="L359" s="35">
        <f>K359-K359*F359</f>
        <v>9062.24</v>
      </c>
      <c r="M359" s="35">
        <f>L359/H359/12</f>
        <v>62.932222222222215</v>
      </c>
      <c r="N359" s="35">
        <f>+M359*12</f>
        <v>755.18666666666661</v>
      </c>
      <c r="O359" s="35">
        <f>+IF(J359&lt;=$L$5,0,IF(I359&gt;$L$4,N359,(M359*E359)))</f>
        <v>0</v>
      </c>
      <c r="P359" s="35">
        <f>+IF(O359=0,L359,IF($L$3-D359&lt;1,0,(($L$3-D359)*O359)))</f>
        <v>9062.24</v>
      </c>
      <c r="Q359" s="35">
        <f>+IF(O359=0,P359,P359+O359)</f>
        <v>9062.24</v>
      </c>
      <c r="R359" s="35">
        <f>+K359-Q359</f>
        <v>0</v>
      </c>
    </row>
    <row r="360" spans="1:18" s="59" customFormat="1" hidden="1" outlineLevel="1">
      <c r="A360" s="53"/>
      <c r="B360" s="59">
        <v>2</v>
      </c>
      <c r="C360" s="59" t="s">
        <v>171</v>
      </c>
      <c r="D360" s="59">
        <v>2004</v>
      </c>
      <c r="E360" s="59">
        <v>12</v>
      </c>
      <c r="F360" s="59">
        <v>0</v>
      </c>
      <c r="G360" s="59" t="s">
        <v>78</v>
      </c>
      <c r="H360" s="28" t="s">
        <v>9</v>
      </c>
      <c r="I360" s="59">
        <f t="shared" si="157"/>
        <v>2014</v>
      </c>
      <c r="J360" s="34">
        <f t="shared" si="149"/>
        <v>2015</v>
      </c>
      <c r="K360" s="35">
        <v>11696</v>
      </c>
      <c r="L360" s="35">
        <f t="shared" si="150"/>
        <v>11696</v>
      </c>
      <c r="M360" s="35">
        <f t="shared" si="151"/>
        <v>97.466666666666654</v>
      </c>
      <c r="N360" s="35">
        <f t="shared" si="152"/>
        <v>1169.5999999999999</v>
      </c>
      <c r="O360" s="35">
        <f t="shared" si="153"/>
        <v>0</v>
      </c>
      <c r="P360" s="35">
        <f t="shared" si="154"/>
        <v>11696</v>
      </c>
      <c r="Q360" s="35">
        <f t="shared" si="155"/>
        <v>11696</v>
      </c>
      <c r="R360" s="35">
        <f t="shared" si="156"/>
        <v>0</v>
      </c>
    </row>
    <row r="361" spans="1:18" s="59" customFormat="1" hidden="1" outlineLevel="1">
      <c r="A361" s="53"/>
      <c r="B361" s="59">
        <v>3</v>
      </c>
      <c r="C361" s="59" t="s">
        <v>171</v>
      </c>
      <c r="D361" s="59">
        <v>2005</v>
      </c>
      <c r="E361" s="59">
        <v>3</v>
      </c>
      <c r="F361" s="59">
        <v>0</v>
      </c>
      <c r="G361" s="59" t="s">
        <v>78</v>
      </c>
      <c r="H361" s="28" t="s">
        <v>9</v>
      </c>
      <c r="I361" s="59">
        <f t="shared" si="157"/>
        <v>2015</v>
      </c>
      <c r="J361" s="34">
        <f t="shared" si="149"/>
        <v>2015.25</v>
      </c>
      <c r="K361" s="35">
        <v>16287.36</v>
      </c>
      <c r="L361" s="35">
        <f t="shared" si="150"/>
        <v>16287.36</v>
      </c>
      <c r="M361" s="35">
        <f t="shared" si="151"/>
        <v>135.72800000000001</v>
      </c>
      <c r="N361" s="35">
        <f t="shared" si="152"/>
        <v>1628.7360000000001</v>
      </c>
      <c r="O361" s="35">
        <f t="shared" si="153"/>
        <v>0</v>
      </c>
      <c r="P361" s="35">
        <f t="shared" si="154"/>
        <v>16287.36</v>
      </c>
      <c r="Q361" s="35">
        <f t="shared" si="155"/>
        <v>16287.36</v>
      </c>
      <c r="R361" s="35">
        <f t="shared" si="156"/>
        <v>0</v>
      </c>
    </row>
    <row r="362" spans="1:18" s="59" customFormat="1" hidden="1" outlineLevel="1">
      <c r="A362" s="53"/>
      <c r="B362" s="59">
        <v>3</v>
      </c>
      <c r="C362" s="59" t="s">
        <v>171</v>
      </c>
      <c r="D362" s="59">
        <v>2005</v>
      </c>
      <c r="E362" s="59">
        <v>3</v>
      </c>
      <c r="F362" s="59">
        <v>0</v>
      </c>
      <c r="G362" s="59" t="s">
        <v>78</v>
      </c>
      <c r="H362" s="28" t="s">
        <v>9</v>
      </c>
      <c r="I362" s="59">
        <f t="shared" si="157"/>
        <v>2015</v>
      </c>
      <c r="J362" s="34">
        <f t="shared" si="149"/>
        <v>2015.25</v>
      </c>
      <c r="K362" s="35">
        <v>16287.36</v>
      </c>
      <c r="L362" s="35">
        <f t="shared" si="150"/>
        <v>16287.36</v>
      </c>
      <c r="M362" s="35">
        <f t="shared" si="151"/>
        <v>135.72800000000001</v>
      </c>
      <c r="N362" s="35">
        <f t="shared" si="152"/>
        <v>1628.7360000000001</v>
      </c>
      <c r="O362" s="35">
        <f t="shared" si="153"/>
        <v>0</v>
      </c>
      <c r="P362" s="35">
        <f t="shared" si="154"/>
        <v>16287.36</v>
      </c>
      <c r="Q362" s="35">
        <f t="shared" si="155"/>
        <v>16287.36</v>
      </c>
      <c r="R362" s="35">
        <f t="shared" si="156"/>
        <v>0</v>
      </c>
    </row>
    <row r="363" spans="1:18" s="59" customFormat="1" hidden="1" outlineLevel="1">
      <c r="A363" s="53"/>
      <c r="B363" s="59">
        <v>1</v>
      </c>
      <c r="C363" s="59" t="s">
        <v>197</v>
      </c>
      <c r="D363" s="59">
        <v>2005</v>
      </c>
      <c r="E363" s="59">
        <v>4</v>
      </c>
      <c r="F363" s="59">
        <v>0</v>
      </c>
      <c r="G363" s="59" t="s">
        <v>78</v>
      </c>
      <c r="H363" s="28" t="s">
        <v>9</v>
      </c>
      <c r="I363" s="59">
        <f t="shared" si="157"/>
        <v>2015</v>
      </c>
      <c r="J363" s="34">
        <f t="shared" si="149"/>
        <v>2015.3333333333333</v>
      </c>
      <c r="K363" s="35">
        <v>4841.6000000000004</v>
      </c>
      <c r="L363" s="35">
        <f t="shared" si="150"/>
        <v>4841.6000000000004</v>
      </c>
      <c r="M363" s="35">
        <f t="shared" si="151"/>
        <v>40.346666666666671</v>
      </c>
      <c r="N363" s="35">
        <f t="shared" si="152"/>
        <v>484.16000000000008</v>
      </c>
      <c r="O363" s="35">
        <f t="shared" si="153"/>
        <v>0</v>
      </c>
      <c r="P363" s="35">
        <f t="shared" si="154"/>
        <v>4841.6000000000004</v>
      </c>
      <c r="Q363" s="35">
        <f t="shared" si="155"/>
        <v>4841.6000000000004</v>
      </c>
      <c r="R363" s="35">
        <f t="shared" si="156"/>
        <v>0</v>
      </c>
    </row>
    <row r="364" spans="1:18" s="59" customFormat="1" hidden="1" outlineLevel="1">
      <c r="A364" s="53"/>
      <c r="B364" s="59">
        <v>11</v>
      </c>
      <c r="C364" s="59" t="s">
        <v>171</v>
      </c>
      <c r="D364" s="59">
        <v>2005</v>
      </c>
      <c r="E364" s="59">
        <v>4</v>
      </c>
      <c r="F364" s="59">
        <v>0</v>
      </c>
      <c r="G364" s="59" t="s">
        <v>78</v>
      </c>
      <c r="H364" s="28" t="s">
        <v>9</v>
      </c>
      <c r="I364" s="59">
        <f t="shared" si="157"/>
        <v>2015</v>
      </c>
      <c r="J364" s="34">
        <f t="shared" si="149"/>
        <v>2015.3333333333333</v>
      </c>
      <c r="K364" s="35">
        <v>54487.040000000001</v>
      </c>
      <c r="L364" s="35">
        <f t="shared" si="150"/>
        <v>54487.040000000001</v>
      </c>
      <c r="M364" s="35">
        <f t="shared" si="151"/>
        <v>454.05866666666662</v>
      </c>
      <c r="N364" s="35">
        <f t="shared" si="152"/>
        <v>5448.7039999999997</v>
      </c>
      <c r="O364" s="35">
        <f t="shared" si="153"/>
        <v>0</v>
      </c>
      <c r="P364" s="35">
        <f t="shared" si="154"/>
        <v>54487.040000000001</v>
      </c>
      <c r="Q364" s="35">
        <f t="shared" si="155"/>
        <v>54487.040000000001</v>
      </c>
      <c r="R364" s="35">
        <f t="shared" si="156"/>
        <v>0</v>
      </c>
    </row>
    <row r="365" spans="1:18" s="59" customFormat="1" hidden="1" outlineLevel="1">
      <c r="A365" s="53"/>
      <c r="B365" s="59">
        <v>4</v>
      </c>
      <c r="C365" s="59" t="s">
        <v>171</v>
      </c>
      <c r="D365" s="59">
        <v>2005</v>
      </c>
      <c r="E365" s="59">
        <v>4</v>
      </c>
      <c r="F365" s="59">
        <v>0</v>
      </c>
      <c r="G365" s="59" t="s">
        <v>78</v>
      </c>
      <c r="H365" s="28" t="s">
        <v>9</v>
      </c>
      <c r="I365" s="59">
        <f t="shared" si="157"/>
        <v>2015</v>
      </c>
      <c r="J365" s="34">
        <f t="shared" si="149"/>
        <v>2015.3333333333333</v>
      </c>
      <c r="K365" s="35">
        <v>17560.32</v>
      </c>
      <c r="L365" s="35">
        <f t="shared" si="150"/>
        <v>17560.32</v>
      </c>
      <c r="M365" s="35">
        <f t="shared" si="151"/>
        <v>146.33599999999998</v>
      </c>
      <c r="N365" s="35">
        <f t="shared" si="152"/>
        <v>1756.0319999999997</v>
      </c>
      <c r="O365" s="35">
        <f t="shared" si="153"/>
        <v>0</v>
      </c>
      <c r="P365" s="35">
        <f t="shared" si="154"/>
        <v>17560.32</v>
      </c>
      <c r="Q365" s="35">
        <f t="shared" si="155"/>
        <v>17560.32</v>
      </c>
      <c r="R365" s="35">
        <f t="shared" si="156"/>
        <v>0</v>
      </c>
    </row>
    <row r="366" spans="1:18" s="59" customFormat="1" hidden="1" outlineLevel="1">
      <c r="A366" s="53"/>
      <c r="B366" s="59">
        <v>4</v>
      </c>
      <c r="C366" s="59" t="s">
        <v>171</v>
      </c>
      <c r="D366" s="59">
        <v>2005</v>
      </c>
      <c r="E366" s="59">
        <v>5</v>
      </c>
      <c r="F366" s="59">
        <v>0</v>
      </c>
      <c r="G366" s="59" t="s">
        <v>78</v>
      </c>
      <c r="H366" s="28" t="s">
        <v>9</v>
      </c>
      <c r="I366" s="59">
        <f t="shared" si="157"/>
        <v>2015</v>
      </c>
      <c r="J366" s="34">
        <f t="shared" si="149"/>
        <v>2015.4166666666667</v>
      </c>
      <c r="K366" s="35">
        <v>17560.32</v>
      </c>
      <c r="L366" s="35">
        <f t="shared" si="150"/>
        <v>17560.32</v>
      </c>
      <c r="M366" s="35">
        <f t="shared" si="151"/>
        <v>146.33599999999998</v>
      </c>
      <c r="N366" s="35">
        <f t="shared" si="152"/>
        <v>1756.0319999999997</v>
      </c>
      <c r="O366" s="35">
        <f t="shared" si="153"/>
        <v>0</v>
      </c>
      <c r="P366" s="35">
        <f t="shared" si="154"/>
        <v>17560.32</v>
      </c>
      <c r="Q366" s="35">
        <f t="shared" si="155"/>
        <v>17560.32</v>
      </c>
      <c r="R366" s="35">
        <f t="shared" si="156"/>
        <v>0</v>
      </c>
    </row>
    <row r="367" spans="1:18" s="59" customFormat="1" hidden="1" outlineLevel="1">
      <c r="A367" s="53"/>
      <c r="B367" s="59">
        <v>4</v>
      </c>
      <c r="C367" s="59" t="s">
        <v>172</v>
      </c>
      <c r="D367" s="59">
        <v>2005</v>
      </c>
      <c r="E367" s="59">
        <v>6</v>
      </c>
      <c r="F367" s="59">
        <v>0</v>
      </c>
      <c r="G367" s="59" t="s">
        <v>78</v>
      </c>
      <c r="H367" s="28" t="s">
        <v>9</v>
      </c>
      <c r="I367" s="59">
        <f t="shared" si="157"/>
        <v>2015</v>
      </c>
      <c r="J367" s="34">
        <f t="shared" si="149"/>
        <v>2015.5</v>
      </c>
      <c r="K367" s="35">
        <v>19045.439999999999</v>
      </c>
      <c r="L367" s="35">
        <f t="shared" si="150"/>
        <v>19045.439999999999</v>
      </c>
      <c r="M367" s="35">
        <f t="shared" si="151"/>
        <v>158.71199999999999</v>
      </c>
      <c r="N367" s="35">
        <f t="shared" si="152"/>
        <v>1904.5439999999999</v>
      </c>
      <c r="O367" s="35">
        <f t="shared" si="153"/>
        <v>0</v>
      </c>
      <c r="P367" s="35">
        <f t="shared" si="154"/>
        <v>19045.439999999999</v>
      </c>
      <c r="Q367" s="35">
        <f t="shared" si="155"/>
        <v>19045.439999999999</v>
      </c>
      <c r="R367" s="35">
        <f t="shared" si="156"/>
        <v>0</v>
      </c>
    </row>
    <row r="368" spans="1:18" s="59" customFormat="1" hidden="1" outlineLevel="1">
      <c r="A368" s="53"/>
      <c r="B368" s="59">
        <v>9</v>
      </c>
      <c r="C368" s="59" t="s">
        <v>171</v>
      </c>
      <c r="D368" s="59">
        <v>2006</v>
      </c>
      <c r="E368" s="59">
        <v>3</v>
      </c>
      <c r="F368" s="59">
        <v>0</v>
      </c>
      <c r="G368" s="59" t="s">
        <v>78</v>
      </c>
      <c r="H368" s="28" t="s">
        <v>9</v>
      </c>
      <c r="I368" s="59">
        <f t="shared" si="157"/>
        <v>2016</v>
      </c>
      <c r="J368" s="34">
        <f t="shared" si="149"/>
        <v>2016.25</v>
      </c>
      <c r="K368" s="35">
        <v>40974.080000000002</v>
      </c>
      <c r="L368" s="35">
        <f t="shared" si="150"/>
        <v>40974.080000000002</v>
      </c>
      <c r="M368" s="35">
        <f t="shared" si="151"/>
        <v>341.45066666666668</v>
      </c>
      <c r="N368" s="35">
        <f t="shared" si="152"/>
        <v>4097.4080000000004</v>
      </c>
      <c r="O368" s="35">
        <f t="shared" si="153"/>
        <v>0</v>
      </c>
      <c r="P368" s="35">
        <f t="shared" si="154"/>
        <v>40974.080000000002</v>
      </c>
      <c r="Q368" s="35">
        <f t="shared" si="155"/>
        <v>40974.080000000002</v>
      </c>
      <c r="R368" s="35">
        <f t="shared" si="156"/>
        <v>0</v>
      </c>
    </row>
    <row r="369" spans="1:18" s="59" customFormat="1" hidden="1" outlineLevel="1">
      <c r="A369" s="53"/>
      <c r="B369" s="59">
        <v>4</v>
      </c>
      <c r="C369" s="59" t="s">
        <v>171</v>
      </c>
      <c r="D369" s="59">
        <v>2006</v>
      </c>
      <c r="E369" s="59">
        <v>3</v>
      </c>
      <c r="F369" s="59">
        <v>0</v>
      </c>
      <c r="G369" s="59" t="s">
        <v>78</v>
      </c>
      <c r="H369" s="28" t="s">
        <v>9</v>
      </c>
      <c r="I369" s="59">
        <f t="shared" si="157"/>
        <v>2016</v>
      </c>
      <c r="J369" s="34">
        <f t="shared" si="149"/>
        <v>2016.25</v>
      </c>
      <c r="K369" s="35">
        <v>17560.32</v>
      </c>
      <c r="L369" s="35">
        <f t="shared" si="150"/>
        <v>17560.32</v>
      </c>
      <c r="M369" s="35">
        <f t="shared" si="151"/>
        <v>146.33599999999998</v>
      </c>
      <c r="N369" s="35">
        <f t="shared" si="152"/>
        <v>1756.0319999999997</v>
      </c>
      <c r="O369" s="35">
        <f t="shared" si="153"/>
        <v>0</v>
      </c>
      <c r="P369" s="35">
        <f t="shared" si="154"/>
        <v>17560.32</v>
      </c>
      <c r="Q369" s="35">
        <f t="shared" si="155"/>
        <v>17560.32</v>
      </c>
      <c r="R369" s="35">
        <f t="shared" si="156"/>
        <v>0</v>
      </c>
    </row>
    <row r="370" spans="1:18" s="59" customFormat="1" hidden="1" outlineLevel="1">
      <c r="A370" s="53"/>
      <c r="B370" s="59">
        <v>10</v>
      </c>
      <c r="C370" s="59" t="s">
        <v>172</v>
      </c>
      <c r="D370" s="59">
        <v>2006</v>
      </c>
      <c r="E370" s="59">
        <v>3</v>
      </c>
      <c r="F370" s="59">
        <v>0</v>
      </c>
      <c r="G370" s="59" t="s">
        <v>78</v>
      </c>
      <c r="H370" s="28" t="s">
        <v>9</v>
      </c>
      <c r="I370" s="59">
        <f t="shared" si="157"/>
        <v>2016</v>
      </c>
      <c r="J370" s="34">
        <f t="shared" si="149"/>
        <v>2016.25</v>
      </c>
      <c r="K370" s="35">
        <v>52119.56</v>
      </c>
      <c r="L370" s="35">
        <f t="shared" si="150"/>
        <v>52119.56</v>
      </c>
      <c r="M370" s="35">
        <f t="shared" si="151"/>
        <v>434.3296666666667</v>
      </c>
      <c r="N370" s="35">
        <f t="shared" si="152"/>
        <v>5211.9560000000001</v>
      </c>
      <c r="O370" s="35">
        <f t="shared" si="153"/>
        <v>0</v>
      </c>
      <c r="P370" s="35">
        <f t="shared" si="154"/>
        <v>52119.56</v>
      </c>
      <c r="Q370" s="35">
        <f t="shared" si="155"/>
        <v>52119.56</v>
      </c>
      <c r="R370" s="35">
        <f t="shared" si="156"/>
        <v>0</v>
      </c>
    </row>
    <row r="371" spans="1:18" s="59" customFormat="1" hidden="1" outlineLevel="1">
      <c r="A371" s="53"/>
      <c r="B371" s="59">
        <v>6</v>
      </c>
      <c r="C371" s="59" t="s">
        <v>170</v>
      </c>
      <c r="D371" s="59">
        <v>2006</v>
      </c>
      <c r="E371" s="59">
        <v>7</v>
      </c>
      <c r="F371" s="59">
        <v>0</v>
      </c>
      <c r="G371" s="59" t="s">
        <v>78</v>
      </c>
      <c r="H371" s="28" t="s">
        <v>9</v>
      </c>
      <c r="I371" s="59">
        <f t="shared" si="157"/>
        <v>2016</v>
      </c>
      <c r="J371" s="34">
        <f t="shared" si="149"/>
        <v>2016.5833333333333</v>
      </c>
      <c r="K371" s="35">
        <v>24898.880000000001</v>
      </c>
      <c r="L371" s="35">
        <f t="shared" si="150"/>
        <v>24898.880000000001</v>
      </c>
      <c r="M371" s="35">
        <f t="shared" si="151"/>
        <v>207.49066666666667</v>
      </c>
      <c r="N371" s="35">
        <f t="shared" si="152"/>
        <v>2489.8879999999999</v>
      </c>
      <c r="O371" s="35">
        <f t="shared" si="153"/>
        <v>0</v>
      </c>
      <c r="P371" s="35">
        <f t="shared" si="154"/>
        <v>24898.880000000001</v>
      </c>
      <c r="Q371" s="35">
        <f t="shared" si="155"/>
        <v>24898.880000000001</v>
      </c>
      <c r="R371" s="35">
        <f t="shared" si="156"/>
        <v>0</v>
      </c>
    </row>
    <row r="372" spans="1:18" s="59" customFormat="1" hidden="1" outlineLevel="1">
      <c r="A372" s="53"/>
      <c r="B372" s="59">
        <v>4</v>
      </c>
      <c r="C372" s="59" t="s">
        <v>171</v>
      </c>
      <c r="D372" s="59">
        <v>2006</v>
      </c>
      <c r="E372" s="59">
        <v>8</v>
      </c>
      <c r="F372" s="59">
        <v>0</v>
      </c>
      <c r="G372" s="59" t="s">
        <v>78</v>
      </c>
      <c r="H372" s="28" t="s">
        <v>9</v>
      </c>
      <c r="I372" s="59">
        <f t="shared" si="157"/>
        <v>2016</v>
      </c>
      <c r="J372" s="34">
        <f t="shared" si="149"/>
        <v>2016.6666666666667</v>
      </c>
      <c r="K372" s="35">
        <v>17560.32</v>
      </c>
      <c r="L372" s="35">
        <f t="shared" si="150"/>
        <v>17560.32</v>
      </c>
      <c r="M372" s="35">
        <f t="shared" si="151"/>
        <v>146.33599999999998</v>
      </c>
      <c r="N372" s="35">
        <f t="shared" si="152"/>
        <v>1756.0319999999997</v>
      </c>
      <c r="O372" s="35">
        <f t="shared" si="153"/>
        <v>0</v>
      </c>
      <c r="P372" s="35">
        <f t="shared" si="154"/>
        <v>17560.32</v>
      </c>
      <c r="Q372" s="35">
        <f t="shared" si="155"/>
        <v>17560.32</v>
      </c>
      <c r="R372" s="35">
        <f t="shared" si="156"/>
        <v>0</v>
      </c>
    </row>
    <row r="373" spans="1:18" s="59" customFormat="1" hidden="1" outlineLevel="1">
      <c r="A373" s="53"/>
      <c r="B373" s="59">
        <v>4</v>
      </c>
      <c r="C373" s="59" t="s">
        <v>171</v>
      </c>
      <c r="D373" s="59">
        <v>2006</v>
      </c>
      <c r="E373" s="59">
        <v>8</v>
      </c>
      <c r="F373" s="59">
        <v>0</v>
      </c>
      <c r="G373" s="59" t="s">
        <v>78</v>
      </c>
      <c r="H373" s="28" t="s">
        <v>9</v>
      </c>
      <c r="I373" s="59">
        <f t="shared" si="157"/>
        <v>2016</v>
      </c>
      <c r="J373" s="34">
        <f t="shared" si="149"/>
        <v>2016.6666666666667</v>
      </c>
      <c r="K373" s="35">
        <v>17560.32</v>
      </c>
      <c r="L373" s="35">
        <f t="shared" si="150"/>
        <v>17560.32</v>
      </c>
      <c r="M373" s="35">
        <f t="shared" si="151"/>
        <v>146.33599999999998</v>
      </c>
      <c r="N373" s="35">
        <f t="shared" si="152"/>
        <v>1756.0319999999997</v>
      </c>
      <c r="O373" s="35">
        <f t="shared" si="153"/>
        <v>0</v>
      </c>
      <c r="P373" s="35">
        <f t="shared" si="154"/>
        <v>17560.32</v>
      </c>
      <c r="Q373" s="35">
        <f t="shared" si="155"/>
        <v>17560.32</v>
      </c>
      <c r="R373" s="35">
        <f t="shared" si="156"/>
        <v>0</v>
      </c>
    </row>
    <row r="374" spans="1:18" s="59" customFormat="1" hidden="1" outlineLevel="1">
      <c r="A374" s="53"/>
      <c r="B374" s="59">
        <v>1</v>
      </c>
      <c r="C374" s="59" t="s">
        <v>171</v>
      </c>
      <c r="D374" s="59">
        <v>2006</v>
      </c>
      <c r="E374" s="59">
        <v>8</v>
      </c>
      <c r="F374" s="59">
        <v>0</v>
      </c>
      <c r="G374" s="59" t="s">
        <v>78</v>
      </c>
      <c r="H374" s="28" t="s">
        <v>9</v>
      </c>
      <c r="I374" s="59">
        <f t="shared" si="157"/>
        <v>2016</v>
      </c>
      <c r="J374" s="34">
        <f t="shared" si="149"/>
        <v>2016.6666666666667</v>
      </c>
      <c r="K374" s="35">
        <v>5853.44</v>
      </c>
      <c r="L374" s="35">
        <f t="shared" si="150"/>
        <v>5853.44</v>
      </c>
      <c r="M374" s="35">
        <f t="shared" si="151"/>
        <v>48.778666666666659</v>
      </c>
      <c r="N374" s="35">
        <f t="shared" si="152"/>
        <v>585.34399999999994</v>
      </c>
      <c r="O374" s="35">
        <f t="shared" si="153"/>
        <v>0</v>
      </c>
      <c r="P374" s="35">
        <f t="shared" si="154"/>
        <v>5853.44</v>
      </c>
      <c r="Q374" s="35">
        <f t="shared" si="155"/>
        <v>5853.44</v>
      </c>
      <c r="R374" s="35">
        <f t="shared" si="156"/>
        <v>0</v>
      </c>
    </row>
    <row r="375" spans="1:18" s="59" customFormat="1" hidden="1" outlineLevel="1">
      <c r="A375" s="53"/>
      <c r="B375" s="59">
        <v>19</v>
      </c>
      <c r="C375" s="59" t="s">
        <v>170</v>
      </c>
      <c r="D375" s="59">
        <v>2007</v>
      </c>
      <c r="E375" s="59">
        <v>6</v>
      </c>
      <c r="F375" s="59">
        <v>0</v>
      </c>
      <c r="G375" s="59" t="s">
        <v>78</v>
      </c>
      <c r="H375" s="28" t="s">
        <v>9</v>
      </c>
      <c r="I375" s="59">
        <f t="shared" si="157"/>
        <v>2017</v>
      </c>
      <c r="J375" s="34">
        <f t="shared" si="149"/>
        <v>2017.5</v>
      </c>
      <c r="K375" s="35">
        <v>78734.7</v>
      </c>
      <c r="L375" s="35">
        <f t="shared" si="150"/>
        <v>78734.7</v>
      </c>
      <c r="M375" s="35">
        <f t="shared" si="151"/>
        <v>656.12249999999995</v>
      </c>
      <c r="N375" s="35">
        <f t="shared" si="152"/>
        <v>7873.4699999999993</v>
      </c>
      <c r="O375" s="35">
        <f t="shared" si="153"/>
        <v>0</v>
      </c>
      <c r="P375" s="35">
        <f t="shared" si="154"/>
        <v>78734.7</v>
      </c>
      <c r="Q375" s="35">
        <f t="shared" si="155"/>
        <v>78734.7</v>
      </c>
      <c r="R375" s="35">
        <f t="shared" si="156"/>
        <v>0</v>
      </c>
    </row>
    <row r="376" spans="1:18" s="59" customFormat="1" hidden="1" outlineLevel="1">
      <c r="A376" s="53"/>
      <c r="B376" s="59">
        <v>5</v>
      </c>
      <c r="C376" s="59" t="s">
        <v>171</v>
      </c>
      <c r="D376" s="59">
        <v>2007</v>
      </c>
      <c r="E376" s="59">
        <v>6</v>
      </c>
      <c r="F376" s="59">
        <v>0</v>
      </c>
      <c r="G376" s="59" t="s">
        <v>78</v>
      </c>
      <c r="H376" s="28" t="s">
        <v>9</v>
      </c>
      <c r="I376" s="59">
        <f t="shared" ref="I376:I378" si="158">D376+H376</f>
        <v>2017</v>
      </c>
      <c r="J376" s="34">
        <f t="shared" ref="J376:J378" si="159">+I376+(E376/12)</f>
        <v>2017.5</v>
      </c>
      <c r="K376" s="35">
        <v>23788.12</v>
      </c>
      <c r="L376" s="35">
        <f t="shared" si="150"/>
        <v>23788.12</v>
      </c>
      <c r="M376" s="35">
        <f t="shared" si="151"/>
        <v>198.23433333333332</v>
      </c>
      <c r="N376" s="35">
        <f t="shared" ref="N376:N378" si="160">+M376*12</f>
        <v>2378.8119999999999</v>
      </c>
      <c r="O376" s="35">
        <f t="shared" si="153"/>
        <v>0</v>
      </c>
      <c r="P376" s="35">
        <f t="shared" si="154"/>
        <v>23788.12</v>
      </c>
      <c r="Q376" s="35">
        <f t="shared" si="155"/>
        <v>23788.12</v>
      </c>
      <c r="R376" s="35">
        <f t="shared" si="156"/>
        <v>0</v>
      </c>
    </row>
    <row r="377" spans="1:18" s="59" customFormat="1" hidden="1" outlineLevel="1">
      <c r="A377" s="53"/>
      <c r="B377" s="59">
        <v>8</v>
      </c>
      <c r="C377" s="59" t="s">
        <v>171</v>
      </c>
      <c r="D377" s="59">
        <v>2007</v>
      </c>
      <c r="E377" s="59">
        <v>7</v>
      </c>
      <c r="F377" s="59">
        <v>0</v>
      </c>
      <c r="G377" s="59" t="s">
        <v>78</v>
      </c>
      <c r="H377" s="28" t="s">
        <v>9</v>
      </c>
      <c r="I377" s="59">
        <f t="shared" si="158"/>
        <v>2017</v>
      </c>
      <c r="J377" s="34">
        <f t="shared" si="159"/>
        <v>2017.5833333333333</v>
      </c>
      <c r="K377" s="35">
        <v>36858.300000000003</v>
      </c>
      <c r="L377" s="35">
        <f t="shared" ref="L377:L378" si="161">K377-K377*F377</f>
        <v>36858.300000000003</v>
      </c>
      <c r="M377" s="35">
        <f t="shared" ref="M377:M378" si="162">L377/H377/12</f>
        <v>307.15250000000003</v>
      </c>
      <c r="N377" s="35">
        <f t="shared" si="160"/>
        <v>3685.8300000000004</v>
      </c>
      <c r="O377" s="35">
        <f t="shared" ref="O377:O378" si="163">+IF(J377&lt;=$L$5,0,IF(I377&gt;$L$4,N377,(M377*E377)))</f>
        <v>0</v>
      </c>
      <c r="P377" s="35">
        <f t="shared" ref="P377:P378" si="164">+IF(O377=0,L377,IF($L$3-D377&lt;1,0,(($L$3-D377)*O377)))</f>
        <v>36858.300000000003</v>
      </c>
      <c r="Q377" s="35">
        <f t="shared" ref="Q377:Q378" si="165">+IF(O377=0,P377,P377+O377)</f>
        <v>36858.300000000003</v>
      </c>
      <c r="R377" s="35">
        <f t="shared" ref="R377:R378" si="166">+K377-Q377</f>
        <v>0</v>
      </c>
    </row>
    <row r="378" spans="1:18" s="59" customFormat="1" hidden="1" outlineLevel="1">
      <c r="A378" s="53"/>
      <c r="B378" s="59">
        <v>12</v>
      </c>
      <c r="C378" s="59" t="s">
        <v>171</v>
      </c>
      <c r="D378" s="59">
        <v>2007</v>
      </c>
      <c r="E378" s="59">
        <v>9</v>
      </c>
      <c r="F378" s="59">
        <v>0</v>
      </c>
      <c r="G378" s="59" t="s">
        <v>78</v>
      </c>
      <c r="H378" s="28" t="s">
        <v>9</v>
      </c>
      <c r="I378" s="59">
        <f t="shared" si="158"/>
        <v>2017</v>
      </c>
      <c r="J378" s="34">
        <f t="shared" si="159"/>
        <v>2017.75</v>
      </c>
      <c r="K378" s="35">
        <v>59470.3</v>
      </c>
      <c r="L378" s="35">
        <f t="shared" si="161"/>
        <v>59470.3</v>
      </c>
      <c r="M378" s="35">
        <f t="shared" si="162"/>
        <v>495.58583333333337</v>
      </c>
      <c r="N378" s="35">
        <f t="shared" si="160"/>
        <v>5947.0300000000007</v>
      </c>
      <c r="O378" s="35">
        <f t="shared" si="163"/>
        <v>0</v>
      </c>
      <c r="P378" s="35">
        <f t="shared" si="164"/>
        <v>59470.3</v>
      </c>
      <c r="Q378" s="35">
        <f t="shared" si="165"/>
        <v>59470.3</v>
      </c>
      <c r="R378" s="35">
        <f t="shared" si="166"/>
        <v>0</v>
      </c>
    </row>
    <row r="379" spans="1:18" s="59" customFormat="1" hidden="1" outlineLevel="1">
      <c r="A379" s="53">
        <v>200600</v>
      </c>
      <c r="B379" s="59">
        <v>56</v>
      </c>
      <c r="C379" s="56" t="s">
        <v>748</v>
      </c>
      <c r="D379" s="59">
        <v>2008</v>
      </c>
      <c r="E379" s="59">
        <v>11</v>
      </c>
      <c r="F379" s="59">
        <v>0</v>
      </c>
      <c r="G379" s="56" t="s">
        <v>78</v>
      </c>
      <c r="H379" s="28">
        <v>7</v>
      </c>
      <c r="I379" s="59">
        <f t="shared" ref="I379:I386" si="167">D379+H379</f>
        <v>2015</v>
      </c>
      <c r="J379" s="34">
        <f t="shared" ref="J379:J386" si="168">+I379+(E379/12)</f>
        <v>2015.9166666666667</v>
      </c>
      <c r="K379" s="35">
        <v>72596.160000000003</v>
      </c>
      <c r="L379" s="35">
        <f t="shared" ref="L379" si="169">K379-K379*F379</f>
        <v>72596.160000000003</v>
      </c>
      <c r="M379" s="35">
        <f t="shared" ref="M379" si="170">L379/H379/12</f>
        <v>864.24000000000012</v>
      </c>
      <c r="N379" s="35">
        <f t="shared" ref="N379" si="171">+M379*12</f>
        <v>10370.880000000001</v>
      </c>
      <c r="O379" s="35">
        <f t="shared" ref="O379" si="172">+IF(J379&lt;=$L$5,0,IF(I379&gt;$L$4,N379,(M379*E379)))</f>
        <v>0</v>
      </c>
      <c r="P379" s="35">
        <f t="shared" ref="P379" si="173">+IF(O379=0,L379,IF($L$3-D379&lt;1,0,(($L$3-D379)*O379)))</f>
        <v>72596.160000000003</v>
      </c>
      <c r="Q379" s="35">
        <f t="shared" ref="Q379" si="174">+IF(O379=0,P379,P379+O379)</f>
        <v>72596.160000000003</v>
      </c>
      <c r="R379" s="35">
        <f t="shared" ref="R379" si="175">+K379-Q379</f>
        <v>0</v>
      </c>
    </row>
    <row r="380" spans="1:18" s="59" customFormat="1" hidden="1" outlineLevel="1">
      <c r="A380" s="53">
        <v>200599</v>
      </c>
      <c r="B380" s="59">
        <v>12</v>
      </c>
      <c r="C380" s="56" t="s">
        <v>750</v>
      </c>
      <c r="D380" s="59">
        <v>2008</v>
      </c>
      <c r="E380" s="59">
        <v>11</v>
      </c>
      <c r="F380" s="59">
        <v>0</v>
      </c>
      <c r="G380" s="56" t="s">
        <v>78</v>
      </c>
      <c r="H380" s="28">
        <v>7</v>
      </c>
      <c r="I380" s="59">
        <f t="shared" si="167"/>
        <v>2015</v>
      </c>
      <c r="J380" s="34">
        <f t="shared" si="168"/>
        <v>2015.9166666666667</v>
      </c>
      <c r="K380" s="35">
        <v>15556.32</v>
      </c>
      <c r="L380" s="35">
        <f t="shared" ref="L380:L386" si="176">K380-K380*F380</f>
        <v>15556.32</v>
      </c>
      <c r="M380" s="35">
        <f t="shared" ref="M380:M386" si="177">L380/H380/12</f>
        <v>185.19428571428571</v>
      </c>
      <c r="N380" s="35">
        <f t="shared" ref="N380:N386" si="178">+M380*12</f>
        <v>2222.3314285714287</v>
      </c>
      <c r="O380" s="35">
        <f t="shared" ref="O380:O386" si="179">+IF(J380&lt;=$L$5,0,IF(I380&gt;$L$4,N380,(M380*E380)))</f>
        <v>0</v>
      </c>
      <c r="P380" s="35">
        <f t="shared" ref="P380:P386" si="180">+IF(O380=0,L380,IF($L$3-D380&lt;1,0,(($L$3-D380)*O380)))</f>
        <v>15556.32</v>
      </c>
      <c r="Q380" s="35">
        <f t="shared" ref="Q380:Q386" si="181">+IF(O380=0,P380,P380+O380)</f>
        <v>15556.32</v>
      </c>
      <c r="R380" s="35">
        <f t="shared" ref="R380:R386" si="182">+K380-Q380</f>
        <v>0</v>
      </c>
    </row>
    <row r="381" spans="1:18" s="59" customFormat="1" hidden="1" outlineLevel="1">
      <c r="A381" s="53">
        <v>200593</v>
      </c>
      <c r="B381" s="59">
        <v>88</v>
      </c>
      <c r="C381" s="56" t="s">
        <v>783</v>
      </c>
      <c r="D381" s="59">
        <v>2008</v>
      </c>
      <c r="E381" s="59">
        <v>11</v>
      </c>
      <c r="F381" s="59">
        <v>0</v>
      </c>
      <c r="G381" s="56" t="s">
        <v>78</v>
      </c>
      <c r="H381" s="28">
        <v>7</v>
      </c>
      <c r="I381" s="59">
        <f t="shared" si="167"/>
        <v>2015</v>
      </c>
      <c r="J381" s="34">
        <f t="shared" si="168"/>
        <v>2015.9166666666667</v>
      </c>
      <c r="K381" s="35">
        <v>114079.67999999999</v>
      </c>
      <c r="L381" s="35">
        <f t="shared" si="176"/>
        <v>114079.67999999999</v>
      </c>
      <c r="M381" s="35">
        <f t="shared" si="177"/>
        <v>1358.0914285714284</v>
      </c>
      <c r="N381" s="35">
        <f t="shared" si="178"/>
        <v>16297.097142857141</v>
      </c>
      <c r="O381" s="35">
        <f t="shared" si="179"/>
        <v>0</v>
      </c>
      <c r="P381" s="35">
        <f t="shared" si="180"/>
        <v>114079.67999999999</v>
      </c>
      <c r="Q381" s="35">
        <f t="shared" si="181"/>
        <v>114079.67999999999</v>
      </c>
      <c r="R381" s="35">
        <f t="shared" si="182"/>
        <v>0</v>
      </c>
    </row>
    <row r="382" spans="1:18" s="59" customFormat="1" hidden="1" outlineLevel="1">
      <c r="A382" s="53">
        <v>200586</v>
      </c>
      <c r="B382" s="59">
        <v>89</v>
      </c>
      <c r="C382" s="56" t="s">
        <v>784</v>
      </c>
      <c r="D382" s="59">
        <v>2008</v>
      </c>
      <c r="E382" s="59">
        <v>11</v>
      </c>
      <c r="F382" s="59">
        <v>0</v>
      </c>
      <c r="G382" s="56" t="s">
        <v>78</v>
      </c>
      <c r="H382" s="28">
        <v>7</v>
      </c>
      <c r="I382" s="59">
        <f t="shared" si="167"/>
        <v>2015</v>
      </c>
      <c r="J382" s="34">
        <f t="shared" si="168"/>
        <v>2015.9166666666667</v>
      </c>
      <c r="K382" s="35">
        <v>115376.93</v>
      </c>
      <c r="L382" s="35">
        <f t="shared" si="176"/>
        <v>115376.93</v>
      </c>
      <c r="M382" s="35">
        <f t="shared" si="177"/>
        <v>1373.5348809523809</v>
      </c>
      <c r="N382" s="35">
        <f t="shared" si="178"/>
        <v>16482.41857142857</v>
      </c>
      <c r="O382" s="35">
        <f t="shared" si="179"/>
        <v>0</v>
      </c>
      <c r="P382" s="35">
        <f t="shared" si="180"/>
        <v>115376.93</v>
      </c>
      <c r="Q382" s="35">
        <f t="shared" si="181"/>
        <v>115376.93</v>
      </c>
      <c r="R382" s="35">
        <f t="shared" si="182"/>
        <v>0</v>
      </c>
    </row>
    <row r="383" spans="1:18" s="59" customFormat="1" hidden="1" outlineLevel="1">
      <c r="A383" s="53">
        <v>200582</v>
      </c>
      <c r="B383" s="59">
        <v>5</v>
      </c>
      <c r="C383" s="56" t="s">
        <v>785</v>
      </c>
      <c r="D383" s="59">
        <v>2008</v>
      </c>
      <c r="E383" s="59">
        <v>11</v>
      </c>
      <c r="F383" s="59">
        <v>0</v>
      </c>
      <c r="G383" s="56" t="s">
        <v>78</v>
      </c>
      <c r="H383" s="28">
        <v>7</v>
      </c>
      <c r="I383" s="59">
        <f t="shared" si="167"/>
        <v>2015</v>
      </c>
      <c r="J383" s="34">
        <f t="shared" si="168"/>
        <v>2015.9166666666667</v>
      </c>
      <c r="K383" s="35">
        <v>6481.85</v>
      </c>
      <c r="L383" s="35">
        <f t="shared" si="176"/>
        <v>6481.85</v>
      </c>
      <c r="M383" s="35">
        <f t="shared" si="177"/>
        <v>77.164880952380955</v>
      </c>
      <c r="N383" s="35">
        <f t="shared" si="178"/>
        <v>925.97857142857151</v>
      </c>
      <c r="O383" s="35">
        <f t="shared" si="179"/>
        <v>0</v>
      </c>
      <c r="P383" s="35">
        <f t="shared" si="180"/>
        <v>6481.85</v>
      </c>
      <c r="Q383" s="35">
        <f t="shared" si="181"/>
        <v>6481.85</v>
      </c>
      <c r="R383" s="35">
        <f t="shared" si="182"/>
        <v>0</v>
      </c>
    </row>
    <row r="384" spans="1:18" s="59" customFormat="1" hidden="1" outlineLevel="1">
      <c r="A384" s="53">
        <v>200581</v>
      </c>
      <c r="B384" s="59">
        <v>111</v>
      </c>
      <c r="C384" s="56" t="s">
        <v>783</v>
      </c>
      <c r="D384" s="59">
        <v>2008</v>
      </c>
      <c r="E384" s="59">
        <v>11</v>
      </c>
      <c r="F384" s="59">
        <v>0</v>
      </c>
      <c r="G384" s="56" t="s">
        <v>78</v>
      </c>
      <c r="H384" s="28">
        <v>7</v>
      </c>
      <c r="I384" s="59">
        <f t="shared" si="167"/>
        <v>2015</v>
      </c>
      <c r="J384" s="34">
        <f t="shared" si="168"/>
        <v>2015.9166666666667</v>
      </c>
      <c r="K384" s="35">
        <v>166692.03</v>
      </c>
      <c r="L384" s="35">
        <f t="shared" si="176"/>
        <v>166692.03</v>
      </c>
      <c r="M384" s="35">
        <f t="shared" si="177"/>
        <v>1984.4289285714285</v>
      </c>
      <c r="N384" s="35">
        <f t="shared" si="178"/>
        <v>23813.147142857142</v>
      </c>
      <c r="O384" s="35">
        <f t="shared" si="179"/>
        <v>0</v>
      </c>
      <c r="P384" s="35">
        <f t="shared" si="180"/>
        <v>166692.03</v>
      </c>
      <c r="Q384" s="35">
        <f t="shared" si="181"/>
        <v>166692.03</v>
      </c>
      <c r="R384" s="35">
        <f t="shared" si="182"/>
        <v>0</v>
      </c>
    </row>
    <row r="385" spans="1:18" s="59" customFormat="1" hidden="1" outlineLevel="1">
      <c r="A385" s="53">
        <v>200571</v>
      </c>
      <c r="B385" s="59">
        <v>12</v>
      </c>
      <c r="C385" s="56" t="s">
        <v>786</v>
      </c>
      <c r="D385" s="59">
        <v>2008</v>
      </c>
      <c r="E385" s="59">
        <v>11</v>
      </c>
      <c r="F385" s="59">
        <v>0</v>
      </c>
      <c r="G385" s="56" t="s">
        <v>78</v>
      </c>
      <c r="H385" s="28">
        <v>7</v>
      </c>
      <c r="I385" s="59">
        <f t="shared" si="167"/>
        <v>2015</v>
      </c>
      <c r="J385" s="34">
        <f t="shared" si="168"/>
        <v>2015.9166666666667</v>
      </c>
      <c r="K385" s="35">
        <v>1567.56</v>
      </c>
      <c r="L385" s="35">
        <f t="shared" si="176"/>
        <v>1567.56</v>
      </c>
      <c r="M385" s="35">
        <f t="shared" si="177"/>
        <v>18.661428571428569</v>
      </c>
      <c r="N385" s="35">
        <f t="shared" si="178"/>
        <v>223.93714285714282</v>
      </c>
      <c r="O385" s="35">
        <f t="shared" si="179"/>
        <v>0</v>
      </c>
      <c r="P385" s="35">
        <f t="shared" si="180"/>
        <v>1567.56</v>
      </c>
      <c r="Q385" s="35">
        <f t="shared" si="181"/>
        <v>1567.56</v>
      </c>
      <c r="R385" s="35">
        <f t="shared" si="182"/>
        <v>0</v>
      </c>
    </row>
    <row r="386" spans="1:18" s="59" customFormat="1" hidden="1" outlineLevel="1">
      <c r="A386" s="53">
        <v>200570</v>
      </c>
      <c r="B386" s="59">
        <v>5</v>
      </c>
      <c r="C386" s="56" t="s">
        <v>750</v>
      </c>
      <c r="D386" s="59">
        <v>2008</v>
      </c>
      <c r="E386" s="59">
        <v>11</v>
      </c>
      <c r="F386" s="59">
        <v>0</v>
      </c>
      <c r="G386" s="56" t="s">
        <v>78</v>
      </c>
      <c r="H386" s="28">
        <v>7</v>
      </c>
      <c r="I386" s="59">
        <f t="shared" si="167"/>
        <v>2015</v>
      </c>
      <c r="J386" s="34">
        <f t="shared" si="168"/>
        <v>2015.9166666666667</v>
      </c>
      <c r="K386" s="35">
        <v>71822.95</v>
      </c>
      <c r="L386" s="35">
        <f t="shared" si="176"/>
        <v>71822.95</v>
      </c>
      <c r="M386" s="35">
        <f t="shared" si="177"/>
        <v>855.03511904761899</v>
      </c>
      <c r="N386" s="35">
        <f t="shared" si="178"/>
        <v>10260.421428571428</v>
      </c>
      <c r="O386" s="35">
        <f t="shared" si="179"/>
        <v>0</v>
      </c>
      <c r="P386" s="35">
        <f t="shared" si="180"/>
        <v>71822.95</v>
      </c>
      <c r="Q386" s="35">
        <f t="shared" si="181"/>
        <v>71822.95</v>
      </c>
      <c r="R386" s="35">
        <f t="shared" si="182"/>
        <v>0</v>
      </c>
    </row>
    <row r="387" spans="1:18" s="59" customFormat="1" hidden="1" outlineLevel="1">
      <c r="A387" s="54">
        <v>237687</v>
      </c>
      <c r="B387" s="59">
        <v>25</v>
      </c>
      <c r="C387" s="56" t="s">
        <v>860</v>
      </c>
      <c r="D387" s="59">
        <v>2008</v>
      </c>
      <c r="E387" s="59">
        <v>11</v>
      </c>
      <c r="F387" s="59">
        <v>0</v>
      </c>
      <c r="G387" s="56" t="s">
        <v>78</v>
      </c>
      <c r="H387" s="28">
        <v>7</v>
      </c>
      <c r="I387" s="59">
        <f>D387+H387</f>
        <v>2015</v>
      </c>
      <c r="J387" s="34">
        <f>+I387+(E387/12)</f>
        <v>2015.9166666666667</v>
      </c>
      <c r="K387" s="35">
        <v>37543.25</v>
      </c>
      <c r="L387" s="35">
        <f>K387-K387*F387</f>
        <v>37543.25</v>
      </c>
      <c r="M387" s="35">
        <f>L387/H387/12</f>
        <v>446.94345238095235</v>
      </c>
      <c r="N387" s="35">
        <f>+M387*12</f>
        <v>5363.3214285714284</v>
      </c>
      <c r="O387" s="35">
        <f>+IF(J387&lt;=$L$5,0,IF(I387&gt;$L$4,N387,(M387*E387)))</f>
        <v>0</v>
      </c>
      <c r="P387" s="35">
        <f>+IF(O387=0,L387,IF($L$3-D387&lt;1,0,(($L$3-D387)*O387)))</f>
        <v>37543.25</v>
      </c>
      <c r="Q387" s="35">
        <f>+IF(O387=0,P387,P387+O387)</f>
        <v>37543.25</v>
      </c>
      <c r="R387" s="35">
        <f>+K387-Q387</f>
        <v>0</v>
      </c>
    </row>
    <row r="388" spans="1:18" s="59" customFormat="1" hidden="1" outlineLevel="1">
      <c r="A388" s="53" t="s">
        <v>524</v>
      </c>
      <c r="B388" s="59">
        <v>72</v>
      </c>
      <c r="C388" s="59" t="s">
        <v>525</v>
      </c>
      <c r="D388" s="59">
        <v>2014</v>
      </c>
      <c r="E388" s="59">
        <v>12</v>
      </c>
      <c r="F388" s="59">
        <v>0</v>
      </c>
      <c r="G388" s="59" t="s">
        <v>78</v>
      </c>
      <c r="H388" s="28">
        <v>5</v>
      </c>
      <c r="I388" s="59">
        <f t="shared" ref="I388:I402" si="183">D388+H388</f>
        <v>2019</v>
      </c>
      <c r="J388" s="34">
        <f t="shared" ref="J388:J408" si="184">+I388+(E388/12)</f>
        <v>2020</v>
      </c>
      <c r="K388" s="35">
        <f>51081.75+23609.1</f>
        <v>74690.850000000006</v>
      </c>
      <c r="L388" s="35">
        <f t="shared" ref="L388:L400" si="185">K388-K388*F388</f>
        <v>74690.850000000006</v>
      </c>
      <c r="M388" s="35">
        <f t="shared" ref="M388:M400" si="186">L388/H388/12</f>
        <v>1244.8475000000001</v>
      </c>
      <c r="N388" s="35">
        <f t="shared" ref="N388:N400" si="187">+M388*12</f>
        <v>14938.170000000002</v>
      </c>
      <c r="O388" s="35">
        <f t="shared" ref="O388:O400" si="188">+IF(J388&lt;=$L$5,0,IF(I388&gt;$L$4,N388,(M388*E388)))</f>
        <v>0</v>
      </c>
      <c r="P388" s="35">
        <f t="shared" ref="P388:P400" si="189">+IF(O388=0,L388,IF($L$3-D388&lt;1,0,(($L$3-D388)*O388)))</f>
        <v>74690.850000000006</v>
      </c>
      <c r="Q388" s="35">
        <f t="shared" ref="Q388:Q400" si="190">+IF(O388=0,P388,P388+O388)</f>
        <v>74690.850000000006</v>
      </c>
      <c r="R388" s="35">
        <f t="shared" ref="R388:R400" si="191">+K388-Q388</f>
        <v>0</v>
      </c>
    </row>
    <row r="389" spans="1:18" s="59" customFormat="1" collapsed="1">
      <c r="A389" s="53">
        <v>124524</v>
      </c>
      <c r="B389" s="59">
        <v>6</v>
      </c>
      <c r="C389" s="59" t="s">
        <v>172</v>
      </c>
      <c r="D389" s="59">
        <v>2015</v>
      </c>
      <c r="E389" s="59">
        <v>4</v>
      </c>
      <c r="F389" s="59">
        <v>0</v>
      </c>
      <c r="G389" s="59" t="s">
        <v>78</v>
      </c>
      <c r="H389" s="28">
        <v>12</v>
      </c>
      <c r="I389" s="59">
        <f t="shared" si="183"/>
        <v>2027</v>
      </c>
      <c r="J389" s="34">
        <f t="shared" si="184"/>
        <v>2027.3333333333333</v>
      </c>
      <c r="K389" s="35">
        <v>40590</v>
      </c>
      <c r="L389" s="35">
        <f t="shared" si="185"/>
        <v>40590</v>
      </c>
      <c r="M389" s="35">
        <f t="shared" si="186"/>
        <v>281.875</v>
      </c>
      <c r="N389" s="35">
        <f t="shared" si="187"/>
        <v>3382.5</v>
      </c>
      <c r="O389" s="35">
        <f t="shared" si="188"/>
        <v>3382.5</v>
      </c>
      <c r="P389" s="35">
        <f t="shared" si="189"/>
        <v>20295</v>
      </c>
      <c r="Q389" s="35">
        <f t="shared" si="190"/>
        <v>23677.5</v>
      </c>
      <c r="R389" s="35">
        <f t="shared" si="191"/>
        <v>16912.5</v>
      </c>
    </row>
    <row r="390" spans="1:18" s="59" customFormat="1">
      <c r="A390" s="53">
        <v>132479</v>
      </c>
      <c r="B390" s="59">
        <v>3</v>
      </c>
      <c r="C390" s="59" t="s">
        <v>171</v>
      </c>
      <c r="D390" s="59">
        <v>2016</v>
      </c>
      <c r="E390" s="59">
        <v>4</v>
      </c>
      <c r="F390" s="59">
        <v>0</v>
      </c>
      <c r="G390" s="59" t="s">
        <v>78</v>
      </c>
      <c r="H390" s="28">
        <v>12</v>
      </c>
      <c r="I390" s="59">
        <f t="shared" si="183"/>
        <v>2028</v>
      </c>
      <c r="J390" s="34">
        <f t="shared" si="184"/>
        <v>2028.3333333333333</v>
      </c>
      <c r="K390" s="35">
        <v>17610</v>
      </c>
      <c r="L390" s="35">
        <f t="shared" si="185"/>
        <v>17610</v>
      </c>
      <c r="M390" s="35">
        <f t="shared" si="186"/>
        <v>122.29166666666667</v>
      </c>
      <c r="N390" s="35">
        <f t="shared" si="187"/>
        <v>1467.5</v>
      </c>
      <c r="O390" s="35">
        <f t="shared" si="188"/>
        <v>1467.5</v>
      </c>
      <c r="P390" s="35">
        <f t="shared" si="189"/>
        <v>7337.5</v>
      </c>
      <c r="Q390" s="35">
        <f t="shared" si="190"/>
        <v>8805</v>
      </c>
      <c r="R390" s="35">
        <f t="shared" si="191"/>
        <v>8805</v>
      </c>
    </row>
    <row r="391" spans="1:18" s="59" customFormat="1">
      <c r="A391" s="53">
        <v>132591</v>
      </c>
      <c r="B391" s="59">
        <v>6</v>
      </c>
      <c r="C391" s="59" t="s">
        <v>172</v>
      </c>
      <c r="D391" s="59">
        <v>2016</v>
      </c>
      <c r="E391" s="59">
        <v>4</v>
      </c>
      <c r="F391" s="59">
        <v>0</v>
      </c>
      <c r="G391" s="59" t="s">
        <v>78</v>
      </c>
      <c r="H391" s="28">
        <v>12</v>
      </c>
      <c r="I391" s="59">
        <f t="shared" si="183"/>
        <v>2028</v>
      </c>
      <c r="J391" s="34">
        <f t="shared" si="184"/>
        <v>2028.3333333333333</v>
      </c>
      <c r="K391" s="35">
        <v>39270</v>
      </c>
      <c r="L391" s="35">
        <f t="shared" si="185"/>
        <v>39270</v>
      </c>
      <c r="M391" s="35">
        <f t="shared" si="186"/>
        <v>272.70833333333331</v>
      </c>
      <c r="N391" s="35">
        <f t="shared" si="187"/>
        <v>3272.5</v>
      </c>
      <c r="O391" s="35">
        <f t="shared" si="188"/>
        <v>3272.5</v>
      </c>
      <c r="P391" s="35">
        <f t="shared" si="189"/>
        <v>16362.5</v>
      </c>
      <c r="Q391" s="35">
        <f t="shared" si="190"/>
        <v>19635</v>
      </c>
      <c r="R391" s="35">
        <f t="shared" si="191"/>
        <v>19635</v>
      </c>
    </row>
    <row r="392" spans="1:18" s="59" customFormat="1">
      <c r="A392" s="53">
        <v>165694</v>
      </c>
      <c r="B392" s="59">
        <v>3</v>
      </c>
      <c r="C392" s="59" t="s">
        <v>172</v>
      </c>
      <c r="D392" s="59">
        <v>2016</v>
      </c>
      <c r="E392" s="59">
        <v>7</v>
      </c>
      <c r="F392" s="59">
        <v>0</v>
      </c>
      <c r="G392" s="59" t="s">
        <v>78</v>
      </c>
      <c r="H392" s="28">
        <v>12</v>
      </c>
      <c r="I392" s="59">
        <f t="shared" si="183"/>
        <v>2028</v>
      </c>
      <c r="J392" s="34">
        <f t="shared" si="184"/>
        <v>2028.5833333333333</v>
      </c>
      <c r="K392" s="35">
        <v>19635</v>
      </c>
      <c r="L392" s="35">
        <f t="shared" si="185"/>
        <v>19635</v>
      </c>
      <c r="M392" s="35">
        <f t="shared" si="186"/>
        <v>136.35416666666666</v>
      </c>
      <c r="N392" s="35">
        <f t="shared" si="187"/>
        <v>1636.25</v>
      </c>
      <c r="O392" s="35">
        <f t="shared" si="188"/>
        <v>1636.25</v>
      </c>
      <c r="P392" s="35">
        <f t="shared" si="189"/>
        <v>8181.25</v>
      </c>
      <c r="Q392" s="35">
        <f t="shared" si="190"/>
        <v>9817.5</v>
      </c>
      <c r="R392" s="35">
        <f t="shared" si="191"/>
        <v>9817.5</v>
      </c>
    </row>
    <row r="393" spans="1:18" s="59" customFormat="1">
      <c r="A393" s="53">
        <v>172712</v>
      </c>
      <c r="B393" s="59">
        <v>4</v>
      </c>
      <c r="C393" s="59" t="s">
        <v>628</v>
      </c>
      <c r="D393" s="59">
        <v>2017</v>
      </c>
      <c r="E393" s="59">
        <v>1</v>
      </c>
      <c r="F393" s="59">
        <v>0</v>
      </c>
      <c r="G393" s="59" t="s">
        <v>78</v>
      </c>
      <c r="H393" s="28">
        <v>11.11</v>
      </c>
      <c r="I393" s="59">
        <f t="shared" si="183"/>
        <v>2028.11</v>
      </c>
      <c r="J393" s="34">
        <f t="shared" si="184"/>
        <v>2028.1933333333332</v>
      </c>
      <c r="K393" s="35">
        <v>23940</v>
      </c>
      <c r="L393" s="35">
        <f t="shared" si="185"/>
        <v>23940</v>
      </c>
      <c r="M393" s="35">
        <f t="shared" si="186"/>
        <v>179.56795679567958</v>
      </c>
      <c r="N393" s="35">
        <f t="shared" si="187"/>
        <v>2154.8154815481548</v>
      </c>
      <c r="O393" s="35">
        <f t="shared" si="188"/>
        <v>2154.8154815481548</v>
      </c>
      <c r="P393" s="35">
        <f t="shared" si="189"/>
        <v>8619.2619261926193</v>
      </c>
      <c r="Q393" s="35">
        <f t="shared" si="190"/>
        <v>10774.077407740773</v>
      </c>
      <c r="R393" s="35">
        <f t="shared" si="191"/>
        <v>13165.922592259227</v>
      </c>
    </row>
    <row r="394" spans="1:18" s="59" customFormat="1">
      <c r="A394" s="53">
        <v>182636</v>
      </c>
      <c r="B394" s="59">
        <v>3</v>
      </c>
      <c r="C394" s="59" t="s">
        <v>617</v>
      </c>
      <c r="D394" s="59">
        <v>2017</v>
      </c>
      <c r="E394" s="59">
        <v>5</v>
      </c>
      <c r="F394" s="59">
        <v>0</v>
      </c>
      <c r="G394" s="59" t="s">
        <v>78</v>
      </c>
      <c r="H394" s="28">
        <v>12</v>
      </c>
      <c r="I394" s="59">
        <f t="shared" si="183"/>
        <v>2029</v>
      </c>
      <c r="J394" s="34">
        <f t="shared" si="184"/>
        <v>2029.4166666666667</v>
      </c>
      <c r="K394" s="35">
        <v>21435</v>
      </c>
      <c r="L394" s="35">
        <f t="shared" si="185"/>
        <v>21435</v>
      </c>
      <c r="M394" s="35">
        <f t="shared" si="186"/>
        <v>148.85416666666666</v>
      </c>
      <c r="N394" s="35">
        <f t="shared" si="187"/>
        <v>1786.25</v>
      </c>
      <c r="O394" s="35">
        <f t="shared" si="188"/>
        <v>1786.25</v>
      </c>
      <c r="P394" s="35">
        <f t="shared" si="189"/>
        <v>7145</v>
      </c>
      <c r="Q394" s="35">
        <f t="shared" si="190"/>
        <v>8931.25</v>
      </c>
      <c r="R394" s="35">
        <f t="shared" si="191"/>
        <v>12503.75</v>
      </c>
    </row>
    <row r="395" spans="1:18" s="59" customFormat="1">
      <c r="A395" s="53">
        <v>182597</v>
      </c>
      <c r="B395" s="59">
        <v>4</v>
      </c>
      <c r="C395" s="59" t="s">
        <v>617</v>
      </c>
      <c r="D395" s="59">
        <v>2017</v>
      </c>
      <c r="E395" s="59">
        <v>5</v>
      </c>
      <c r="F395" s="59">
        <v>0</v>
      </c>
      <c r="G395" s="59" t="s">
        <v>78</v>
      </c>
      <c r="H395" s="28">
        <v>12</v>
      </c>
      <c r="I395" s="59">
        <f t="shared" si="183"/>
        <v>2029</v>
      </c>
      <c r="J395" s="34">
        <f t="shared" si="184"/>
        <v>2029.4166666666667</v>
      </c>
      <c r="K395" s="35">
        <v>28580</v>
      </c>
      <c r="L395" s="35">
        <f t="shared" si="185"/>
        <v>28580</v>
      </c>
      <c r="M395" s="35">
        <f t="shared" si="186"/>
        <v>198.4722222222222</v>
      </c>
      <c r="N395" s="35">
        <f t="shared" si="187"/>
        <v>2381.6666666666665</v>
      </c>
      <c r="O395" s="35">
        <f t="shared" si="188"/>
        <v>2381.6666666666665</v>
      </c>
      <c r="P395" s="35">
        <f t="shared" si="189"/>
        <v>9526.6666666666661</v>
      </c>
      <c r="Q395" s="35">
        <f t="shared" si="190"/>
        <v>11908.333333333332</v>
      </c>
      <c r="R395" s="35">
        <f t="shared" si="191"/>
        <v>16671.666666666668</v>
      </c>
    </row>
    <row r="396" spans="1:18" s="59" customFormat="1">
      <c r="A396" s="53">
        <v>182548</v>
      </c>
      <c r="B396" s="59">
        <v>3</v>
      </c>
      <c r="C396" s="59" t="s">
        <v>617</v>
      </c>
      <c r="D396" s="59">
        <v>2017</v>
      </c>
      <c r="E396" s="59">
        <v>5</v>
      </c>
      <c r="F396" s="59">
        <v>0</v>
      </c>
      <c r="G396" s="59" t="s">
        <v>78</v>
      </c>
      <c r="H396" s="28">
        <v>12</v>
      </c>
      <c r="I396" s="59">
        <f t="shared" si="183"/>
        <v>2029</v>
      </c>
      <c r="J396" s="34">
        <f t="shared" si="184"/>
        <v>2029.4166666666667</v>
      </c>
      <c r="K396" s="35">
        <v>21435</v>
      </c>
      <c r="L396" s="35">
        <f t="shared" si="185"/>
        <v>21435</v>
      </c>
      <c r="M396" s="35">
        <f t="shared" si="186"/>
        <v>148.85416666666666</v>
      </c>
      <c r="N396" s="35">
        <f t="shared" si="187"/>
        <v>1786.25</v>
      </c>
      <c r="O396" s="35">
        <f t="shared" si="188"/>
        <v>1786.25</v>
      </c>
      <c r="P396" s="35">
        <f t="shared" si="189"/>
        <v>7145</v>
      </c>
      <c r="Q396" s="35">
        <f t="shared" si="190"/>
        <v>8931.25</v>
      </c>
      <c r="R396" s="35">
        <f t="shared" si="191"/>
        <v>12503.75</v>
      </c>
    </row>
    <row r="397" spans="1:18" s="59" customFormat="1">
      <c r="A397" s="53">
        <v>184509</v>
      </c>
      <c r="B397" s="59">
        <v>9</v>
      </c>
      <c r="C397" s="59" t="s">
        <v>610</v>
      </c>
      <c r="D397" s="59">
        <v>2017</v>
      </c>
      <c r="E397" s="59">
        <v>7</v>
      </c>
      <c r="F397" s="59">
        <v>0</v>
      </c>
      <c r="G397" s="59" t="s">
        <v>78</v>
      </c>
      <c r="H397" s="28">
        <v>12</v>
      </c>
      <c r="I397" s="59">
        <f t="shared" si="183"/>
        <v>2029</v>
      </c>
      <c r="J397" s="34">
        <f t="shared" si="184"/>
        <v>2029.5833333333333</v>
      </c>
      <c r="K397" s="35">
        <v>55575</v>
      </c>
      <c r="L397" s="35">
        <f t="shared" si="185"/>
        <v>55575</v>
      </c>
      <c r="M397" s="35">
        <f t="shared" si="186"/>
        <v>385.9375</v>
      </c>
      <c r="N397" s="35">
        <f t="shared" si="187"/>
        <v>4631.25</v>
      </c>
      <c r="O397" s="35">
        <f t="shared" si="188"/>
        <v>4631.25</v>
      </c>
      <c r="P397" s="35">
        <f t="shared" si="189"/>
        <v>18525</v>
      </c>
      <c r="Q397" s="35">
        <f t="shared" si="190"/>
        <v>23156.25</v>
      </c>
      <c r="R397" s="35">
        <f t="shared" si="191"/>
        <v>32418.75</v>
      </c>
    </row>
    <row r="398" spans="1:18" s="59" customFormat="1">
      <c r="A398" s="53">
        <v>186461</v>
      </c>
      <c r="B398" s="59">
        <v>3</v>
      </c>
      <c r="C398" s="59" t="s">
        <v>610</v>
      </c>
      <c r="D398" s="59">
        <v>2017</v>
      </c>
      <c r="E398" s="59">
        <v>9</v>
      </c>
      <c r="F398" s="59">
        <v>0</v>
      </c>
      <c r="G398" s="59" t="s">
        <v>78</v>
      </c>
      <c r="H398" s="28">
        <v>12</v>
      </c>
      <c r="I398" s="59">
        <f t="shared" si="183"/>
        <v>2029</v>
      </c>
      <c r="J398" s="34">
        <f t="shared" si="184"/>
        <v>2029.75</v>
      </c>
      <c r="K398" s="35">
        <v>18525</v>
      </c>
      <c r="L398" s="35">
        <f t="shared" si="185"/>
        <v>18525</v>
      </c>
      <c r="M398" s="35">
        <f t="shared" si="186"/>
        <v>128.64583333333334</v>
      </c>
      <c r="N398" s="35">
        <f t="shared" si="187"/>
        <v>1543.75</v>
      </c>
      <c r="O398" s="35">
        <f t="shared" si="188"/>
        <v>1543.75</v>
      </c>
      <c r="P398" s="35">
        <f t="shared" si="189"/>
        <v>6175</v>
      </c>
      <c r="Q398" s="35">
        <f t="shared" si="190"/>
        <v>7718.75</v>
      </c>
      <c r="R398" s="35">
        <f t="shared" si="191"/>
        <v>10806.25</v>
      </c>
    </row>
    <row r="399" spans="1:18" s="59" customFormat="1">
      <c r="A399" s="53">
        <v>187206</v>
      </c>
      <c r="B399" s="59">
        <v>3</v>
      </c>
      <c r="C399" s="59" t="s">
        <v>721</v>
      </c>
      <c r="D399" s="59">
        <v>2017</v>
      </c>
      <c r="E399" s="59">
        <v>9</v>
      </c>
      <c r="F399" s="59">
        <v>0</v>
      </c>
      <c r="G399" s="59" t="s">
        <v>78</v>
      </c>
      <c r="H399" s="28">
        <v>12</v>
      </c>
      <c r="I399" s="59">
        <f t="shared" si="183"/>
        <v>2029</v>
      </c>
      <c r="J399" s="34">
        <f t="shared" si="184"/>
        <v>2029.75</v>
      </c>
      <c r="K399" s="35">
        <v>18525</v>
      </c>
      <c r="L399" s="35">
        <f t="shared" si="185"/>
        <v>18525</v>
      </c>
      <c r="M399" s="35">
        <f t="shared" si="186"/>
        <v>128.64583333333334</v>
      </c>
      <c r="N399" s="35">
        <f t="shared" si="187"/>
        <v>1543.75</v>
      </c>
      <c r="O399" s="35">
        <f t="shared" si="188"/>
        <v>1543.75</v>
      </c>
      <c r="P399" s="35">
        <f t="shared" si="189"/>
        <v>6175</v>
      </c>
      <c r="Q399" s="35">
        <f t="shared" si="190"/>
        <v>7718.75</v>
      </c>
      <c r="R399" s="35">
        <f t="shared" si="191"/>
        <v>10806.25</v>
      </c>
    </row>
    <row r="400" spans="1:18" s="59" customFormat="1">
      <c r="A400" s="54" t="s">
        <v>749</v>
      </c>
      <c r="B400" s="59">
        <v>10</v>
      </c>
      <c r="C400" s="56" t="s">
        <v>748</v>
      </c>
      <c r="D400" s="59">
        <v>2018</v>
      </c>
      <c r="E400" s="59">
        <v>10</v>
      </c>
      <c r="F400" s="59">
        <v>0</v>
      </c>
      <c r="G400" s="56" t="s">
        <v>78</v>
      </c>
      <c r="H400" s="28">
        <v>12</v>
      </c>
      <c r="I400" s="59">
        <f t="shared" si="183"/>
        <v>2030</v>
      </c>
      <c r="J400" s="34">
        <f t="shared" si="184"/>
        <v>2030.8333333333333</v>
      </c>
      <c r="K400" s="35">
        <f>33480.65+33268.62</f>
        <v>66749.27</v>
      </c>
      <c r="L400" s="35">
        <f t="shared" si="185"/>
        <v>66749.27</v>
      </c>
      <c r="M400" s="35">
        <f t="shared" si="186"/>
        <v>463.53659722222227</v>
      </c>
      <c r="N400" s="35">
        <f t="shared" si="187"/>
        <v>5562.439166666667</v>
      </c>
      <c r="O400" s="35">
        <f t="shared" si="188"/>
        <v>5562.439166666667</v>
      </c>
      <c r="P400" s="35">
        <f t="shared" si="189"/>
        <v>16687.317500000001</v>
      </c>
      <c r="Q400" s="35">
        <f t="shared" si="190"/>
        <v>22249.756666666668</v>
      </c>
      <c r="R400" s="35">
        <f t="shared" si="191"/>
        <v>44499.513333333336</v>
      </c>
    </row>
    <row r="401" spans="1:18" s="59" customFormat="1">
      <c r="A401" s="53">
        <v>216319</v>
      </c>
      <c r="B401" s="59">
        <v>10</v>
      </c>
      <c r="C401" s="59" t="s">
        <v>721</v>
      </c>
      <c r="D401" s="59">
        <v>2019</v>
      </c>
      <c r="E401" s="59">
        <v>6</v>
      </c>
      <c r="F401" s="59">
        <v>0</v>
      </c>
      <c r="G401" s="56" t="s">
        <v>78</v>
      </c>
      <c r="H401" s="28">
        <v>12</v>
      </c>
      <c r="I401" s="59">
        <f t="shared" si="183"/>
        <v>2031</v>
      </c>
      <c r="J401" s="34">
        <f t="shared" si="184"/>
        <v>2031.5</v>
      </c>
      <c r="K401" s="35">
        <v>48393.96</v>
      </c>
      <c r="L401" s="35">
        <f t="shared" ref="L401:L406" si="192">K401-K401*F401</f>
        <v>48393.96</v>
      </c>
      <c r="M401" s="35">
        <f t="shared" ref="M401:M406" si="193">L401/H401/12</f>
        <v>336.06916666666666</v>
      </c>
      <c r="N401" s="35">
        <f t="shared" ref="N401:N406" si="194">+M401*12</f>
        <v>4032.83</v>
      </c>
      <c r="O401" s="35">
        <f t="shared" ref="O401:O406" si="195">+IF(J401&lt;=$L$5,0,IF(I401&gt;$L$4,N401,(M401*E401)))</f>
        <v>4032.83</v>
      </c>
      <c r="P401" s="35">
        <f t="shared" ref="P401:P406" si="196">+IF(O401=0,L401,IF($L$3-D401&lt;1,0,(($L$3-D401)*O401)))</f>
        <v>8065.66</v>
      </c>
      <c r="Q401" s="35">
        <f t="shared" ref="Q401:Q406" si="197">+IF(O401=0,P401,P401+O401)</f>
        <v>12098.49</v>
      </c>
      <c r="R401" s="35">
        <f t="shared" ref="R401:R406" si="198">+K401-Q401</f>
        <v>36295.47</v>
      </c>
    </row>
    <row r="402" spans="1:18" s="59" customFormat="1">
      <c r="A402" s="53">
        <v>217873</v>
      </c>
      <c r="B402" s="59">
        <v>6</v>
      </c>
      <c r="C402" s="56" t="s">
        <v>822</v>
      </c>
      <c r="D402" s="59">
        <v>2019</v>
      </c>
      <c r="E402" s="59">
        <v>6</v>
      </c>
      <c r="F402" s="59">
        <v>0</v>
      </c>
      <c r="G402" s="56" t="s">
        <v>78</v>
      </c>
      <c r="H402" s="28">
        <v>12</v>
      </c>
      <c r="I402" s="59">
        <f t="shared" si="183"/>
        <v>2031</v>
      </c>
      <c r="J402" s="34">
        <f t="shared" si="184"/>
        <v>2031.5</v>
      </c>
      <c r="K402" s="35">
        <v>34135.760000000002</v>
      </c>
      <c r="L402" s="35">
        <f t="shared" si="192"/>
        <v>34135.760000000002</v>
      </c>
      <c r="M402" s="35">
        <f t="shared" si="193"/>
        <v>237.05388888888891</v>
      </c>
      <c r="N402" s="35">
        <f t="shared" si="194"/>
        <v>2844.646666666667</v>
      </c>
      <c r="O402" s="35">
        <f t="shared" si="195"/>
        <v>2844.646666666667</v>
      </c>
      <c r="P402" s="35">
        <f t="shared" si="196"/>
        <v>5689.293333333334</v>
      </c>
      <c r="Q402" s="35">
        <f t="shared" si="197"/>
        <v>8533.94</v>
      </c>
      <c r="R402" s="35">
        <f t="shared" si="198"/>
        <v>25601.82</v>
      </c>
    </row>
    <row r="403" spans="1:18" s="59" customFormat="1">
      <c r="A403" s="53">
        <v>217348</v>
      </c>
      <c r="B403" s="59">
        <v>6</v>
      </c>
      <c r="C403" s="56" t="s">
        <v>822</v>
      </c>
      <c r="D403" s="59">
        <v>2019</v>
      </c>
      <c r="E403" s="59">
        <v>6</v>
      </c>
      <c r="F403" s="59">
        <v>0</v>
      </c>
      <c r="G403" s="56" t="s">
        <v>78</v>
      </c>
      <c r="H403" s="28">
        <v>12</v>
      </c>
      <c r="I403" s="59">
        <f t="shared" ref="I403:I408" si="199">D403+H403</f>
        <v>2031</v>
      </c>
      <c r="J403" s="34">
        <f t="shared" si="184"/>
        <v>2031.5</v>
      </c>
      <c r="K403" s="35">
        <v>33955.480000000003</v>
      </c>
      <c r="L403" s="35">
        <f t="shared" si="192"/>
        <v>33955.480000000003</v>
      </c>
      <c r="M403" s="35">
        <f t="shared" si="193"/>
        <v>235.80194444444444</v>
      </c>
      <c r="N403" s="35">
        <f t="shared" si="194"/>
        <v>2829.6233333333334</v>
      </c>
      <c r="O403" s="35">
        <f t="shared" si="195"/>
        <v>2829.6233333333334</v>
      </c>
      <c r="P403" s="35">
        <f t="shared" si="196"/>
        <v>5659.2466666666669</v>
      </c>
      <c r="Q403" s="35">
        <f t="shared" si="197"/>
        <v>8488.8700000000008</v>
      </c>
      <c r="R403" s="35">
        <f t="shared" si="198"/>
        <v>25466.61</v>
      </c>
    </row>
    <row r="404" spans="1:18" s="59" customFormat="1">
      <c r="A404" s="54">
        <v>227353</v>
      </c>
      <c r="B404" s="59">
        <v>5</v>
      </c>
      <c r="C404" s="56" t="s">
        <v>858</v>
      </c>
      <c r="D404" s="59">
        <v>2020</v>
      </c>
      <c r="E404" s="59">
        <v>1</v>
      </c>
      <c r="F404" s="59">
        <v>0</v>
      </c>
      <c r="G404" s="56" t="s">
        <v>78</v>
      </c>
      <c r="H404" s="28">
        <v>12</v>
      </c>
      <c r="I404" s="59">
        <f t="shared" si="199"/>
        <v>2032</v>
      </c>
      <c r="J404" s="34">
        <f t="shared" si="184"/>
        <v>2032.0833333333333</v>
      </c>
      <c r="K404" s="35">
        <v>25561.63</v>
      </c>
      <c r="L404" s="35">
        <f t="shared" si="192"/>
        <v>25561.63</v>
      </c>
      <c r="M404" s="35">
        <f t="shared" si="193"/>
        <v>177.51131944444444</v>
      </c>
      <c r="N404" s="35">
        <f t="shared" si="194"/>
        <v>2130.1358333333333</v>
      </c>
      <c r="O404" s="35">
        <f t="shared" si="195"/>
        <v>2130.1358333333333</v>
      </c>
      <c r="P404" s="35">
        <f t="shared" si="196"/>
        <v>2130.1358333333333</v>
      </c>
      <c r="Q404" s="35">
        <f t="shared" si="197"/>
        <v>4260.2716666666665</v>
      </c>
      <c r="R404" s="35">
        <f t="shared" si="198"/>
        <v>21301.358333333334</v>
      </c>
    </row>
    <row r="405" spans="1:18" s="59" customFormat="1">
      <c r="A405" s="54">
        <v>240153</v>
      </c>
      <c r="B405" s="59">
        <v>2</v>
      </c>
      <c r="C405" s="56" t="s">
        <v>908</v>
      </c>
      <c r="D405" s="59">
        <v>2008</v>
      </c>
      <c r="E405" s="59">
        <v>11</v>
      </c>
      <c r="F405" s="59">
        <v>0</v>
      </c>
      <c r="G405" s="56" t="s">
        <v>78</v>
      </c>
      <c r="H405" s="28">
        <v>7</v>
      </c>
      <c r="I405" s="59">
        <f t="shared" si="199"/>
        <v>2015</v>
      </c>
      <c r="J405" s="34">
        <f t="shared" si="184"/>
        <v>2015.9166666666667</v>
      </c>
      <c r="K405" s="35">
        <v>3060</v>
      </c>
      <c r="L405" s="35">
        <f t="shared" si="192"/>
        <v>3060</v>
      </c>
      <c r="M405" s="35">
        <f t="shared" si="193"/>
        <v>36.428571428571431</v>
      </c>
      <c r="N405" s="35">
        <f t="shared" si="194"/>
        <v>437.14285714285717</v>
      </c>
      <c r="O405" s="35">
        <f t="shared" si="195"/>
        <v>0</v>
      </c>
      <c r="P405" s="35">
        <f t="shared" si="196"/>
        <v>3060</v>
      </c>
      <c r="Q405" s="35">
        <f t="shared" si="197"/>
        <v>3060</v>
      </c>
      <c r="R405" s="35">
        <f t="shared" si="198"/>
        <v>0</v>
      </c>
    </row>
    <row r="406" spans="1:18" s="59" customFormat="1">
      <c r="A406" s="54">
        <v>240299</v>
      </c>
      <c r="B406" s="59">
        <v>30</v>
      </c>
      <c r="C406" s="56" t="s">
        <v>907</v>
      </c>
      <c r="D406" s="59">
        <v>2008</v>
      </c>
      <c r="E406" s="59">
        <v>11</v>
      </c>
      <c r="F406" s="59">
        <v>0</v>
      </c>
      <c r="G406" s="56" t="s">
        <v>78</v>
      </c>
      <c r="H406" s="28">
        <v>7</v>
      </c>
      <c r="I406" s="59">
        <f t="shared" si="199"/>
        <v>2015</v>
      </c>
      <c r="J406" s="34">
        <f t="shared" si="184"/>
        <v>2015.9166666666667</v>
      </c>
      <c r="K406" s="35">
        <v>5438.78</v>
      </c>
      <c r="L406" s="35">
        <f t="shared" si="192"/>
        <v>5438.78</v>
      </c>
      <c r="M406" s="35">
        <f t="shared" si="193"/>
        <v>64.747380952380951</v>
      </c>
      <c r="N406" s="35">
        <f t="shared" si="194"/>
        <v>776.96857142857141</v>
      </c>
      <c r="O406" s="35">
        <f t="shared" si="195"/>
        <v>0</v>
      </c>
      <c r="P406" s="35">
        <f t="shared" si="196"/>
        <v>5438.78</v>
      </c>
      <c r="Q406" s="35">
        <f t="shared" si="197"/>
        <v>5438.78</v>
      </c>
      <c r="R406" s="35">
        <f t="shared" si="198"/>
        <v>0</v>
      </c>
    </row>
    <row r="407" spans="1:18" s="59" customFormat="1">
      <c r="A407" s="53">
        <v>240306</v>
      </c>
      <c r="B407" s="59">
        <v>1</v>
      </c>
      <c r="C407" s="56" t="s">
        <v>906</v>
      </c>
      <c r="D407" s="59">
        <v>2008</v>
      </c>
      <c r="E407" s="59">
        <v>11</v>
      </c>
      <c r="F407" s="59">
        <v>0</v>
      </c>
      <c r="G407" s="56" t="s">
        <v>78</v>
      </c>
      <c r="H407" s="28">
        <v>7</v>
      </c>
      <c r="I407" s="59">
        <f>D407+H407</f>
        <v>2015</v>
      </c>
      <c r="J407" s="34">
        <f>+I407+(E407/12)</f>
        <v>2015.9166666666667</v>
      </c>
      <c r="K407" s="35">
        <v>135.63999999999999</v>
      </c>
      <c r="L407" s="35">
        <f>K407-K407*F407</f>
        <v>135.63999999999999</v>
      </c>
      <c r="M407" s="35">
        <f>L407/H407/12</f>
        <v>1.6147619047619044</v>
      </c>
      <c r="N407" s="35">
        <f>+M407*12</f>
        <v>19.377142857142854</v>
      </c>
      <c r="O407" s="35">
        <f>+IF(J407&lt;=$L$5,0,IF(I407&gt;$L$4,N407,(M407*E407)))</f>
        <v>0</v>
      </c>
      <c r="P407" s="35">
        <f>+IF(O407=0,L407,IF($L$3-D407&lt;1,0,(($L$3-D407)*O407)))</f>
        <v>135.63999999999999</v>
      </c>
      <c r="Q407" s="35">
        <f>+IF(O407=0,P407,P407+O407)</f>
        <v>135.63999999999999</v>
      </c>
      <c r="R407" s="35">
        <f>+K407-Q407</f>
        <v>0</v>
      </c>
    </row>
    <row r="408" spans="1:18" s="59" customFormat="1">
      <c r="A408" s="53">
        <v>241858</v>
      </c>
      <c r="B408" s="59">
        <v>2</v>
      </c>
      <c r="C408" s="56" t="s">
        <v>884</v>
      </c>
      <c r="D408" s="59">
        <v>2020</v>
      </c>
      <c r="E408" s="59">
        <v>11</v>
      </c>
      <c r="F408" s="59">
        <v>0</v>
      </c>
      <c r="G408" s="56" t="s">
        <v>78</v>
      </c>
      <c r="H408" s="28">
        <v>0</v>
      </c>
      <c r="I408" s="59">
        <f t="shared" si="199"/>
        <v>2020</v>
      </c>
      <c r="J408" s="34">
        <f t="shared" si="184"/>
        <v>2020.9166666666667</v>
      </c>
      <c r="K408" s="35">
        <v>0</v>
      </c>
      <c r="L408" s="35">
        <f t="shared" ref="L408" si="200">K408-K408*F408</f>
        <v>0</v>
      </c>
      <c r="M408" s="35">
        <f>IFERROR(L408/H408/12,0)</f>
        <v>0</v>
      </c>
      <c r="N408" s="35">
        <f t="shared" ref="N408" si="201">+M408*12</f>
        <v>0</v>
      </c>
      <c r="O408" s="35">
        <f t="shared" ref="O408" si="202">+IF(J408&lt;=$L$5,0,IF(I408&gt;$L$4,N408,(M408*E408)))</f>
        <v>0</v>
      </c>
      <c r="P408" s="35">
        <f t="shared" ref="P408" si="203">+IF(O408=0,L408,IF($L$3-D408&lt;1,0,(($L$3-D408)*O408)))</f>
        <v>0</v>
      </c>
      <c r="Q408" s="35">
        <f t="shared" ref="Q408" si="204">+IF(O408=0,P408,P408+O408)</f>
        <v>0</v>
      </c>
      <c r="R408" s="35">
        <f t="shared" ref="R408" si="205">+K408-Q408</f>
        <v>0</v>
      </c>
    </row>
    <row r="409" spans="1:18" s="59" customFormat="1">
      <c r="A409" s="53">
        <v>244033</v>
      </c>
      <c r="B409" s="59">
        <v>1</v>
      </c>
      <c r="C409" s="56" t="s">
        <v>909</v>
      </c>
      <c r="D409" s="59">
        <v>2019</v>
      </c>
      <c r="E409" s="59">
        <v>4</v>
      </c>
      <c r="F409" s="59">
        <v>0</v>
      </c>
      <c r="G409" s="56" t="s">
        <v>78</v>
      </c>
      <c r="H409" s="28">
        <v>7</v>
      </c>
      <c r="I409" s="59">
        <f t="shared" ref="I409" si="206">D409+H409</f>
        <v>2026</v>
      </c>
      <c r="J409" s="34">
        <f t="shared" ref="J409" si="207">+I409+(E409/12)</f>
        <v>2026.3333333333333</v>
      </c>
      <c r="K409" s="35">
        <v>3000</v>
      </c>
      <c r="L409" s="35">
        <f t="shared" ref="L409" si="208">K409-K409*F409</f>
        <v>3000</v>
      </c>
      <c r="M409" s="35">
        <f t="shared" ref="M409" si="209">L409/H409/12</f>
        <v>35.714285714285715</v>
      </c>
      <c r="N409" s="35">
        <f t="shared" ref="N409" si="210">+M409*12</f>
        <v>428.57142857142856</v>
      </c>
      <c r="O409" s="35">
        <f t="shared" ref="O409" si="211">+IF(J409&lt;=$L$5,0,IF(I409&gt;$L$4,N409,(M409*E409)))</f>
        <v>428.57142857142856</v>
      </c>
      <c r="P409" s="35">
        <f t="shared" ref="P409" si="212">+IF(O409=0,L409,IF($L$3-D409&lt;1,0,(($L$3-D409)*O409)))</f>
        <v>857.14285714285711</v>
      </c>
      <c r="Q409" s="35">
        <f t="shared" ref="Q409" si="213">+IF(O409=0,P409,P409+O409)</f>
        <v>1285.7142857142858</v>
      </c>
      <c r="R409" s="35">
        <f t="shared" ref="R409" si="214">+K409-Q409</f>
        <v>1714.2857142857142</v>
      </c>
    </row>
    <row r="410" spans="1:18" s="59" customFormat="1">
      <c r="A410" s="53"/>
      <c r="H410" s="28"/>
      <c r="K410" s="35"/>
      <c r="L410" s="35"/>
      <c r="M410" s="35"/>
      <c r="N410" s="35"/>
      <c r="O410" s="35"/>
      <c r="P410" s="35"/>
      <c r="Q410" s="35"/>
      <c r="R410" s="35"/>
    </row>
    <row r="411" spans="1:18" s="59" customFormat="1">
      <c r="A411" s="53"/>
      <c r="C411" s="51" t="s">
        <v>394</v>
      </c>
      <c r="H411" s="28"/>
      <c r="K411" s="85">
        <f t="shared" ref="K411:R411" si="215">SUM(K337:K410)</f>
        <v>1980746.9999999998</v>
      </c>
      <c r="L411" s="85">
        <f t="shared" si="215"/>
        <v>1980746.9999999998</v>
      </c>
      <c r="M411" s="85">
        <f t="shared" si="215"/>
        <v>18606.147722668695</v>
      </c>
      <c r="N411" s="85">
        <f t="shared" si="215"/>
        <v>223273.77267202432</v>
      </c>
      <c r="O411" s="85">
        <f t="shared" si="215"/>
        <v>43414.728576786249</v>
      </c>
      <c r="P411" s="85">
        <f t="shared" si="215"/>
        <v>1618406.874783335</v>
      </c>
      <c r="Q411" s="85">
        <f t="shared" si="215"/>
        <v>1661821.6033601216</v>
      </c>
      <c r="R411" s="85">
        <f t="shared" si="215"/>
        <v>318925.39663987828</v>
      </c>
    </row>
    <row r="412" spans="1:18" s="59" customFormat="1">
      <c r="A412" s="53"/>
      <c r="H412" s="28"/>
      <c r="K412" s="35"/>
      <c r="L412" s="35"/>
      <c r="M412" s="35"/>
      <c r="N412" s="35"/>
      <c r="O412" s="35"/>
      <c r="P412" s="35"/>
      <c r="Q412" s="35"/>
      <c r="R412" s="35"/>
    </row>
    <row r="413" spans="1:18" s="59" customFormat="1">
      <c r="A413" s="53"/>
      <c r="H413" s="28"/>
      <c r="K413" s="35"/>
      <c r="L413" s="35"/>
      <c r="M413" s="35"/>
      <c r="N413" s="35"/>
      <c r="O413" s="35"/>
      <c r="P413" s="35"/>
      <c r="Q413" s="35"/>
      <c r="R413" s="35"/>
    </row>
    <row r="414" spans="1:18" s="59" customFormat="1">
      <c r="A414" s="53"/>
      <c r="H414" s="28"/>
      <c r="K414" s="35"/>
      <c r="L414" s="35"/>
      <c r="M414" s="35"/>
      <c r="N414" s="35"/>
      <c r="O414" s="35"/>
      <c r="P414" s="35"/>
      <c r="Q414" s="35"/>
      <c r="R414" s="35"/>
    </row>
    <row r="415" spans="1:18" s="59" customFormat="1">
      <c r="A415" s="53"/>
      <c r="C415" s="51" t="s">
        <v>396</v>
      </c>
      <c r="H415" s="28"/>
      <c r="K415" s="35"/>
      <c r="L415" s="35"/>
      <c r="M415" s="35"/>
      <c r="N415" s="35"/>
      <c r="O415" s="35"/>
      <c r="P415" s="35"/>
      <c r="Q415" s="35"/>
      <c r="R415" s="35"/>
    </row>
    <row r="416" spans="1:18" s="59" customFormat="1" ht="11.25" customHeight="1">
      <c r="A416" s="53"/>
      <c r="B416" s="59">
        <v>23600</v>
      </c>
      <c r="C416" s="59" t="s">
        <v>236</v>
      </c>
      <c r="D416" s="59">
        <v>2007</v>
      </c>
      <c r="E416" s="59">
        <v>3</v>
      </c>
      <c r="F416" s="59">
        <v>0</v>
      </c>
      <c r="G416" s="59" t="s">
        <v>78</v>
      </c>
      <c r="H416" s="28" t="s">
        <v>9</v>
      </c>
      <c r="I416" s="59">
        <f t="shared" ref="I416:I439" si="216">D416+H416</f>
        <v>2017</v>
      </c>
      <c r="J416" s="34">
        <f t="shared" ref="J416:J439" si="217">+I416+(E416/12)</f>
        <v>2017.25</v>
      </c>
      <c r="K416" s="35">
        <v>1251419.21</v>
      </c>
      <c r="L416" s="35">
        <f t="shared" ref="L416:L440" si="218">K416-K416*F416</f>
        <v>1251419.21</v>
      </c>
      <c r="M416" s="35">
        <f t="shared" ref="M416:M440" si="219">L416/H416/12</f>
        <v>10428.493416666666</v>
      </c>
      <c r="N416" s="35">
        <f t="shared" ref="N416:N439" si="220">+M416*12</f>
        <v>125141.921</v>
      </c>
      <c r="O416" s="35">
        <f t="shared" ref="O416:O440" si="221">+IF(J416&lt;=$L$5,0,IF(I416&gt;$L$4,N416,(M416*E416)))</f>
        <v>0</v>
      </c>
      <c r="P416" s="35">
        <f t="shared" ref="P416:P440" si="222">+IF(O416=0,L416,IF($L$3-D416&lt;1,0,(($L$3-D416)*O416)))</f>
        <v>1251419.21</v>
      </c>
      <c r="Q416" s="35">
        <f t="shared" ref="Q416:Q440" si="223">+IF(O416=0,P416,P416+O416)</f>
        <v>1251419.21</v>
      </c>
      <c r="R416" s="35">
        <f t="shared" ref="R416:R440" si="224">+K416-Q416</f>
        <v>0</v>
      </c>
    </row>
    <row r="417" spans="1:18" s="59" customFormat="1">
      <c r="A417" s="53"/>
      <c r="B417" s="59">
        <v>20500</v>
      </c>
      <c r="C417" s="59" t="s">
        <v>237</v>
      </c>
      <c r="D417" s="59">
        <v>2007</v>
      </c>
      <c r="E417" s="59">
        <v>4</v>
      </c>
      <c r="F417" s="59">
        <v>0</v>
      </c>
      <c r="G417" s="59" t="s">
        <v>78</v>
      </c>
      <c r="H417" s="28" t="s">
        <v>9</v>
      </c>
      <c r="I417" s="59">
        <f t="shared" si="216"/>
        <v>2017</v>
      </c>
      <c r="J417" s="34">
        <f t="shared" si="217"/>
        <v>2017.3333333333333</v>
      </c>
      <c r="K417" s="35">
        <v>1088127.6000000001</v>
      </c>
      <c r="L417" s="35">
        <f t="shared" si="218"/>
        <v>1088127.6000000001</v>
      </c>
      <c r="M417" s="35">
        <f t="shared" si="219"/>
        <v>9067.7300000000014</v>
      </c>
      <c r="N417" s="35">
        <f t="shared" si="220"/>
        <v>108812.76000000001</v>
      </c>
      <c r="O417" s="35">
        <f t="shared" si="221"/>
        <v>0</v>
      </c>
      <c r="P417" s="35">
        <f t="shared" si="222"/>
        <v>1088127.6000000001</v>
      </c>
      <c r="Q417" s="35">
        <f t="shared" si="223"/>
        <v>1088127.6000000001</v>
      </c>
      <c r="R417" s="35">
        <f t="shared" si="224"/>
        <v>0</v>
      </c>
    </row>
    <row r="418" spans="1:18" s="59" customFormat="1">
      <c r="A418" s="53"/>
      <c r="B418" s="59">
        <v>6006</v>
      </c>
      <c r="C418" s="59" t="s">
        <v>238</v>
      </c>
      <c r="D418" s="59">
        <v>2007</v>
      </c>
      <c r="E418" s="59">
        <v>5</v>
      </c>
      <c r="F418" s="59">
        <v>0</v>
      </c>
      <c r="G418" s="59" t="s">
        <v>78</v>
      </c>
      <c r="H418" s="28" t="s">
        <v>9</v>
      </c>
      <c r="I418" s="59">
        <f t="shared" si="216"/>
        <v>2017</v>
      </c>
      <c r="J418" s="34">
        <f t="shared" si="217"/>
        <v>2017.4166666666667</v>
      </c>
      <c r="K418" s="35">
        <v>288277.68</v>
      </c>
      <c r="L418" s="35">
        <f t="shared" si="218"/>
        <v>288277.68</v>
      </c>
      <c r="M418" s="35">
        <f t="shared" si="219"/>
        <v>2402.3139999999999</v>
      </c>
      <c r="N418" s="35">
        <f t="shared" si="220"/>
        <v>28827.767999999996</v>
      </c>
      <c r="O418" s="35">
        <f t="shared" si="221"/>
        <v>0</v>
      </c>
      <c r="P418" s="35">
        <f t="shared" si="222"/>
        <v>288277.68</v>
      </c>
      <c r="Q418" s="35">
        <f t="shared" si="223"/>
        <v>288277.68</v>
      </c>
      <c r="R418" s="35">
        <f t="shared" si="224"/>
        <v>0</v>
      </c>
    </row>
    <row r="419" spans="1:18" s="59" customFormat="1">
      <c r="A419" s="53">
        <v>77217</v>
      </c>
      <c r="B419" s="59">
        <v>486</v>
      </c>
      <c r="C419" s="59" t="s">
        <v>402</v>
      </c>
      <c r="D419" s="59">
        <v>2010</v>
      </c>
      <c r="E419" s="59">
        <v>9</v>
      </c>
      <c r="F419" s="59">
        <v>0</v>
      </c>
      <c r="G419" s="59" t="s">
        <v>78</v>
      </c>
      <c r="H419" s="28" t="s">
        <v>9</v>
      </c>
      <c r="I419" s="59">
        <f t="shared" si="216"/>
        <v>2020</v>
      </c>
      <c r="J419" s="34">
        <f t="shared" si="217"/>
        <v>2020.75</v>
      </c>
      <c r="K419" s="35">
        <v>24055.88</v>
      </c>
      <c r="L419" s="35">
        <f t="shared" si="218"/>
        <v>24055.88</v>
      </c>
      <c r="M419" s="35">
        <f t="shared" si="219"/>
        <v>200.46566666666669</v>
      </c>
      <c r="N419" s="35">
        <f t="shared" si="220"/>
        <v>2405.5880000000002</v>
      </c>
      <c r="O419" s="35">
        <f t="shared" si="221"/>
        <v>0</v>
      </c>
      <c r="P419" s="35">
        <f t="shared" si="222"/>
        <v>24055.88</v>
      </c>
      <c r="Q419" s="35">
        <f t="shared" si="223"/>
        <v>24055.88</v>
      </c>
      <c r="R419" s="35">
        <f t="shared" si="224"/>
        <v>0</v>
      </c>
    </row>
    <row r="420" spans="1:18" s="59" customFormat="1">
      <c r="A420" s="53">
        <v>78782</v>
      </c>
      <c r="B420" s="59">
        <v>360</v>
      </c>
      <c r="C420" s="59" t="s">
        <v>402</v>
      </c>
      <c r="D420" s="59">
        <v>2010</v>
      </c>
      <c r="E420" s="59">
        <v>11</v>
      </c>
      <c r="F420" s="59">
        <v>0</v>
      </c>
      <c r="G420" s="59" t="s">
        <v>78</v>
      </c>
      <c r="H420" s="28" t="s">
        <v>9</v>
      </c>
      <c r="I420" s="59">
        <f t="shared" si="216"/>
        <v>2020</v>
      </c>
      <c r="J420" s="34">
        <f t="shared" si="217"/>
        <v>2020.9166666666667</v>
      </c>
      <c r="K420" s="35">
        <v>17592.62</v>
      </c>
      <c r="L420" s="35">
        <f t="shared" si="218"/>
        <v>17592.62</v>
      </c>
      <c r="M420" s="35">
        <f t="shared" si="219"/>
        <v>146.60516666666666</v>
      </c>
      <c r="N420" s="35">
        <f t="shared" si="220"/>
        <v>1759.2619999999999</v>
      </c>
      <c r="O420" s="35">
        <f t="shared" si="221"/>
        <v>0</v>
      </c>
      <c r="P420" s="35">
        <f t="shared" si="222"/>
        <v>17592.62</v>
      </c>
      <c r="Q420" s="35">
        <f t="shared" si="223"/>
        <v>17592.62</v>
      </c>
      <c r="R420" s="35">
        <f t="shared" si="224"/>
        <v>0</v>
      </c>
    </row>
    <row r="421" spans="1:18" s="59" customFormat="1">
      <c r="A421" s="53" t="s">
        <v>426</v>
      </c>
      <c r="B421" s="59">
        <v>629</v>
      </c>
      <c r="C421" s="59" t="s">
        <v>402</v>
      </c>
      <c r="D421" s="59">
        <v>2011</v>
      </c>
      <c r="E421" s="59">
        <v>4</v>
      </c>
      <c r="F421" s="59">
        <v>0</v>
      </c>
      <c r="G421" s="59" t="s">
        <v>78</v>
      </c>
      <c r="H421" s="28" t="s">
        <v>9</v>
      </c>
      <c r="I421" s="59">
        <f t="shared" si="216"/>
        <v>2021</v>
      </c>
      <c r="J421" s="34">
        <f t="shared" si="217"/>
        <v>2021.3333333333333</v>
      </c>
      <c r="K421" s="35">
        <v>33468.239999999998</v>
      </c>
      <c r="L421" s="35">
        <f t="shared" si="218"/>
        <v>33468.239999999998</v>
      </c>
      <c r="M421" s="35">
        <f t="shared" si="219"/>
        <v>278.90199999999999</v>
      </c>
      <c r="N421" s="35">
        <f t="shared" si="220"/>
        <v>3346.8239999999996</v>
      </c>
      <c r="O421" s="35">
        <f t="shared" si="221"/>
        <v>0</v>
      </c>
      <c r="P421" s="35">
        <f t="shared" si="222"/>
        <v>33468.239999999998</v>
      </c>
      <c r="Q421" s="35">
        <f t="shared" si="223"/>
        <v>33468.239999999998</v>
      </c>
      <c r="R421" s="35">
        <f t="shared" si="224"/>
        <v>0</v>
      </c>
    </row>
    <row r="422" spans="1:18" s="59" customFormat="1">
      <c r="A422" s="53">
        <v>86471</v>
      </c>
      <c r="B422" s="59">
        <v>486</v>
      </c>
      <c r="C422" s="59" t="s">
        <v>402</v>
      </c>
      <c r="D422" s="59">
        <v>2011</v>
      </c>
      <c r="E422" s="59">
        <v>9</v>
      </c>
      <c r="F422" s="59">
        <v>0</v>
      </c>
      <c r="G422" s="59" t="s">
        <v>78</v>
      </c>
      <c r="H422" s="28" t="s">
        <v>9</v>
      </c>
      <c r="I422" s="59">
        <f t="shared" si="216"/>
        <v>2021</v>
      </c>
      <c r="J422" s="34">
        <f t="shared" si="217"/>
        <v>2021.75</v>
      </c>
      <c r="K422" s="35">
        <v>26699.38</v>
      </c>
      <c r="L422" s="35">
        <f t="shared" si="218"/>
        <v>26699.38</v>
      </c>
      <c r="M422" s="35">
        <f t="shared" si="219"/>
        <v>222.49483333333333</v>
      </c>
      <c r="N422" s="35">
        <f t="shared" si="220"/>
        <v>2669.9380000000001</v>
      </c>
      <c r="O422" s="35">
        <f t="shared" si="221"/>
        <v>0</v>
      </c>
      <c r="P422" s="35">
        <f t="shared" si="222"/>
        <v>26699.38</v>
      </c>
      <c r="Q422" s="35">
        <f t="shared" si="223"/>
        <v>26699.38</v>
      </c>
      <c r="R422" s="35">
        <f t="shared" si="224"/>
        <v>0</v>
      </c>
    </row>
    <row r="423" spans="1:18" s="59" customFormat="1">
      <c r="A423" s="53">
        <v>88134</v>
      </c>
      <c r="B423" s="59">
        <v>486</v>
      </c>
      <c r="C423" s="59" t="s">
        <v>402</v>
      </c>
      <c r="D423" s="59">
        <v>2011</v>
      </c>
      <c r="E423" s="59">
        <v>10</v>
      </c>
      <c r="F423" s="59">
        <v>0</v>
      </c>
      <c r="G423" s="59" t="s">
        <v>78</v>
      </c>
      <c r="H423" s="28" t="s">
        <v>9</v>
      </c>
      <c r="I423" s="59">
        <f t="shared" si="216"/>
        <v>2021</v>
      </c>
      <c r="J423" s="34">
        <f t="shared" si="217"/>
        <v>2021.8333333333333</v>
      </c>
      <c r="K423" s="35">
        <v>26699.38</v>
      </c>
      <c r="L423" s="35">
        <f t="shared" si="218"/>
        <v>26699.38</v>
      </c>
      <c r="M423" s="35">
        <f t="shared" si="219"/>
        <v>222.49483333333333</v>
      </c>
      <c r="N423" s="35">
        <f t="shared" si="220"/>
        <v>2669.9380000000001</v>
      </c>
      <c r="O423" s="35">
        <f t="shared" si="221"/>
        <v>0</v>
      </c>
      <c r="P423" s="35">
        <f t="shared" si="222"/>
        <v>26699.38</v>
      </c>
      <c r="Q423" s="35">
        <f t="shared" si="223"/>
        <v>26699.38</v>
      </c>
      <c r="R423" s="35">
        <f t="shared" si="224"/>
        <v>0</v>
      </c>
    </row>
    <row r="424" spans="1:18" s="59" customFormat="1">
      <c r="A424" s="53" t="s">
        <v>464</v>
      </c>
      <c r="B424" s="59">
        <v>486</v>
      </c>
      <c r="C424" s="59" t="s">
        <v>465</v>
      </c>
      <c r="D424" s="59">
        <v>2012</v>
      </c>
      <c r="E424" s="59">
        <v>6</v>
      </c>
      <c r="F424" s="59">
        <v>0</v>
      </c>
      <c r="G424" s="59" t="s">
        <v>78</v>
      </c>
      <c r="H424" s="28" t="s">
        <v>9</v>
      </c>
      <c r="I424" s="59">
        <f t="shared" si="216"/>
        <v>2022</v>
      </c>
      <c r="J424" s="34">
        <f t="shared" si="217"/>
        <v>2022.5</v>
      </c>
      <c r="K424" s="35">
        <v>25210</v>
      </c>
      <c r="L424" s="35">
        <f t="shared" si="218"/>
        <v>25210</v>
      </c>
      <c r="M424" s="35">
        <f t="shared" si="219"/>
        <v>210.08333333333334</v>
      </c>
      <c r="N424" s="35">
        <f t="shared" si="220"/>
        <v>2521</v>
      </c>
      <c r="O424" s="35">
        <f t="shared" si="221"/>
        <v>1260.5</v>
      </c>
      <c r="P424" s="35">
        <f t="shared" si="222"/>
        <v>11344.5</v>
      </c>
      <c r="Q424" s="35">
        <f t="shared" si="223"/>
        <v>12605</v>
      </c>
      <c r="R424" s="35">
        <f t="shared" si="224"/>
        <v>12605</v>
      </c>
    </row>
    <row r="425" spans="1:18" s="59" customFormat="1">
      <c r="A425" s="53" t="s">
        <v>480</v>
      </c>
      <c r="B425" s="59">
        <v>360</v>
      </c>
      <c r="C425" s="59" t="s">
        <v>510</v>
      </c>
      <c r="D425" s="59">
        <v>2013</v>
      </c>
      <c r="E425" s="59">
        <v>5</v>
      </c>
      <c r="F425" s="59">
        <v>0</v>
      </c>
      <c r="G425" s="59" t="s">
        <v>78</v>
      </c>
      <c r="H425" s="28">
        <v>7</v>
      </c>
      <c r="I425" s="59">
        <f t="shared" si="216"/>
        <v>2020</v>
      </c>
      <c r="J425" s="34">
        <f t="shared" si="217"/>
        <v>2020.4166666666667</v>
      </c>
      <c r="K425" s="35">
        <f>14320.19+4482.74</f>
        <v>18802.93</v>
      </c>
      <c r="L425" s="35">
        <f t="shared" si="218"/>
        <v>18802.93</v>
      </c>
      <c r="M425" s="35">
        <f t="shared" si="219"/>
        <v>223.84440476190477</v>
      </c>
      <c r="N425" s="35">
        <f t="shared" si="220"/>
        <v>2686.1328571428571</v>
      </c>
      <c r="O425" s="35">
        <f t="shared" si="221"/>
        <v>0</v>
      </c>
      <c r="P425" s="35">
        <f t="shared" si="222"/>
        <v>18802.93</v>
      </c>
      <c r="Q425" s="35">
        <f t="shared" si="223"/>
        <v>18802.93</v>
      </c>
      <c r="R425" s="35">
        <f t="shared" si="224"/>
        <v>0</v>
      </c>
    </row>
    <row r="426" spans="1:18" s="59" customFormat="1">
      <c r="A426" s="53" t="s">
        <v>482</v>
      </c>
      <c r="B426" s="59">
        <f>486+5</f>
        <v>491</v>
      </c>
      <c r="C426" s="59" t="s">
        <v>510</v>
      </c>
      <c r="D426" s="59">
        <v>2013</v>
      </c>
      <c r="E426" s="59">
        <v>7</v>
      </c>
      <c r="F426" s="59">
        <v>0</v>
      </c>
      <c r="G426" s="59" t="s">
        <v>78</v>
      </c>
      <c r="H426" s="28">
        <v>7</v>
      </c>
      <c r="I426" s="59">
        <f t="shared" si="216"/>
        <v>2020</v>
      </c>
      <c r="J426" s="34">
        <f t="shared" si="217"/>
        <v>2020.5833333333333</v>
      </c>
      <c r="K426" s="35">
        <f>24969.75+243.98</f>
        <v>25213.73</v>
      </c>
      <c r="L426" s="35">
        <f t="shared" si="218"/>
        <v>25213.73</v>
      </c>
      <c r="M426" s="35">
        <f t="shared" si="219"/>
        <v>300.16345238095238</v>
      </c>
      <c r="N426" s="35">
        <f t="shared" si="220"/>
        <v>3601.9614285714288</v>
      </c>
      <c r="O426" s="35">
        <f t="shared" si="221"/>
        <v>0</v>
      </c>
      <c r="P426" s="35">
        <f t="shared" si="222"/>
        <v>25213.73</v>
      </c>
      <c r="Q426" s="35">
        <f t="shared" si="223"/>
        <v>25213.73</v>
      </c>
      <c r="R426" s="35">
        <f t="shared" si="224"/>
        <v>0</v>
      </c>
    </row>
    <row r="427" spans="1:18" s="59" customFormat="1">
      <c r="A427" s="53" t="s">
        <v>488</v>
      </c>
      <c r="B427" s="59">
        <f>121+1</f>
        <v>122</v>
      </c>
      <c r="C427" s="59" t="s">
        <v>510</v>
      </c>
      <c r="D427" s="59">
        <v>2013</v>
      </c>
      <c r="E427" s="59">
        <v>11</v>
      </c>
      <c r="F427" s="59">
        <v>0</v>
      </c>
      <c r="G427" s="59" t="s">
        <v>78</v>
      </c>
      <c r="H427" s="28">
        <v>7</v>
      </c>
      <c r="I427" s="59">
        <f t="shared" si="216"/>
        <v>2020</v>
      </c>
      <c r="J427" s="34">
        <f t="shared" si="217"/>
        <v>2020.9166666666667</v>
      </c>
      <c r="K427" s="35">
        <f>7248.64+47.49</f>
        <v>7296.13</v>
      </c>
      <c r="L427" s="35">
        <f t="shared" si="218"/>
        <v>7296.13</v>
      </c>
      <c r="M427" s="35">
        <f t="shared" si="219"/>
        <v>86.858690476190475</v>
      </c>
      <c r="N427" s="35">
        <f t="shared" si="220"/>
        <v>1042.3042857142857</v>
      </c>
      <c r="O427" s="35">
        <f t="shared" si="221"/>
        <v>0</v>
      </c>
      <c r="P427" s="35">
        <f t="shared" si="222"/>
        <v>7296.13</v>
      </c>
      <c r="Q427" s="35">
        <f t="shared" si="223"/>
        <v>7296.13</v>
      </c>
      <c r="R427" s="35">
        <f t="shared" si="224"/>
        <v>0</v>
      </c>
    </row>
    <row r="428" spans="1:18" s="59" customFormat="1">
      <c r="A428" s="53">
        <v>112461</v>
      </c>
      <c r="B428" s="59">
        <v>486</v>
      </c>
      <c r="C428" s="59" t="s">
        <v>510</v>
      </c>
      <c r="D428" s="59">
        <v>2014</v>
      </c>
      <c r="E428" s="59">
        <v>3</v>
      </c>
      <c r="F428" s="59">
        <v>0</v>
      </c>
      <c r="G428" s="59" t="s">
        <v>78</v>
      </c>
      <c r="H428" s="28">
        <v>7</v>
      </c>
      <c r="I428" s="59">
        <f t="shared" si="216"/>
        <v>2021</v>
      </c>
      <c r="J428" s="34">
        <f t="shared" si="217"/>
        <v>2021.25</v>
      </c>
      <c r="K428" s="35">
        <v>27064.05</v>
      </c>
      <c r="L428" s="35">
        <f t="shared" si="218"/>
        <v>27064.05</v>
      </c>
      <c r="M428" s="35">
        <f t="shared" si="219"/>
        <v>322.19107142857143</v>
      </c>
      <c r="N428" s="35">
        <f t="shared" si="220"/>
        <v>3866.2928571428574</v>
      </c>
      <c r="O428" s="35">
        <f t="shared" si="221"/>
        <v>0</v>
      </c>
      <c r="P428" s="35">
        <f t="shared" si="222"/>
        <v>27064.05</v>
      </c>
      <c r="Q428" s="35">
        <f t="shared" si="223"/>
        <v>27064.05</v>
      </c>
      <c r="R428" s="35">
        <f t="shared" si="224"/>
        <v>0</v>
      </c>
    </row>
    <row r="429" spans="1:18" s="59" customFormat="1">
      <c r="A429" s="53">
        <v>115102</v>
      </c>
      <c r="B429" s="59">
        <v>624</v>
      </c>
      <c r="C429" s="59" t="s">
        <v>511</v>
      </c>
      <c r="D429" s="59">
        <v>2014</v>
      </c>
      <c r="E429" s="59">
        <v>7</v>
      </c>
      <c r="F429" s="59">
        <v>0</v>
      </c>
      <c r="G429" s="59" t="s">
        <v>78</v>
      </c>
      <c r="H429" s="28">
        <v>7</v>
      </c>
      <c r="I429" s="59">
        <f t="shared" si="216"/>
        <v>2021</v>
      </c>
      <c r="J429" s="34">
        <f t="shared" si="217"/>
        <v>2021.5833333333333</v>
      </c>
      <c r="K429" s="35">
        <v>36227.360000000001</v>
      </c>
      <c r="L429" s="35">
        <f t="shared" si="218"/>
        <v>36227.360000000001</v>
      </c>
      <c r="M429" s="35">
        <f t="shared" si="219"/>
        <v>431.2780952380952</v>
      </c>
      <c r="N429" s="35">
        <f t="shared" si="220"/>
        <v>5175.3371428571427</v>
      </c>
      <c r="O429" s="35">
        <f t="shared" si="221"/>
        <v>0</v>
      </c>
      <c r="P429" s="35">
        <f t="shared" si="222"/>
        <v>36227.360000000001</v>
      </c>
      <c r="Q429" s="35">
        <f t="shared" si="223"/>
        <v>36227.360000000001</v>
      </c>
      <c r="R429" s="35">
        <f t="shared" si="224"/>
        <v>0</v>
      </c>
    </row>
    <row r="430" spans="1:18" s="59" customFormat="1">
      <c r="A430" s="53">
        <v>120168</v>
      </c>
      <c r="B430" s="59">
        <v>624</v>
      </c>
      <c r="C430" s="59" t="s">
        <v>511</v>
      </c>
      <c r="D430" s="59">
        <v>2015</v>
      </c>
      <c r="E430" s="59">
        <v>1</v>
      </c>
      <c r="F430" s="59">
        <v>0</v>
      </c>
      <c r="G430" s="59" t="s">
        <v>78</v>
      </c>
      <c r="H430" s="28">
        <v>7</v>
      </c>
      <c r="I430" s="59">
        <f t="shared" si="216"/>
        <v>2022</v>
      </c>
      <c r="J430" s="34">
        <f t="shared" si="217"/>
        <v>2022.0833333333333</v>
      </c>
      <c r="K430" s="35">
        <v>33703.620000000003</v>
      </c>
      <c r="L430" s="35">
        <f t="shared" si="218"/>
        <v>33703.620000000003</v>
      </c>
      <c r="M430" s="35">
        <f t="shared" si="219"/>
        <v>401.23357142857145</v>
      </c>
      <c r="N430" s="35">
        <f t="shared" si="220"/>
        <v>4814.8028571428576</v>
      </c>
      <c r="O430" s="35">
        <f t="shared" si="221"/>
        <v>0</v>
      </c>
      <c r="P430" s="35">
        <f t="shared" si="222"/>
        <v>33703.620000000003</v>
      </c>
      <c r="Q430" s="35">
        <f t="shared" si="223"/>
        <v>33703.620000000003</v>
      </c>
      <c r="R430" s="35">
        <f t="shared" si="224"/>
        <v>0</v>
      </c>
    </row>
    <row r="431" spans="1:18" s="59" customFormat="1">
      <c r="A431" s="53" t="s">
        <v>565</v>
      </c>
      <c r="B431" s="59">
        <f>624+156</f>
        <v>780</v>
      </c>
      <c r="C431" s="59" t="s">
        <v>511</v>
      </c>
      <c r="D431" s="59">
        <v>2015</v>
      </c>
      <c r="E431" s="59">
        <v>4</v>
      </c>
      <c r="F431" s="59">
        <v>0</v>
      </c>
      <c r="G431" s="59" t="s">
        <v>78</v>
      </c>
      <c r="H431" s="28">
        <v>7</v>
      </c>
      <c r="I431" s="59">
        <f t="shared" si="216"/>
        <v>2022</v>
      </c>
      <c r="J431" s="34">
        <f t="shared" si="217"/>
        <v>2022.3333333333333</v>
      </c>
      <c r="K431" s="35">
        <f>33250.24+8180.16</f>
        <v>41430.399999999994</v>
      </c>
      <c r="L431" s="35">
        <f t="shared" si="218"/>
        <v>41430.399999999994</v>
      </c>
      <c r="M431" s="35">
        <f t="shared" si="219"/>
        <v>493.21904761904756</v>
      </c>
      <c r="N431" s="35">
        <f t="shared" si="220"/>
        <v>5918.6285714285705</v>
      </c>
      <c r="O431" s="35">
        <f t="shared" si="221"/>
        <v>1972.8761904761902</v>
      </c>
      <c r="P431" s="35">
        <f t="shared" si="222"/>
        <v>11837.257142857141</v>
      </c>
      <c r="Q431" s="35">
        <f t="shared" si="223"/>
        <v>13810.133333333331</v>
      </c>
      <c r="R431" s="35">
        <f t="shared" si="224"/>
        <v>27620.266666666663</v>
      </c>
    </row>
    <row r="432" spans="1:18" s="59" customFormat="1">
      <c r="A432" s="53">
        <v>123664</v>
      </c>
      <c r="B432" s="59">
        <v>276</v>
      </c>
      <c r="C432" s="59" t="s">
        <v>511</v>
      </c>
      <c r="D432" s="59">
        <v>2015</v>
      </c>
      <c r="E432" s="59">
        <v>6</v>
      </c>
      <c r="F432" s="59">
        <v>0</v>
      </c>
      <c r="G432" s="59" t="s">
        <v>78</v>
      </c>
      <c r="H432" s="28">
        <v>7</v>
      </c>
      <c r="I432" s="59">
        <f t="shared" si="216"/>
        <v>2022</v>
      </c>
      <c r="J432" s="34">
        <f t="shared" si="217"/>
        <v>2022.5</v>
      </c>
      <c r="K432" s="35">
        <v>14190.57</v>
      </c>
      <c r="L432" s="35">
        <f t="shared" si="218"/>
        <v>14190.57</v>
      </c>
      <c r="M432" s="35">
        <f t="shared" si="219"/>
        <v>168.93535714285716</v>
      </c>
      <c r="N432" s="35">
        <f t="shared" si="220"/>
        <v>2027.224285714286</v>
      </c>
      <c r="O432" s="35">
        <f t="shared" si="221"/>
        <v>1013.612142857143</v>
      </c>
      <c r="P432" s="35">
        <f t="shared" si="222"/>
        <v>6081.6728571428575</v>
      </c>
      <c r="Q432" s="35">
        <f t="shared" si="223"/>
        <v>7095.2850000000008</v>
      </c>
      <c r="R432" s="35">
        <f t="shared" si="224"/>
        <v>7095.2849999999989</v>
      </c>
    </row>
    <row r="433" spans="1:18" s="59" customFormat="1">
      <c r="A433" s="53">
        <v>128181</v>
      </c>
      <c r="B433" s="59">
        <v>624</v>
      </c>
      <c r="C433" s="59" t="s">
        <v>511</v>
      </c>
      <c r="D433" s="59">
        <v>2015</v>
      </c>
      <c r="E433" s="59">
        <v>10</v>
      </c>
      <c r="F433" s="59">
        <v>0</v>
      </c>
      <c r="G433" s="59" t="s">
        <v>78</v>
      </c>
      <c r="H433" s="28">
        <v>7</v>
      </c>
      <c r="I433" s="59">
        <f t="shared" si="216"/>
        <v>2022</v>
      </c>
      <c r="J433" s="34">
        <f t="shared" si="217"/>
        <v>2022.8333333333333</v>
      </c>
      <c r="K433" s="35">
        <v>31816.22</v>
      </c>
      <c r="L433" s="35">
        <f t="shared" si="218"/>
        <v>31816.22</v>
      </c>
      <c r="M433" s="35">
        <f t="shared" si="219"/>
        <v>378.76452380952384</v>
      </c>
      <c r="N433" s="35">
        <f t="shared" si="220"/>
        <v>4545.1742857142863</v>
      </c>
      <c r="O433" s="35">
        <f t="shared" si="221"/>
        <v>3787.6452380952383</v>
      </c>
      <c r="P433" s="35">
        <f t="shared" si="222"/>
        <v>22725.87142857143</v>
      </c>
      <c r="Q433" s="35">
        <f t="shared" si="223"/>
        <v>26513.51666666667</v>
      </c>
      <c r="R433" s="35">
        <f t="shared" si="224"/>
        <v>5302.7033333333311</v>
      </c>
    </row>
    <row r="434" spans="1:18" s="59" customFormat="1">
      <c r="A434" s="53">
        <v>128182</v>
      </c>
      <c r="B434" s="59">
        <v>624</v>
      </c>
      <c r="C434" s="59" t="s">
        <v>511</v>
      </c>
      <c r="D434" s="59">
        <v>2015</v>
      </c>
      <c r="E434" s="59">
        <v>11</v>
      </c>
      <c r="F434" s="59">
        <v>0</v>
      </c>
      <c r="G434" s="59" t="s">
        <v>78</v>
      </c>
      <c r="H434" s="28">
        <v>7</v>
      </c>
      <c r="I434" s="59">
        <f t="shared" si="216"/>
        <v>2022</v>
      </c>
      <c r="J434" s="34">
        <f t="shared" si="217"/>
        <v>2022.9166666666667</v>
      </c>
      <c r="K434" s="35">
        <v>32078.49</v>
      </c>
      <c r="L434" s="35">
        <f t="shared" si="218"/>
        <v>32078.49</v>
      </c>
      <c r="M434" s="35">
        <f t="shared" si="219"/>
        <v>381.88678571428574</v>
      </c>
      <c r="N434" s="35">
        <f t="shared" si="220"/>
        <v>4582.6414285714291</v>
      </c>
      <c r="O434" s="35">
        <f t="shared" si="221"/>
        <v>4200.7546428571432</v>
      </c>
      <c r="P434" s="35">
        <f t="shared" si="222"/>
        <v>25204.527857142857</v>
      </c>
      <c r="Q434" s="35">
        <f t="shared" si="223"/>
        <v>29405.282500000001</v>
      </c>
      <c r="R434" s="35">
        <f t="shared" si="224"/>
        <v>2673.2075000000004</v>
      </c>
    </row>
    <row r="435" spans="1:18" s="59" customFormat="1">
      <c r="A435" s="53">
        <v>131776</v>
      </c>
      <c r="B435" s="59">
        <v>312</v>
      </c>
      <c r="C435" s="59" t="s">
        <v>511</v>
      </c>
      <c r="D435" s="59">
        <v>2016</v>
      </c>
      <c r="E435" s="59">
        <v>3</v>
      </c>
      <c r="F435" s="59">
        <v>0</v>
      </c>
      <c r="G435" s="59" t="s">
        <v>78</v>
      </c>
      <c r="H435" s="28">
        <v>7</v>
      </c>
      <c r="I435" s="59">
        <f t="shared" si="216"/>
        <v>2023</v>
      </c>
      <c r="J435" s="34">
        <f t="shared" si="217"/>
        <v>2023.25</v>
      </c>
      <c r="K435" s="35">
        <v>15417.47</v>
      </c>
      <c r="L435" s="35">
        <f t="shared" si="218"/>
        <v>15417.47</v>
      </c>
      <c r="M435" s="35">
        <f t="shared" si="219"/>
        <v>183.54130952380953</v>
      </c>
      <c r="N435" s="35">
        <f t="shared" si="220"/>
        <v>2202.4957142857143</v>
      </c>
      <c r="O435" s="35">
        <f t="shared" si="221"/>
        <v>2202.4957142857143</v>
      </c>
      <c r="P435" s="35">
        <f t="shared" si="222"/>
        <v>11012.478571428572</v>
      </c>
      <c r="Q435" s="35">
        <f t="shared" si="223"/>
        <v>13214.974285714286</v>
      </c>
      <c r="R435" s="35">
        <f t="shared" si="224"/>
        <v>2202.4957142857129</v>
      </c>
    </row>
    <row r="436" spans="1:18" s="59" customFormat="1">
      <c r="A436" s="53">
        <v>170977</v>
      </c>
      <c r="B436" s="59">
        <v>624</v>
      </c>
      <c r="C436" s="59" t="s">
        <v>511</v>
      </c>
      <c r="D436" s="59">
        <v>2016</v>
      </c>
      <c r="E436" s="59">
        <v>12</v>
      </c>
      <c r="F436" s="59">
        <v>0</v>
      </c>
      <c r="G436" s="59" t="s">
        <v>78</v>
      </c>
      <c r="H436" s="28">
        <v>7</v>
      </c>
      <c r="I436" s="59">
        <f t="shared" si="216"/>
        <v>2023</v>
      </c>
      <c r="J436" s="34">
        <f t="shared" si="217"/>
        <v>2024</v>
      </c>
      <c r="K436" s="35">
        <v>31926.69</v>
      </c>
      <c r="L436" s="35">
        <f t="shared" si="218"/>
        <v>31926.69</v>
      </c>
      <c r="M436" s="35">
        <f t="shared" si="219"/>
        <v>380.0796428571428</v>
      </c>
      <c r="N436" s="35">
        <f t="shared" si="220"/>
        <v>4560.9557142857138</v>
      </c>
      <c r="O436" s="35">
        <f t="shared" si="221"/>
        <v>4560.9557142857138</v>
      </c>
      <c r="P436" s="35">
        <f t="shared" si="222"/>
        <v>22804.778571428571</v>
      </c>
      <c r="Q436" s="35">
        <f t="shared" si="223"/>
        <v>27365.734285714287</v>
      </c>
      <c r="R436" s="35">
        <f t="shared" si="224"/>
        <v>4560.955714285712</v>
      </c>
    </row>
    <row r="437" spans="1:18" s="59" customFormat="1">
      <c r="A437" s="53">
        <v>182635</v>
      </c>
      <c r="B437" s="59">
        <v>624</v>
      </c>
      <c r="C437" s="59" t="s">
        <v>618</v>
      </c>
      <c r="D437" s="59">
        <v>2017</v>
      </c>
      <c r="E437" s="59">
        <v>6</v>
      </c>
      <c r="F437" s="59">
        <v>0</v>
      </c>
      <c r="G437" s="59" t="s">
        <v>78</v>
      </c>
      <c r="H437" s="28">
        <v>7</v>
      </c>
      <c r="I437" s="59">
        <f t="shared" si="216"/>
        <v>2024</v>
      </c>
      <c r="J437" s="34">
        <f t="shared" si="217"/>
        <v>2024.5</v>
      </c>
      <c r="K437" s="35">
        <v>32816.83</v>
      </c>
      <c r="L437" s="35">
        <f t="shared" si="218"/>
        <v>32816.83</v>
      </c>
      <c r="M437" s="35">
        <f t="shared" si="219"/>
        <v>390.67654761904765</v>
      </c>
      <c r="N437" s="35">
        <f t="shared" si="220"/>
        <v>4688.1185714285721</v>
      </c>
      <c r="O437" s="35">
        <f t="shared" si="221"/>
        <v>4688.1185714285721</v>
      </c>
      <c r="P437" s="35">
        <f t="shared" si="222"/>
        <v>18752.474285714288</v>
      </c>
      <c r="Q437" s="35">
        <f t="shared" si="223"/>
        <v>23440.592857142859</v>
      </c>
      <c r="R437" s="35">
        <f t="shared" si="224"/>
        <v>9376.2371428571423</v>
      </c>
    </row>
    <row r="438" spans="1:18" s="59" customFormat="1">
      <c r="A438" s="53">
        <v>178889</v>
      </c>
      <c r="B438" s="59">
        <v>624</v>
      </c>
      <c r="C438" s="59" t="s">
        <v>622</v>
      </c>
      <c r="D438" s="59">
        <v>2017</v>
      </c>
      <c r="E438" s="59">
        <v>3</v>
      </c>
      <c r="F438" s="59">
        <v>0</v>
      </c>
      <c r="G438" s="59" t="s">
        <v>78</v>
      </c>
      <c r="H438" s="28">
        <v>7</v>
      </c>
      <c r="I438" s="59">
        <f t="shared" si="216"/>
        <v>2024</v>
      </c>
      <c r="J438" s="34">
        <f t="shared" si="217"/>
        <v>2024.25</v>
      </c>
      <c r="K438" s="35">
        <v>31795.97</v>
      </c>
      <c r="L438" s="35">
        <f t="shared" si="218"/>
        <v>31795.97</v>
      </c>
      <c r="M438" s="35">
        <f t="shared" si="219"/>
        <v>378.52345238095239</v>
      </c>
      <c r="N438" s="35">
        <f t="shared" si="220"/>
        <v>4542.2814285714285</v>
      </c>
      <c r="O438" s="35">
        <f t="shared" si="221"/>
        <v>4542.2814285714285</v>
      </c>
      <c r="P438" s="35">
        <f t="shared" si="222"/>
        <v>18169.125714285714</v>
      </c>
      <c r="Q438" s="35">
        <f t="shared" si="223"/>
        <v>22711.407142857141</v>
      </c>
      <c r="R438" s="35">
        <f t="shared" si="224"/>
        <v>9084.5628571428606</v>
      </c>
    </row>
    <row r="439" spans="1:18" s="59" customFormat="1">
      <c r="A439" s="53">
        <v>187522</v>
      </c>
      <c r="B439" s="59">
        <v>624</v>
      </c>
      <c r="C439" s="59" t="s">
        <v>720</v>
      </c>
      <c r="D439" s="59">
        <v>2017</v>
      </c>
      <c r="E439" s="59">
        <v>10</v>
      </c>
      <c r="F439" s="59">
        <v>0</v>
      </c>
      <c r="G439" s="59" t="s">
        <v>78</v>
      </c>
      <c r="H439" s="28">
        <v>7</v>
      </c>
      <c r="I439" s="59">
        <f t="shared" si="216"/>
        <v>2024</v>
      </c>
      <c r="J439" s="34">
        <f t="shared" si="217"/>
        <v>2024.8333333333333</v>
      </c>
      <c r="K439" s="35">
        <v>32805.43</v>
      </c>
      <c r="L439" s="35">
        <f t="shared" si="218"/>
        <v>32805.43</v>
      </c>
      <c r="M439" s="35">
        <f t="shared" si="219"/>
        <v>390.5408333333333</v>
      </c>
      <c r="N439" s="35">
        <f t="shared" si="220"/>
        <v>4686.49</v>
      </c>
      <c r="O439" s="35">
        <f t="shared" si="221"/>
        <v>4686.49</v>
      </c>
      <c r="P439" s="35">
        <f t="shared" si="222"/>
        <v>18745.96</v>
      </c>
      <c r="Q439" s="35">
        <f t="shared" si="223"/>
        <v>23432.449999999997</v>
      </c>
      <c r="R439" s="35">
        <f t="shared" si="224"/>
        <v>9372.9800000000032</v>
      </c>
    </row>
    <row r="440" spans="1:18" s="59" customFormat="1">
      <c r="A440" s="53">
        <v>187521</v>
      </c>
      <c r="B440" s="59">
        <v>624</v>
      </c>
      <c r="C440" s="59" t="s">
        <v>720</v>
      </c>
      <c r="D440" s="59">
        <v>2017</v>
      </c>
      <c r="E440" s="59">
        <v>10</v>
      </c>
      <c r="F440" s="59">
        <v>0</v>
      </c>
      <c r="G440" s="59" t="s">
        <v>78</v>
      </c>
      <c r="H440" s="28">
        <v>7</v>
      </c>
      <c r="I440" s="59">
        <f t="shared" ref="I440:I451" si="225">D440+H440</f>
        <v>2024</v>
      </c>
      <c r="J440" s="34">
        <f t="shared" ref="J440:J442" si="226">+I440+(E440/12)</f>
        <v>2024.8333333333333</v>
      </c>
      <c r="K440" s="35">
        <v>32805.43</v>
      </c>
      <c r="L440" s="35">
        <f t="shared" si="218"/>
        <v>32805.43</v>
      </c>
      <c r="M440" s="35">
        <f t="shared" si="219"/>
        <v>390.5408333333333</v>
      </c>
      <c r="N440" s="35">
        <f t="shared" ref="N440:N442" si="227">+M440*12</f>
        <v>4686.49</v>
      </c>
      <c r="O440" s="35">
        <f t="shared" si="221"/>
        <v>4686.49</v>
      </c>
      <c r="P440" s="35">
        <f t="shared" si="222"/>
        <v>18745.96</v>
      </c>
      <c r="Q440" s="35">
        <f t="shared" si="223"/>
        <v>23432.449999999997</v>
      </c>
      <c r="R440" s="35">
        <f t="shared" si="224"/>
        <v>9372.9800000000032</v>
      </c>
    </row>
    <row r="441" spans="1:18" s="59" customFormat="1">
      <c r="A441" s="53">
        <v>190751</v>
      </c>
      <c r="B441" s="59">
        <v>642</v>
      </c>
      <c r="C441" s="59" t="s">
        <v>622</v>
      </c>
      <c r="D441" s="59">
        <v>2017</v>
      </c>
      <c r="E441" s="59">
        <v>11</v>
      </c>
      <c r="F441" s="59">
        <v>0</v>
      </c>
      <c r="G441" s="59" t="s">
        <v>78</v>
      </c>
      <c r="H441" s="28">
        <v>7</v>
      </c>
      <c r="I441" s="59">
        <f t="shared" si="225"/>
        <v>2024</v>
      </c>
      <c r="J441" s="34">
        <f t="shared" si="226"/>
        <v>2024.9166666666667</v>
      </c>
      <c r="K441" s="35">
        <v>32805.43</v>
      </c>
      <c r="L441" s="35">
        <f t="shared" ref="L441:L442" si="228">K441-K441*F441</f>
        <v>32805.43</v>
      </c>
      <c r="M441" s="35">
        <f t="shared" ref="M441:M442" si="229">L441/H441/12</f>
        <v>390.5408333333333</v>
      </c>
      <c r="N441" s="35">
        <f t="shared" si="227"/>
        <v>4686.49</v>
      </c>
      <c r="O441" s="35">
        <f t="shared" ref="O441:O442" si="230">+IF(J441&lt;=$L$5,0,IF(I441&gt;$L$4,N441,(M441*E441)))</f>
        <v>4686.49</v>
      </c>
      <c r="P441" s="35">
        <f t="shared" ref="P441:P442" si="231">+IF(O441=0,L441,IF($L$3-D441&lt;1,0,(($L$3-D441)*O441)))</f>
        <v>18745.96</v>
      </c>
      <c r="Q441" s="35">
        <f t="shared" ref="Q441:Q442" si="232">+IF(O441=0,P441,P441+O441)</f>
        <v>23432.449999999997</v>
      </c>
      <c r="R441" s="35">
        <f t="shared" ref="R441:R442" si="233">+K441-Q441</f>
        <v>9372.9800000000032</v>
      </c>
    </row>
    <row r="442" spans="1:18" s="59" customFormat="1">
      <c r="A442" s="53">
        <v>199445</v>
      </c>
      <c r="B442" s="59">
        <v>624</v>
      </c>
      <c r="C442" s="59" t="s">
        <v>622</v>
      </c>
      <c r="D442" s="59">
        <v>2018</v>
      </c>
      <c r="E442" s="59">
        <v>4</v>
      </c>
      <c r="F442" s="59">
        <v>0</v>
      </c>
      <c r="G442" s="59" t="s">
        <v>78</v>
      </c>
      <c r="H442" s="28">
        <v>7</v>
      </c>
      <c r="I442" s="59">
        <f t="shared" si="225"/>
        <v>2025</v>
      </c>
      <c r="J442" s="34">
        <f t="shared" si="226"/>
        <v>2025.3333333333333</v>
      </c>
      <c r="K442" s="35">
        <v>33108.660000000003</v>
      </c>
      <c r="L442" s="35">
        <f t="shared" si="228"/>
        <v>33108.660000000003</v>
      </c>
      <c r="M442" s="35">
        <f t="shared" si="229"/>
        <v>394.15071428571429</v>
      </c>
      <c r="N442" s="35">
        <f t="shared" si="227"/>
        <v>4729.8085714285717</v>
      </c>
      <c r="O442" s="35">
        <f t="shared" si="230"/>
        <v>4729.8085714285717</v>
      </c>
      <c r="P442" s="35">
        <f t="shared" si="231"/>
        <v>14189.425714285715</v>
      </c>
      <c r="Q442" s="35">
        <f t="shared" si="232"/>
        <v>18919.234285714287</v>
      </c>
      <c r="R442" s="35">
        <f t="shared" si="233"/>
        <v>14189.425714285717</v>
      </c>
    </row>
    <row r="443" spans="1:18" s="59" customFormat="1">
      <c r="A443" s="53">
        <v>202194</v>
      </c>
      <c r="B443" s="59">
        <v>624</v>
      </c>
      <c r="C443" s="59" t="s">
        <v>622</v>
      </c>
      <c r="D443" s="59">
        <v>2018</v>
      </c>
      <c r="E443" s="59">
        <v>8</v>
      </c>
      <c r="F443" s="59">
        <v>0</v>
      </c>
      <c r="G443" s="59" t="s">
        <v>78</v>
      </c>
      <c r="H443" s="28">
        <v>7</v>
      </c>
      <c r="I443" s="59">
        <f t="shared" si="225"/>
        <v>2025</v>
      </c>
      <c r="J443" s="34">
        <f t="shared" ref="J443:J451" si="234">+I443+(E443/12)</f>
        <v>2025.6666666666667</v>
      </c>
      <c r="K443" s="35">
        <v>33435.82</v>
      </c>
      <c r="L443" s="35">
        <f t="shared" ref="L443:L451" si="235">K443-K443*F443</f>
        <v>33435.82</v>
      </c>
      <c r="M443" s="35">
        <f t="shared" ref="M443:M451" si="236">L443/H443/12</f>
        <v>398.04547619047617</v>
      </c>
      <c r="N443" s="35">
        <f t="shared" ref="N443:N451" si="237">+M443*12</f>
        <v>4776.545714285714</v>
      </c>
      <c r="O443" s="35">
        <f t="shared" ref="O443:O451" si="238">+IF(J443&lt;=$L$5,0,IF(I443&gt;$L$4,N443,(M443*E443)))</f>
        <v>4776.545714285714</v>
      </c>
      <c r="P443" s="35">
        <f t="shared" ref="P443:P451" si="239">+IF(O443=0,L443,IF($L$3-D443&lt;1,0,(($L$3-D443)*O443)))</f>
        <v>14329.637142857142</v>
      </c>
      <c r="Q443" s="35">
        <f t="shared" ref="Q443:Q451" si="240">+IF(O443=0,P443,P443+O443)</f>
        <v>19106.182857142856</v>
      </c>
      <c r="R443" s="35">
        <f t="shared" ref="R443:R451" si="241">+K443-Q443</f>
        <v>14329.637142857144</v>
      </c>
    </row>
    <row r="444" spans="1:18" s="59" customFormat="1">
      <c r="A444" s="53">
        <v>204245</v>
      </c>
      <c r="B444" s="59">
        <v>312</v>
      </c>
      <c r="C444" s="59" t="s">
        <v>622</v>
      </c>
      <c r="D444" s="59">
        <v>2018</v>
      </c>
      <c r="E444" s="59">
        <v>8</v>
      </c>
      <c r="F444" s="59">
        <v>0</v>
      </c>
      <c r="G444" s="59" t="s">
        <v>78</v>
      </c>
      <c r="H444" s="28">
        <v>7</v>
      </c>
      <c r="I444" s="59">
        <f t="shared" si="225"/>
        <v>2025</v>
      </c>
      <c r="J444" s="34">
        <f t="shared" si="234"/>
        <v>2025.6666666666667</v>
      </c>
      <c r="K444" s="35">
        <v>16735.59</v>
      </c>
      <c r="L444" s="35">
        <f t="shared" si="235"/>
        <v>16735.59</v>
      </c>
      <c r="M444" s="35">
        <f t="shared" si="236"/>
        <v>199.2332142857143</v>
      </c>
      <c r="N444" s="35">
        <f t="shared" si="237"/>
        <v>2390.7985714285714</v>
      </c>
      <c r="O444" s="35">
        <f t="shared" si="238"/>
        <v>2390.7985714285714</v>
      </c>
      <c r="P444" s="35">
        <f t="shared" si="239"/>
        <v>7172.3957142857143</v>
      </c>
      <c r="Q444" s="35">
        <f t="shared" si="240"/>
        <v>9563.1942857142858</v>
      </c>
      <c r="R444" s="35">
        <f t="shared" si="241"/>
        <v>7172.3957142857143</v>
      </c>
    </row>
    <row r="445" spans="1:18" s="59" customFormat="1">
      <c r="A445" s="53">
        <v>210120</v>
      </c>
      <c r="B445" s="59">
        <v>624</v>
      </c>
      <c r="C445" s="33" t="s">
        <v>802</v>
      </c>
      <c r="D445" s="59">
        <v>2019</v>
      </c>
      <c r="E445" s="59">
        <v>1</v>
      </c>
      <c r="F445" s="59">
        <v>0</v>
      </c>
      <c r="G445" s="33" t="s">
        <v>78</v>
      </c>
      <c r="H445" s="28">
        <v>7</v>
      </c>
      <c r="I445" s="59">
        <f t="shared" si="225"/>
        <v>2026</v>
      </c>
      <c r="J445" s="34">
        <f t="shared" si="234"/>
        <v>2026.0833333333333</v>
      </c>
      <c r="K445" s="35">
        <v>31843.759999999998</v>
      </c>
      <c r="L445" s="35">
        <f t="shared" si="235"/>
        <v>31843.759999999998</v>
      </c>
      <c r="M445" s="35">
        <f t="shared" si="236"/>
        <v>379.09238095238089</v>
      </c>
      <c r="N445" s="35">
        <f t="shared" si="237"/>
        <v>4549.1085714285709</v>
      </c>
      <c r="O445" s="35">
        <f t="shared" si="238"/>
        <v>4549.1085714285709</v>
      </c>
      <c r="P445" s="35">
        <f t="shared" si="239"/>
        <v>9098.2171428571419</v>
      </c>
      <c r="Q445" s="35">
        <f t="shared" si="240"/>
        <v>13647.325714285713</v>
      </c>
      <c r="R445" s="35">
        <f t="shared" si="241"/>
        <v>18196.434285714284</v>
      </c>
    </row>
    <row r="446" spans="1:18" s="59" customFormat="1">
      <c r="A446" s="53">
        <v>214016</v>
      </c>
      <c r="B446" s="59">
        <v>624</v>
      </c>
      <c r="C446" s="33" t="s">
        <v>802</v>
      </c>
      <c r="D446" s="59">
        <v>2019</v>
      </c>
      <c r="E446" s="59">
        <v>5</v>
      </c>
      <c r="F446" s="59">
        <v>0</v>
      </c>
      <c r="G446" s="33" t="s">
        <v>78</v>
      </c>
      <c r="H446" s="28">
        <v>7</v>
      </c>
      <c r="I446" s="59">
        <f t="shared" si="225"/>
        <v>2026</v>
      </c>
      <c r="J446" s="34">
        <f t="shared" si="234"/>
        <v>2026.4166666666667</v>
      </c>
      <c r="K446" s="35">
        <v>30295.87</v>
      </c>
      <c r="L446" s="35">
        <f t="shared" si="235"/>
        <v>30295.87</v>
      </c>
      <c r="M446" s="35">
        <f t="shared" si="236"/>
        <v>360.66511904761904</v>
      </c>
      <c r="N446" s="35">
        <f t="shared" si="237"/>
        <v>4327.9814285714283</v>
      </c>
      <c r="O446" s="35">
        <f t="shared" si="238"/>
        <v>4327.9814285714283</v>
      </c>
      <c r="P446" s="35">
        <f t="shared" si="239"/>
        <v>8655.9628571428566</v>
      </c>
      <c r="Q446" s="35">
        <f t="shared" si="240"/>
        <v>12983.944285714286</v>
      </c>
      <c r="R446" s="35">
        <f t="shared" si="241"/>
        <v>17311.925714285713</v>
      </c>
    </row>
    <row r="447" spans="1:18" s="59" customFormat="1">
      <c r="A447" s="53">
        <v>221429</v>
      </c>
      <c r="B447" s="59">
        <v>624</v>
      </c>
      <c r="C447" s="33" t="s">
        <v>802</v>
      </c>
      <c r="D447" s="59">
        <v>2019</v>
      </c>
      <c r="E447" s="59">
        <v>9</v>
      </c>
      <c r="F447" s="59">
        <v>0</v>
      </c>
      <c r="G447" s="56" t="s">
        <v>78</v>
      </c>
      <c r="H447" s="28">
        <v>7</v>
      </c>
      <c r="I447" s="59">
        <f t="shared" si="225"/>
        <v>2026</v>
      </c>
      <c r="J447" s="34">
        <f t="shared" si="234"/>
        <v>2026.75</v>
      </c>
      <c r="K447" s="35">
        <v>30459.55</v>
      </c>
      <c r="L447" s="35">
        <f t="shared" si="235"/>
        <v>30459.55</v>
      </c>
      <c r="M447" s="35">
        <f t="shared" si="236"/>
        <v>362.61369047619047</v>
      </c>
      <c r="N447" s="35">
        <f t="shared" si="237"/>
        <v>4351.3642857142859</v>
      </c>
      <c r="O447" s="35">
        <f t="shared" si="238"/>
        <v>4351.3642857142859</v>
      </c>
      <c r="P447" s="35">
        <f t="shared" si="239"/>
        <v>8702.7285714285717</v>
      </c>
      <c r="Q447" s="35">
        <f t="shared" si="240"/>
        <v>13054.092857142858</v>
      </c>
      <c r="R447" s="35">
        <f t="shared" si="241"/>
        <v>17405.457142857143</v>
      </c>
    </row>
    <row r="448" spans="1:18" s="59" customFormat="1">
      <c r="A448" s="53">
        <v>236852</v>
      </c>
      <c r="B448" s="59">
        <v>702</v>
      </c>
      <c r="C448" s="33" t="s">
        <v>863</v>
      </c>
      <c r="D448" s="59">
        <v>2020</v>
      </c>
      <c r="E448" s="59">
        <v>7</v>
      </c>
      <c r="F448" s="59">
        <v>0</v>
      </c>
      <c r="G448" s="56" t="s">
        <v>78</v>
      </c>
      <c r="H448" s="28">
        <v>7</v>
      </c>
      <c r="I448" s="59">
        <f t="shared" si="225"/>
        <v>2027</v>
      </c>
      <c r="J448" s="34">
        <f t="shared" si="234"/>
        <v>2027.5833333333333</v>
      </c>
      <c r="K448" s="35">
        <v>30059.05</v>
      </c>
      <c r="L448" s="35">
        <f t="shared" si="235"/>
        <v>30059.05</v>
      </c>
      <c r="M448" s="35">
        <f t="shared" si="236"/>
        <v>357.8458333333333</v>
      </c>
      <c r="N448" s="35">
        <f t="shared" si="237"/>
        <v>4294.1499999999996</v>
      </c>
      <c r="O448" s="35">
        <f t="shared" si="238"/>
        <v>4294.1499999999996</v>
      </c>
      <c r="P448" s="35">
        <f t="shared" si="239"/>
        <v>4294.1499999999996</v>
      </c>
      <c r="Q448" s="35">
        <f t="shared" si="240"/>
        <v>8588.2999999999993</v>
      </c>
      <c r="R448" s="35">
        <f t="shared" si="241"/>
        <v>21470.75</v>
      </c>
    </row>
    <row r="449" spans="1:18" s="59" customFormat="1">
      <c r="A449" s="53">
        <v>233561</v>
      </c>
      <c r="B449" s="59">
        <v>702</v>
      </c>
      <c r="C449" s="33" t="s">
        <v>863</v>
      </c>
      <c r="D449" s="59">
        <v>2020</v>
      </c>
      <c r="E449" s="59">
        <v>5</v>
      </c>
      <c r="F449" s="59">
        <v>0</v>
      </c>
      <c r="G449" s="56" t="s">
        <v>78</v>
      </c>
      <c r="H449" s="28">
        <v>7</v>
      </c>
      <c r="I449" s="59">
        <f t="shared" si="225"/>
        <v>2027</v>
      </c>
      <c r="J449" s="34">
        <f t="shared" si="234"/>
        <v>2027.4166666666667</v>
      </c>
      <c r="K449" s="35">
        <v>25637.46</v>
      </c>
      <c r="L449" s="35">
        <f t="shared" si="235"/>
        <v>25637.46</v>
      </c>
      <c r="M449" s="35">
        <f t="shared" si="236"/>
        <v>305.20785714285711</v>
      </c>
      <c r="N449" s="35">
        <f t="shared" si="237"/>
        <v>3662.4942857142851</v>
      </c>
      <c r="O449" s="35">
        <f t="shared" si="238"/>
        <v>3662.4942857142851</v>
      </c>
      <c r="P449" s="35">
        <f t="shared" si="239"/>
        <v>3662.4942857142851</v>
      </c>
      <c r="Q449" s="35">
        <f t="shared" si="240"/>
        <v>7324.9885714285701</v>
      </c>
      <c r="R449" s="35">
        <f t="shared" si="241"/>
        <v>18312.471428571429</v>
      </c>
    </row>
    <row r="450" spans="1:18" s="59" customFormat="1">
      <c r="A450" s="53">
        <v>228950</v>
      </c>
      <c r="B450" s="59">
        <v>702</v>
      </c>
      <c r="C450" s="56" t="s">
        <v>802</v>
      </c>
      <c r="D450" s="59">
        <v>2020</v>
      </c>
      <c r="E450" s="59">
        <v>2</v>
      </c>
      <c r="F450" s="59">
        <v>0</v>
      </c>
      <c r="G450" s="56" t="s">
        <v>78</v>
      </c>
      <c r="H450" s="28">
        <v>7</v>
      </c>
      <c r="I450" s="59">
        <f t="shared" si="225"/>
        <v>2027</v>
      </c>
      <c r="J450" s="34">
        <f t="shared" si="234"/>
        <v>2027.1666666666667</v>
      </c>
      <c r="K450" s="35">
        <v>32333.43</v>
      </c>
      <c r="L450" s="35">
        <f t="shared" si="235"/>
        <v>32333.43</v>
      </c>
      <c r="M450" s="35">
        <f t="shared" si="236"/>
        <v>384.9217857142857</v>
      </c>
      <c r="N450" s="35">
        <f t="shared" si="237"/>
        <v>4619.0614285714282</v>
      </c>
      <c r="O450" s="35">
        <f t="shared" si="238"/>
        <v>4619.0614285714282</v>
      </c>
      <c r="P450" s="35">
        <f t="shared" si="239"/>
        <v>4619.0614285714282</v>
      </c>
      <c r="Q450" s="35">
        <f t="shared" si="240"/>
        <v>9238.1228571428564</v>
      </c>
      <c r="R450" s="35">
        <f t="shared" si="241"/>
        <v>23095.307142857142</v>
      </c>
    </row>
    <row r="451" spans="1:18" s="59" customFormat="1">
      <c r="A451" s="53">
        <v>241479</v>
      </c>
      <c r="B451" s="59">
        <v>702</v>
      </c>
      <c r="C451" s="56" t="s">
        <v>882</v>
      </c>
      <c r="D451" s="59">
        <v>2020</v>
      </c>
      <c r="E451" s="59">
        <v>11</v>
      </c>
      <c r="F451" s="59">
        <v>0</v>
      </c>
      <c r="G451" s="56" t="s">
        <v>78</v>
      </c>
      <c r="H451" s="28">
        <v>7</v>
      </c>
      <c r="I451" s="59">
        <f t="shared" si="225"/>
        <v>2027</v>
      </c>
      <c r="J451" s="34">
        <f t="shared" si="234"/>
        <v>2027.9166666666667</v>
      </c>
      <c r="K451" s="35">
        <v>31902.22</v>
      </c>
      <c r="L451" s="35">
        <f t="shared" si="235"/>
        <v>31902.22</v>
      </c>
      <c r="M451" s="35">
        <f t="shared" si="236"/>
        <v>379.78833333333336</v>
      </c>
      <c r="N451" s="35">
        <f t="shared" si="237"/>
        <v>4557.46</v>
      </c>
      <c r="O451" s="35">
        <f t="shared" si="238"/>
        <v>4557.46</v>
      </c>
      <c r="P451" s="35">
        <f t="shared" si="239"/>
        <v>4557.46</v>
      </c>
      <c r="Q451" s="35">
        <f t="shared" si="240"/>
        <v>9114.92</v>
      </c>
      <c r="R451" s="35">
        <f t="shared" si="241"/>
        <v>22787.300000000003</v>
      </c>
    </row>
    <row r="452" spans="1:18" s="59" customFormat="1">
      <c r="A452" s="53"/>
      <c r="H452" s="28"/>
      <c r="K452" s="35"/>
      <c r="L452" s="35"/>
      <c r="M452" s="35"/>
      <c r="N452" s="35"/>
      <c r="O452" s="35"/>
      <c r="P452" s="35"/>
      <c r="Q452" s="35"/>
      <c r="R452" s="35"/>
    </row>
    <row r="453" spans="1:18" s="59" customFormat="1">
      <c r="A453" s="53"/>
      <c r="C453" s="51" t="s">
        <v>397</v>
      </c>
      <c r="H453" s="28"/>
      <c r="K453" s="85">
        <f t="shared" ref="K453:R453" si="242">SUM(K416:K452)</f>
        <v>3555558.1500000008</v>
      </c>
      <c r="L453" s="85">
        <f t="shared" si="242"/>
        <v>3555558.1500000008</v>
      </c>
      <c r="M453" s="85">
        <f t="shared" si="242"/>
        <v>32393.966107142867</v>
      </c>
      <c r="N453" s="85">
        <f t="shared" si="242"/>
        <v>388727.59328571439</v>
      </c>
      <c r="O453" s="85">
        <f t="shared" si="242"/>
        <v>84547.482499999998</v>
      </c>
      <c r="P453" s="85">
        <f t="shared" si="242"/>
        <v>3188099.9092857148</v>
      </c>
      <c r="Q453" s="85">
        <f t="shared" si="242"/>
        <v>3272647.3917857138</v>
      </c>
      <c r="R453" s="85">
        <f t="shared" si="242"/>
        <v>282910.75821428577</v>
      </c>
    </row>
    <row r="454" spans="1:18" s="59" customFormat="1">
      <c r="A454" s="53"/>
      <c r="H454" s="28"/>
      <c r="K454" s="35"/>
      <c r="L454" s="35"/>
      <c r="M454" s="35"/>
      <c r="N454" s="35"/>
      <c r="O454" s="35"/>
      <c r="P454" s="35"/>
      <c r="Q454" s="35"/>
      <c r="R454" s="35"/>
    </row>
    <row r="455" spans="1:18" s="59" customFormat="1">
      <c r="A455" s="53"/>
      <c r="H455" s="28"/>
      <c r="K455" s="35"/>
      <c r="L455" s="35"/>
      <c r="M455" s="35"/>
      <c r="N455" s="35"/>
      <c r="O455" s="35"/>
      <c r="P455" s="35"/>
      <c r="Q455" s="35"/>
      <c r="R455" s="35"/>
    </row>
    <row r="456" spans="1:18" s="59" customFormat="1">
      <c r="A456" s="53"/>
      <c r="C456" s="51" t="s">
        <v>295</v>
      </c>
      <c r="H456" s="28"/>
      <c r="K456" s="35"/>
      <c r="L456" s="35"/>
      <c r="M456" s="35"/>
      <c r="N456" s="35"/>
      <c r="O456" s="35"/>
      <c r="P456" s="35"/>
      <c r="Q456" s="35"/>
      <c r="R456" s="35"/>
    </row>
    <row r="457" spans="1:18" s="59" customFormat="1">
      <c r="A457" s="53"/>
      <c r="B457" s="59">
        <v>402</v>
      </c>
      <c r="C457" s="59" t="s">
        <v>261</v>
      </c>
      <c r="D457" s="59">
        <v>2004</v>
      </c>
      <c r="E457" s="59">
        <v>2</v>
      </c>
      <c r="F457" s="59">
        <v>0</v>
      </c>
      <c r="G457" s="59" t="s">
        <v>78</v>
      </c>
      <c r="H457" s="28" t="s">
        <v>9</v>
      </c>
      <c r="I457" s="59">
        <f t="shared" ref="I457:I478" si="243">D457+H457</f>
        <v>2014</v>
      </c>
      <c r="J457" s="34">
        <f t="shared" ref="J457:J497" si="244">+I457+(E457/12)</f>
        <v>2014.1666666666667</v>
      </c>
      <c r="K457" s="35">
        <v>19316.88</v>
      </c>
      <c r="L457" s="35">
        <f t="shared" ref="L457:L497" si="245">K457-K457*F457</f>
        <v>19316.88</v>
      </c>
      <c r="M457" s="35">
        <f t="shared" ref="M457:M497" si="246">L457/H457/12</f>
        <v>160.97400000000002</v>
      </c>
      <c r="N457" s="35">
        <f t="shared" ref="N457:N497" si="247">+M457*12</f>
        <v>1931.6880000000001</v>
      </c>
      <c r="O457" s="35">
        <f t="shared" ref="O457:O497" si="248">+IF(J457&lt;=$L$5,0,IF(I457&gt;$L$4,N457,(M457*E457)))</f>
        <v>0</v>
      </c>
      <c r="P457" s="35">
        <f t="shared" ref="P457:P497" si="249">+IF(O457=0,L457,IF($L$3-D457&lt;1,0,(($L$3-D457)*O457)))</f>
        <v>19316.88</v>
      </c>
      <c r="Q457" s="35">
        <f t="shared" ref="Q457:Q497" si="250">+IF(O457=0,P457,P457+O457)</f>
        <v>19316.88</v>
      </c>
      <c r="R457" s="35">
        <f t="shared" ref="R457:R497" si="251">+K457-Q457</f>
        <v>0</v>
      </c>
    </row>
    <row r="458" spans="1:18" s="59" customFormat="1">
      <c r="A458" s="53"/>
      <c r="B458" s="59">
        <v>411</v>
      </c>
      <c r="C458" s="59" t="s">
        <v>261</v>
      </c>
      <c r="D458" s="59">
        <v>2004</v>
      </c>
      <c r="E458" s="59">
        <v>5</v>
      </c>
      <c r="F458" s="59">
        <v>0</v>
      </c>
      <c r="G458" s="59" t="s">
        <v>78</v>
      </c>
      <c r="H458" s="28" t="s">
        <v>9</v>
      </c>
      <c r="I458" s="59">
        <f t="shared" si="243"/>
        <v>2014</v>
      </c>
      <c r="J458" s="34">
        <f t="shared" si="244"/>
        <v>2014.4166666666667</v>
      </c>
      <c r="K458" s="35">
        <v>19743.97</v>
      </c>
      <c r="L458" s="35">
        <f t="shared" si="245"/>
        <v>19743.97</v>
      </c>
      <c r="M458" s="35">
        <f t="shared" si="246"/>
        <v>164.53308333333334</v>
      </c>
      <c r="N458" s="35">
        <f t="shared" si="247"/>
        <v>1974.3969999999999</v>
      </c>
      <c r="O458" s="35">
        <f t="shared" si="248"/>
        <v>0</v>
      </c>
      <c r="P458" s="35">
        <f t="shared" si="249"/>
        <v>19743.97</v>
      </c>
      <c r="Q458" s="35">
        <f t="shared" si="250"/>
        <v>19743.97</v>
      </c>
      <c r="R458" s="35">
        <f t="shared" si="251"/>
        <v>0</v>
      </c>
    </row>
    <row r="459" spans="1:18" s="59" customFormat="1">
      <c r="A459" s="53"/>
      <c r="B459" s="59">
        <v>253</v>
      </c>
      <c r="C459" s="59" t="s">
        <v>261</v>
      </c>
      <c r="D459" s="59">
        <v>2004</v>
      </c>
      <c r="E459" s="59">
        <v>6</v>
      </c>
      <c r="F459" s="59">
        <v>0</v>
      </c>
      <c r="G459" s="59" t="s">
        <v>78</v>
      </c>
      <c r="H459" s="28" t="s">
        <v>9</v>
      </c>
      <c r="I459" s="59">
        <f t="shared" si="243"/>
        <v>2014</v>
      </c>
      <c r="J459" s="34">
        <f t="shared" si="244"/>
        <v>2014.5</v>
      </c>
      <c r="K459" s="35">
        <v>12128.88</v>
      </c>
      <c r="L459" s="35">
        <f t="shared" si="245"/>
        <v>12128.88</v>
      </c>
      <c r="M459" s="35">
        <f t="shared" si="246"/>
        <v>101.074</v>
      </c>
      <c r="N459" s="35">
        <f t="shared" si="247"/>
        <v>1212.8879999999999</v>
      </c>
      <c r="O459" s="35">
        <f t="shared" si="248"/>
        <v>0</v>
      </c>
      <c r="P459" s="35">
        <f t="shared" si="249"/>
        <v>12128.88</v>
      </c>
      <c r="Q459" s="35">
        <f t="shared" si="250"/>
        <v>12128.88</v>
      </c>
      <c r="R459" s="35">
        <f t="shared" si="251"/>
        <v>0</v>
      </c>
    </row>
    <row r="460" spans="1:18" s="59" customFormat="1">
      <c r="A460" s="53"/>
      <c r="B460" s="59">
        <v>281</v>
      </c>
      <c r="C460" s="59" t="s">
        <v>141</v>
      </c>
      <c r="D460" s="59">
        <v>2006</v>
      </c>
      <c r="E460" s="59">
        <v>2</v>
      </c>
      <c r="F460" s="59">
        <v>0</v>
      </c>
      <c r="G460" s="59" t="s">
        <v>78</v>
      </c>
      <c r="H460" s="28" t="s">
        <v>9</v>
      </c>
      <c r="I460" s="59">
        <f t="shared" si="243"/>
        <v>2016</v>
      </c>
      <c r="J460" s="34">
        <f t="shared" si="244"/>
        <v>2016.1666666666667</v>
      </c>
      <c r="K460" s="35">
        <v>13484.82</v>
      </c>
      <c r="L460" s="35">
        <f t="shared" si="245"/>
        <v>13484.82</v>
      </c>
      <c r="M460" s="35">
        <f t="shared" si="246"/>
        <v>112.37349999999999</v>
      </c>
      <c r="N460" s="35">
        <f t="shared" si="247"/>
        <v>1348.482</v>
      </c>
      <c r="O460" s="35">
        <f t="shared" si="248"/>
        <v>0</v>
      </c>
      <c r="P460" s="35">
        <f t="shared" si="249"/>
        <v>13484.82</v>
      </c>
      <c r="Q460" s="35">
        <f t="shared" si="250"/>
        <v>13484.82</v>
      </c>
      <c r="R460" s="35">
        <f t="shared" si="251"/>
        <v>0</v>
      </c>
    </row>
    <row r="461" spans="1:18" s="59" customFormat="1">
      <c r="A461" s="53"/>
      <c r="B461" s="59">
        <v>517</v>
      </c>
      <c r="C461" s="59" t="s">
        <v>234</v>
      </c>
      <c r="D461" s="59">
        <v>2006</v>
      </c>
      <c r="E461" s="59">
        <v>5</v>
      </c>
      <c r="F461" s="59">
        <v>0</v>
      </c>
      <c r="G461" s="59" t="s">
        <v>78</v>
      </c>
      <c r="H461" s="28" t="s">
        <v>9</v>
      </c>
      <c r="I461" s="59">
        <f t="shared" si="243"/>
        <v>2016</v>
      </c>
      <c r="J461" s="34">
        <f t="shared" si="244"/>
        <v>2016.4166666666667</v>
      </c>
      <c r="K461" s="35">
        <v>24793.06</v>
      </c>
      <c r="L461" s="35">
        <f t="shared" si="245"/>
        <v>24793.06</v>
      </c>
      <c r="M461" s="35">
        <f t="shared" si="246"/>
        <v>206.60883333333334</v>
      </c>
      <c r="N461" s="35">
        <f t="shared" si="247"/>
        <v>2479.306</v>
      </c>
      <c r="O461" s="35">
        <f t="shared" si="248"/>
        <v>0</v>
      </c>
      <c r="P461" s="35">
        <f t="shared" si="249"/>
        <v>24793.06</v>
      </c>
      <c r="Q461" s="35">
        <f t="shared" si="250"/>
        <v>24793.06</v>
      </c>
      <c r="R461" s="35">
        <f t="shared" si="251"/>
        <v>0</v>
      </c>
    </row>
    <row r="462" spans="1:18" s="59" customFormat="1">
      <c r="A462" s="53"/>
      <c r="B462" s="59">
        <v>275</v>
      </c>
      <c r="C462" s="59" t="s">
        <v>261</v>
      </c>
      <c r="D462" s="59">
        <v>2006</v>
      </c>
      <c r="E462" s="59">
        <v>8</v>
      </c>
      <c r="F462" s="59">
        <v>0</v>
      </c>
      <c r="G462" s="59" t="s">
        <v>78</v>
      </c>
      <c r="H462" s="28" t="s">
        <v>9</v>
      </c>
      <c r="I462" s="59">
        <f t="shared" si="243"/>
        <v>2016</v>
      </c>
      <c r="J462" s="34">
        <f t="shared" si="244"/>
        <v>2016.6666666666667</v>
      </c>
      <c r="K462" s="35">
        <v>13179.77</v>
      </c>
      <c r="L462" s="35">
        <f t="shared" si="245"/>
        <v>13179.77</v>
      </c>
      <c r="M462" s="35">
        <f t="shared" si="246"/>
        <v>109.83141666666667</v>
      </c>
      <c r="N462" s="35">
        <f t="shared" si="247"/>
        <v>1317.9770000000001</v>
      </c>
      <c r="O462" s="35">
        <f t="shared" si="248"/>
        <v>0</v>
      </c>
      <c r="P462" s="35">
        <f t="shared" si="249"/>
        <v>13179.77</v>
      </c>
      <c r="Q462" s="35">
        <f t="shared" si="250"/>
        <v>13179.77</v>
      </c>
      <c r="R462" s="35">
        <f t="shared" si="251"/>
        <v>0</v>
      </c>
    </row>
    <row r="463" spans="1:18" s="59" customFormat="1">
      <c r="A463" s="53"/>
      <c r="B463" s="59">
        <v>558</v>
      </c>
      <c r="C463" s="59" t="s">
        <v>233</v>
      </c>
      <c r="D463" s="59">
        <v>2007</v>
      </c>
      <c r="E463" s="59">
        <v>1</v>
      </c>
      <c r="F463" s="59">
        <v>0</v>
      </c>
      <c r="G463" s="59" t="s">
        <v>78</v>
      </c>
      <c r="H463" s="28" t="s">
        <v>9</v>
      </c>
      <c r="I463" s="59">
        <f t="shared" si="243"/>
        <v>2017</v>
      </c>
      <c r="J463" s="34">
        <f t="shared" si="244"/>
        <v>2017.0833333333333</v>
      </c>
      <c r="K463" s="35">
        <v>26801.47</v>
      </c>
      <c r="L463" s="35">
        <f t="shared" si="245"/>
        <v>26801.47</v>
      </c>
      <c r="M463" s="35">
        <f t="shared" si="246"/>
        <v>223.34558333333334</v>
      </c>
      <c r="N463" s="35">
        <f t="shared" si="247"/>
        <v>2680.1469999999999</v>
      </c>
      <c r="O463" s="35">
        <f t="shared" si="248"/>
        <v>0</v>
      </c>
      <c r="P463" s="35">
        <f t="shared" si="249"/>
        <v>26801.47</v>
      </c>
      <c r="Q463" s="35">
        <f t="shared" si="250"/>
        <v>26801.47</v>
      </c>
      <c r="R463" s="35">
        <f t="shared" si="251"/>
        <v>0</v>
      </c>
    </row>
    <row r="464" spans="1:18" s="59" customFormat="1">
      <c r="A464" s="53"/>
      <c r="B464" s="59">
        <v>548</v>
      </c>
      <c r="C464" s="59" t="s">
        <v>234</v>
      </c>
      <c r="D464" s="59">
        <v>2007</v>
      </c>
      <c r="E464" s="59">
        <v>3</v>
      </c>
      <c r="F464" s="59">
        <v>0</v>
      </c>
      <c r="G464" s="59" t="s">
        <v>78</v>
      </c>
      <c r="H464" s="28" t="s">
        <v>9</v>
      </c>
      <c r="I464" s="59">
        <f t="shared" si="243"/>
        <v>2017</v>
      </c>
      <c r="J464" s="34">
        <f t="shared" si="244"/>
        <v>2017.25</v>
      </c>
      <c r="K464" s="35">
        <v>26301.27</v>
      </c>
      <c r="L464" s="35">
        <f t="shared" si="245"/>
        <v>26301.27</v>
      </c>
      <c r="M464" s="35">
        <f t="shared" si="246"/>
        <v>219.17724999999999</v>
      </c>
      <c r="N464" s="35">
        <f t="shared" si="247"/>
        <v>2630.127</v>
      </c>
      <c r="O464" s="35">
        <f t="shared" si="248"/>
        <v>0</v>
      </c>
      <c r="P464" s="35">
        <f t="shared" si="249"/>
        <v>26301.27</v>
      </c>
      <c r="Q464" s="35">
        <f t="shared" si="250"/>
        <v>26301.27</v>
      </c>
      <c r="R464" s="35">
        <f t="shared" si="251"/>
        <v>0</v>
      </c>
    </row>
    <row r="465" spans="1:18" s="59" customFormat="1">
      <c r="A465" s="53"/>
      <c r="B465" s="59">
        <v>1115</v>
      </c>
      <c r="C465" s="59" t="s">
        <v>234</v>
      </c>
      <c r="D465" s="59">
        <v>2007</v>
      </c>
      <c r="E465" s="59">
        <v>5</v>
      </c>
      <c r="F465" s="59">
        <v>0</v>
      </c>
      <c r="G465" s="59" t="s">
        <v>78</v>
      </c>
      <c r="H465" s="28" t="s">
        <v>9</v>
      </c>
      <c r="I465" s="59">
        <f t="shared" si="243"/>
        <v>2017</v>
      </c>
      <c r="J465" s="34">
        <f t="shared" si="244"/>
        <v>2017.4166666666667</v>
      </c>
      <c r="K465" s="35">
        <v>53530.7</v>
      </c>
      <c r="L465" s="35">
        <f t="shared" si="245"/>
        <v>53530.7</v>
      </c>
      <c r="M465" s="35">
        <f t="shared" si="246"/>
        <v>446.08916666666664</v>
      </c>
      <c r="N465" s="35">
        <f t="shared" si="247"/>
        <v>5353.07</v>
      </c>
      <c r="O465" s="35">
        <f t="shared" si="248"/>
        <v>0</v>
      </c>
      <c r="P465" s="35">
        <f t="shared" si="249"/>
        <v>53530.7</v>
      </c>
      <c r="Q465" s="35">
        <f t="shared" si="250"/>
        <v>53530.7</v>
      </c>
      <c r="R465" s="35">
        <f t="shared" si="251"/>
        <v>0</v>
      </c>
    </row>
    <row r="466" spans="1:18" s="59" customFormat="1">
      <c r="A466" s="53"/>
      <c r="B466" s="59">
        <v>566</v>
      </c>
      <c r="C466" s="59" t="s">
        <v>261</v>
      </c>
      <c r="D466" s="59">
        <v>2007</v>
      </c>
      <c r="E466" s="59">
        <v>5</v>
      </c>
      <c r="F466" s="59">
        <v>0</v>
      </c>
      <c r="G466" s="59" t="s">
        <v>78</v>
      </c>
      <c r="H466" s="28" t="s">
        <v>9</v>
      </c>
      <c r="I466" s="59">
        <f t="shared" si="243"/>
        <v>2017</v>
      </c>
      <c r="J466" s="34">
        <f t="shared" si="244"/>
        <v>2017.4166666666667</v>
      </c>
      <c r="K466" s="35">
        <v>27148.21</v>
      </c>
      <c r="L466" s="35">
        <f t="shared" si="245"/>
        <v>27148.21</v>
      </c>
      <c r="M466" s="35">
        <f t="shared" si="246"/>
        <v>226.23508333333334</v>
      </c>
      <c r="N466" s="35">
        <f t="shared" si="247"/>
        <v>2714.8209999999999</v>
      </c>
      <c r="O466" s="35">
        <f t="shared" si="248"/>
        <v>0</v>
      </c>
      <c r="P466" s="35">
        <f t="shared" si="249"/>
        <v>27148.21</v>
      </c>
      <c r="Q466" s="35">
        <f t="shared" si="250"/>
        <v>27148.21</v>
      </c>
      <c r="R466" s="35">
        <f t="shared" si="251"/>
        <v>0</v>
      </c>
    </row>
    <row r="467" spans="1:18" s="59" customFormat="1">
      <c r="A467" s="53"/>
      <c r="B467" s="59">
        <v>565</v>
      </c>
      <c r="C467" s="59" t="s">
        <v>234</v>
      </c>
      <c r="D467" s="59">
        <v>2007</v>
      </c>
      <c r="E467" s="59">
        <v>6</v>
      </c>
      <c r="F467" s="59">
        <v>0</v>
      </c>
      <c r="G467" s="59" t="s">
        <v>78</v>
      </c>
      <c r="H467" s="28" t="s">
        <v>9</v>
      </c>
      <c r="I467" s="59">
        <f t="shared" si="243"/>
        <v>2017</v>
      </c>
      <c r="J467" s="34">
        <f t="shared" si="244"/>
        <v>2017.5</v>
      </c>
      <c r="K467" s="35">
        <v>27111.66</v>
      </c>
      <c r="L467" s="35">
        <f t="shared" si="245"/>
        <v>27111.66</v>
      </c>
      <c r="M467" s="35">
        <f t="shared" si="246"/>
        <v>225.93050000000002</v>
      </c>
      <c r="N467" s="35">
        <f t="shared" si="247"/>
        <v>2711.1660000000002</v>
      </c>
      <c r="O467" s="35">
        <f t="shared" si="248"/>
        <v>0</v>
      </c>
      <c r="P467" s="35">
        <f t="shared" si="249"/>
        <v>27111.66</v>
      </c>
      <c r="Q467" s="35">
        <f t="shared" si="250"/>
        <v>27111.66</v>
      </c>
      <c r="R467" s="35">
        <f t="shared" si="251"/>
        <v>0</v>
      </c>
    </row>
    <row r="468" spans="1:18" s="59" customFormat="1">
      <c r="A468" s="53"/>
      <c r="B468" s="59">
        <v>565</v>
      </c>
      <c r="C468" s="59" t="s">
        <v>241</v>
      </c>
      <c r="D468" s="59">
        <v>2007</v>
      </c>
      <c r="E468" s="59">
        <v>7</v>
      </c>
      <c r="F468" s="59">
        <v>0</v>
      </c>
      <c r="G468" s="59" t="s">
        <v>78</v>
      </c>
      <c r="H468" s="28" t="s">
        <v>9</v>
      </c>
      <c r="I468" s="59">
        <f t="shared" si="243"/>
        <v>2017</v>
      </c>
      <c r="J468" s="34">
        <f t="shared" si="244"/>
        <v>2017.5833333333333</v>
      </c>
      <c r="K468" s="35">
        <v>27100.07</v>
      </c>
      <c r="L468" s="35">
        <f t="shared" si="245"/>
        <v>27100.07</v>
      </c>
      <c r="M468" s="35">
        <f t="shared" si="246"/>
        <v>225.83391666666668</v>
      </c>
      <c r="N468" s="35">
        <f t="shared" si="247"/>
        <v>2710.0070000000001</v>
      </c>
      <c r="O468" s="35">
        <f t="shared" si="248"/>
        <v>0</v>
      </c>
      <c r="P468" s="35">
        <f t="shared" si="249"/>
        <v>27100.07</v>
      </c>
      <c r="Q468" s="35">
        <f t="shared" si="250"/>
        <v>27100.07</v>
      </c>
      <c r="R468" s="35">
        <f t="shared" si="251"/>
        <v>0</v>
      </c>
    </row>
    <row r="469" spans="1:18" s="59" customFormat="1">
      <c r="A469" s="53"/>
      <c r="B469" s="59">
        <v>555</v>
      </c>
      <c r="C469" s="59" t="s">
        <v>241</v>
      </c>
      <c r="D469" s="59">
        <v>2007</v>
      </c>
      <c r="E469" s="59">
        <v>9</v>
      </c>
      <c r="F469" s="59">
        <v>0</v>
      </c>
      <c r="G469" s="59" t="s">
        <v>78</v>
      </c>
      <c r="H469" s="28" t="s">
        <v>9</v>
      </c>
      <c r="I469" s="59">
        <f t="shared" si="243"/>
        <v>2017</v>
      </c>
      <c r="J469" s="34">
        <f t="shared" si="244"/>
        <v>2017.75</v>
      </c>
      <c r="K469" s="35">
        <v>26657.64</v>
      </c>
      <c r="L469" s="35">
        <f t="shared" si="245"/>
        <v>26657.64</v>
      </c>
      <c r="M469" s="35">
        <f t="shared" si="246"/>
        <v>222.14700000000002</v>
      </c>
      <c r="N469" s="35">
        <f t="shared" si="247"/>
        <v>2665.7640000000001</v>
      </c>
      <c r="O469" s="35">
        <f t="shared" si="248"/>
        <v>0</v>
      </c>
      <c r="P469" s="35">
        <f t="shared" si="249"/>
        <v>26657.64</v>
      </c>
      <c r="Q469" s="35">
        <f t="shared" si="250"/>
        <v>26657.64</v>
      </c>
      <c r="R469" s="35">
        <f t="shared" si="251"/>
        <v>0</v>
      </c>
    </row>
    <row r="470" spans="1:18" s="59" customFormat="1">
      <c r="A470" s="53"/>
      <c r="B470" s="59">
        <v>421</v>
      </c>
      <c r="C470" s="59" t="s">
        <v>234</v>
      </c>
      <c r="D470" s="59">
        <v>2008</v>
      </c>
      <c r="E470" s="59">
        <v>2</v>
      </c>
      <c r="F470" s="59">
        <v>0</v>
      </c>
      <c r="G470" s="59" t="s">
        <v>78</v>
      </c>
      <c r="H470" s="28" t="s">
        <v>8</v>
      </c>
      <c r="I470" s="59">
        <f t="shared" si="243"/>
        <v>2013</v>
      </c>
      <c r="J470" s="34">
        <f t="shared" si="244"/>
        <v>2013.1666666666667</v>
      </c>
      <c r="K470" s="35">
        <v>20215.189999999999</v>
      </c>
      <c r="L470" s="35">
        <f t="shared" si="245"/>
        <v>20215.189999999999</v>
      </c>
      <c r="M470" s="35">
        <f t="shared" si="246"/>
        <v>336.91983333333332</v>
      </c>
      <c r="N470" s="35">
        <f t="shared" si="247"/>
        <v>4043.0379999999996</v>
      </c>
      <c r="O470" s="35">
        <f t="shared" si="248"/>
        <v>0</v>
      </c>
      <c r="P470" s="35">
        <f t="shared" si="249"/>
        <v>20215.189999999999</v>
      </c>
      <c r="Q470" s="35">
        <f t="shared" si="250"/>
        <v>20215.189999999999</v>
      </c>
      <c r="R470" s="35">
        <f t="shared" si="251"/>
        <v>0</v>
      </c>
    </row>
    <row r="471" spans="1:18" s="59" customFormat="1">
      <c r="A471" s="53"/>
      <c r="B471" s="59">
        <v>1216</v>
      </c>
      <c r="C471" s="59" t="s">
        <v>241</v>
      </c>
      <c r="D471" s="59">
        <v>2008</v>
      </c>
      <c r="E471" s="59">
        <v>3</v>
      </c>
      <c r="F471" s="59">
        <v>0</v>
      </c>
      <c r="G471" s="59" t="s">
        <v>78</v>
      </c>
      <c r="H471" s="28" t="s">
        <v>8</v>
      </c>
      <c r="I471" s="59">
        <f t="shared" si="243"/>
        <v>2013</v>
      </c>
      <c r="J471" s="34">
        <f t="shared" si="244"/>
        <v>2013.25</v>
      </c>
      <c r="K471" s="35">
        <v>58388.76</v>
      </c>
      <c r="L471" s="35">
        <f t="shared" si="245"/>
        <v>58388.76</v>
      </c>
      <c r="M471" s="35">
        <f t="shared" si="246"/>
        <v>973.14600000000007</v>
      </c>
      <c r="N471" s="35">
        <f t="shared" si="247"/>
        <v>11677.752</v>
      </c>
      <c r="O471" s="35">
        <f t="shared" si="248"/>
        <v>0</v>
      </c>
      <c r="P471" s="35">
        <f t="shared" si="249"/>
        <v>58388.76</v>
      </c>
      <c r="Q471" s="35">
        <f t="shared" si="250"/>
        <v>58388.76</v>
      </c>
      <c r="R471" s="35">
        <f t="shared" si="251"/>
        <v>0</v>
      </c>
    </row>
    <row r="472" spans="1:18" s="59" customFormat="1">
      <c r="A472" s="53"/>
      <c r="B472" s="59">
        <v>622</v>
      </c>
      <c r="C472" s="59" t="s">
        <v>234</v>
      </c>
      <c r="D472" s="59">
        <v>2008</v>
      </c>
      <c r="E472" s="59">
        <v>5</v>
      </c>
      <c r="F472" s="59">
        <v>0</v>
      </c>
      <c r="G472" s="59" t="s">
        <v>78</v>
      </c>
      <c r="H472" s="28" t="s">
        <v>8</v>
      </c>
      <c r="I472" s="59">
        <f t="shared" si="243"/>
        <v>2013</v>
      </c>
      <c r="J472" s="34">
        <f t="shared" si="244"/>
        <v>2013.4166666666667</v>
      </c>
      <c r="K472" s="35">
        <v>29838.69</v>
      </c>
      <c r="L472" s="35">
        <f t="shared" si="245"/>
        <v>29838.69</v>
      </c>
      <c r="M472" s="35">
        <f t="shared" si="246"/>
        <v>497.31149999999997</v>
      </c>
      <c r="N472" s="35">
        <f t="shared" si="247"/>
        <v>5967.7379999999994</v>
      </c>
      <c r="O472" s="35">
        <f t="shared" si="248"/>
        <v>0</v>
      </c>
      <c r="P472" s="35">
        <f t="shared" si="249"/>
        <v>29838.69</v>
      </c>
      <c r="Q472" s="35">
        <f t="shared" si="250"/>
        <v>29838.69</v>
      </c>
      <c r="R472" s="35">
        <f t="shared" si="251"/>
        <v>0</v>
      </c>
    </row>
    <row r="473" spans="1:18" s="59" customFormat="1">
      <c r="A473" s="53"/>
      <c r="B473" s="59">
        <v>622</v>
      </c>
      <c r="C473" s="59" t="s">
        <v>241</v>
      </c>
      <c r="D473" s="59">
        <v>2008</v>
      </c>
      <c r="E473" s="59">
        <v>6</v>
      </c>
      <c r="F473" s="59">
        <v>0</v>
      </c>
      <c r="G473" s="59" t="s">
        <v>78</v>
      </c>
      <c r="H473" s="28" t="s">
        <v>8</v>
      </c>
      <c r="I473" s="59">
        <f t="shared" si="243"/>
        <v>2013</v>
      </c>
      <c r="J473" s="34">
        <f t="shared" si="244"/>
        <v>2013.5</v>
      </c>
      <c r="K473" s="35">
        <v>29849.61</v>
      </c>
      <c r="L473" s="35">
        <f t="shared" si="245"/>
        <v>29849.61</v>
      </c>
      <c r="M473" s="35">
        <f t="shared" si="246"/>
        <v>497.49350000000004</v>
      </c>
      <c r="N473" s="35">
        <f t="shared" si="247"/>
        <v>5969.9220000000005</v>
      </c>
      <c r="O473" s="35">
        <f t="shared" si="248"/>
        <v>0</v>
      </c>
      <c r="P473" s="35">
        <f t="shared" si="249"/>
        <v>29849.61</v>
      </c>
      <c r="Q473" s="35">
        <f t="shared" si="250"/>
        <v>29849.61</v>
      </c>
      <c r="R473" s="35">
        <f t="shared" si="251"/>
        <v>0</v>
      </c>
    </row>
    <row r="474" spans="1:18" s="59" customFormat="1">
      <c r="A474" s="53"/>
      <c r="B474" s="59">
        <v>622</v>
      </c>
      <c r="C474" s="59" t="s">
        <v>234</v>
      </c>
      <c r="D474" s="59">
        <v>2008</v>
      </c>
      <c r="E474" s="59">
        <v>7</v>
      </c>
      <c r="F474" s="59">
        <v>0</v>
      </c>
      <c r="G474" s="59" t="s">
        <v>78</v>
      </c>
      <c r="H474" s="28" t="s">
        <v>8</v>
      </c>
      <c r="I474" s="59">
        <f t="shared" si="243"/>
        <v>2013</v>
      </c>
      <c r="J474" s="34">
        <f t="shared" si="244"/>
        <v>2013.5833333333333</v>
      </c>
      <c r="K474" s="35">
        <v>29874.75</v>
      </c>
      <c r="L474" s="35">
        <f t="shared" si="245"/>
        <v>29874.75</v>
      </c>
      <c r="M474" s="35">
        <f t="shared" si="246"/>
        <v>497.91249999999997</v>
      </c>
      <c r="N474" s="35">
        <f t="shared" si="247"/>
        <v>5974.95</v>
      </c>
      <c r="O474" s="35">
        <f t="shared" si="248"/>
        <v>0</v>
      </c>
      <c r="P474" s="35">
        <f t="shared" si="249"/>
        <v>29874.75</v>
      </c>
      <c r="Q474" s="35">
        <f t="shared" si="250"/>
        <v>29874.75</v>
      </c>
      <c r="R474" s="35">
        <f t="shared" si="251"/>
        <v>0</v>
      </c>
    </row>
    <row r="475" spans="1:18" s="59" customFormat="1">
      <c r="A475" s="53"/>
      <c r="B475" s="59">
        <v>622</v>
      </c>
      <c r="C475" s="59" t="s">
        <v>261</v>
      </c>
      <c r="D475" s="59">
        <v>2008</v>
      </c>
      <c r="E475" s="59">
        <v>8</v>
      </c>
      <c r="F475" s="59">
        <v>0</v>
      </c>
      <c r="G475" s="59" t="s">
        <v>78</v>
      </c>
      <c r="H475" s="28" t="s">
        <v>8</v>
      </c>
      <c r="I475" s="59">
        <f t="shared" si="243"/>
        <v>2013</v>
      </c>
      <c r="J475" s="34">
        <f t="shared" si="244"/>
        <v>2013.6666666666667</v>
      </c>
      <c r="K475" s="35">
        <v>29874.75</v>
      </c>
      <c r="L475" s="35">
        <f t="shared" si="245"/>
        <v>29874.75</v>
      </c>
      <c r="M475" s="35">
        <f t="shared" si="246"/>
        <v>497.91249999999997</v>
      </c>
      <c r="N475" s="35">
        <f t="shared" si="247"/>
        <v>5974.95</v>
      </c>
      <c r="O475" s="35">
        <f t="shared" si="248"/>
        <v>0</v>
      </c>
      <c r="P475" s="35">
        <f t="shared" si="249"/>
        <v>29874.75</v>
      </c>
      <c r="Q475" s="35">
        <f t="shared" si="250"/>
        <v>29874.75</v>
      </c>
      <c r="R475" s="35">
        <f t="shared" si="251"/>
        <v>0</v>
      </c>
    </row>
    <row r="476" spans="1:18" s="59" customFormat="1">
      <c r="A476" s="53"/>
      <c r="B476" s="59">
        <v>436</v>
      </c>
      <c r="C476" s="59" t="s">
        <v>240</v>
      </c>
      <c r="D476" s="59">
        <v>2009</v>
      </c>
      <c r="E476" s="59">
        <v>4</v>
      </c>
      <c r="F476" s="59">
        <v>0</v>
      </c>
      <c r="G476" s="59" t="s">
        <v>78</v>
      </c>
      <c r="H476" s="28">
        <v>7</v>
      </c>
      <c r="I476" s="59">
        <f t="shared" si="243"/>
        <v>2016</v>
      </c>
      <c r="J476" s="34">
        <f t="shared" si="244"/>
        <v>2016.3333333333333</v>
      </c>
      <c r="K476" s="35">
        <v>21651.7</v>
      </c>
      <c r="L476" s="35">
        <f t="shared" si="245"/>
        <v>21651.7</v>
      </c>
      <c r="M476" s="35">
        <f t="shared" si="246"/>
        <v>257.75833333333333</v>
      </c>
      <c r="N476" s="35">
        <f t="shared" si="247"/>
        <v>3093.1</v>
      </c>
      <c r="O476" s="35">
        <f t="shared" si="248"/>
        <v>0</v>
      </c>
      <c r="P476" s="35">
        <f t="shared" si="249"/>
        <v>21651.7</v>
      </c>
      <c r="Q476" s="35">
        <f t="shared" si="250"/>
        <v>21651.7</v>
      </c>
      <c r="R476" s="35">
        <f t="shared" si="251"/>
        <v>0</v>
      </c>
    </row>
    <row r="477" spans="1:18" s="59" customFormat="1">
      <c r="A477" s="53"/>
      <c r="B477" s="59">
        <v>436</v>
      </c>
      <c r="C477" s="59" t="s">
        <v>183</v>
      </c>
      <c r="D477" s="59">
        <v>2009</v>
      </c>
      <c r="E477" s="59">
        <v>6</v>
      </c>
      <c r="F477" s="59">
        <v>0</v>
      </c>
      <c r="G477" s="59" t="s">
        <v>78</v>
      </c>
      <c r="H477" s="28">
        <v>7</v>
      </c>
      <c r="I477" s="59">
        <f t="shared" si="243"/>
        <v>2016</v>
      </c>
      <c r="J477" s="34">
        <f t="shared" si="244"/>
        <v>2016.5</v>
      </c>
      <c r="K477" s="35">
        <v>20185.46</v>
      </c>
      <c r="L477" s="35">
        <f t="shared" si="245"/>
        <v>20185.46</v>
      </c>
      <c r="M477" s="35">
        <f t="shared" si="246"/>
        <v>240.30309523809524</v>
      </c>
      <c r="N477" s="35">
        <f t="shared" si="247"/>
        <v>2883.6371428571429</v>
      </c>
      <c r="O477" s="35">
        <f t="shared" si="248"/>
        <v>0</v>
      </c>
      <c r="P477" s="35">
        <f t="shared" si="249"/>
        <v>20185.46</v>
      </c>
      <c r="Q477" s="35">
        <f t="shared" si="250"/>
        <v>20185.46</v>
      </c>
      <c r="R477" s="35">
        <f t="shared" si="251"/>
        <v>0</v>
      </c>
    </row>
    <row r="478" spans="1:18" s="59" customFormat="1">
      <c r="A478" s="53"/>
      <c r="B478" s="59">
        <v>99</v>
      </c>
      <c r="C478" s="59" t="s">
        <v>239</v>
      </c>
      <c r="D478" s="59">
        <v>2009</v>
      </c>
      <c r="E478" s="59">
        <v>6</v>
      </c>
      <c r="F478" s="59">
        <v>0</v>
      </c>
      <c r="G478" s="59" t="s">
        <v>78</v>
      </c>
      <c r="H478" s="28">
        <v>7</v>
      </c>
      <c r="I478" s="59">
        <f t="shared" si="243"/>
        <v>2016</v>
      </c>
      <c r="J478" s="34">
        <f t="shared" si="244"/>
        <v>2016.5</v>
      </c>
      <c r="K478" s="35">
        <v>4583.41</v>
      </c>
      <c r="L478" s="35">
        <f t="shared" si="245"/>
        <v>4583.41</v>
      </c>
      <c r="M478" s="35">
        <f t="shared" si="246"/>
        <v>54.564404761904761</v>
      </c>
      <c r="N478" s="35">
        <f t="shared" si="247"/>
        <v>654.77285714285711</v>
      </c>
      <c r="O478" s="35">
        <f t="shared" si="248"/>
        <v>0</v>
      </c>
      <c r="P478" s="35">
        <f t="shared" si="249"/>
        <v>4583.41</v>
      </c>
      <c r="Q478" s="35">
        <f t="shared" si="250"/>
        <v>4583.41</v>
      </c>
      <c r="R478" s="35">
        <f t="shared" si="251"/>
        <v>0</v>
      </c>
    </row>
    <row r="479" spans="1:18" s="59" customFormat="1">
      <c r="A479" s="53"/>
      <c r="B479" s="59">
        <v>243</v>
      </c>
      <c r="C479" s="59" t="s">
        <v>307</v>
      </c>
      <c r="D479" s="59">
        <v>2009</v>
      </c>
      <c r="E479" s="59">
        <v>7</v>
      </c>
      <c r="F479" s="59">
        <v>0</v>
      </c>
      <c r="G479" s="59" t="s">
        <v>78</v>
      </c>
      <c r="H479" s="28">
        <v>7</v>
      </c>
      <c r="I479" s="59">
        <f t="shared" ref="I479:I497" si="252">D479+H479</f>
        <v>2016</v>
      </c>
      <c r="J479" s="34">
        <f t="shared" si="244"/>
        <v>2016.5833333333333</v>
      </c>
      <c r="K479" s="35">
        <v>11698.36</v>
      </c>
      <c r="L479" s="35">
        <f t="shared" si="245"/>
        <v>11698.36</v>
      </c>
      <c r="M479" s="35">
        <f t="shared" si="246"/>
        <v>139.26619047619047</v>
      </c>
      <c r="N479" s="35">
        <f t="shared" si="247"/>
        <v>1671.1942857142858</v>
      </c>
      <c r="O479" s="35">
        <f t="shared" si="248"/>
        <v>0</v>
      </c>
      <c r="P479" s="35">
        <f t="shared" si="249"/>
        <v>11698.36</v>
      </c>
      <c r="Q479" s="35">
        <f t="shared" si="250"/>
        <v>11698.36</v>
      </c>
      <c r="R479" s="35">
        <f t="shared" si="251"/>
        <v>0</v>
      </c>
    </row>
    <row r="480" spans="1:18" s="59" customFormat="1">
      <c r="A480" s="53">
        <v>77218</v>
      </c>
      <c r="B480" s="59">
        <v>386</v>
      </c>
      <c r="C480" s="59" t="s">
        <v>401</v>
      </c>
      <c r="D480" s="59">
        <v>2010</v>
      </c>
      <c r="E480" s="59">
        <v>9</v>
      </c>
      <c r="F480" s="59">
        <v>0</v>
      </c>
      <c r="G480" s="59" t="s">
        <v>78</v>
      </c>
      <c r="H480" s="28">
        <v>7</v>
      </c>
      <c r="I480" s="59">
        <f t="shared" si="252"/>
        <v>2017</v>
      </c>
      <c r="J480" s="34">
        <f t="shared" si="244"/>
        <v>2017.75</v>
      </c>
      <c r="K480" s="35">
        <v>18687.3</v>
      </c>
      <c r="L480" s="35">
        <f t="shared" si="245"/>
        <v>18687.3</v>
      </c>
      <c r="M480" s="35">
        <f t="shared" si="246"/>
        <v>222.46785714285713</v>
      </c>
      <c r="N480" s="35">
        <f t="shared" si="247"/>
        <v>2669.6142857142854</v>
      </c>
      <c r="O480" s="35">
        <f t="shared" si="248"/>
        <v>0</v>
      </c>
      <c r="P480" s="35">
        <f t="shared" si="249"/>
        <v>18687.3</v>
      </c>
      <c r="Q480" s="35">
        <f t="shared" si="250"/>
        <v>18687.3</v>
      </c>
      <c r="R480" s="35">
        <f t="shared" si="251"/>
        <v>0</v>
      </c>
    </row>
    <row r="481" spans="1:18" s="59" customFormat="1">
      <c r="A481" s="53">
        <v>85602</v>
      </c>
      <c r="B481" s="59">
        <v>174</v>
      </c>
      <c r="C481" s="59" t="s">
        <v>401</v>
      </c>
      <c r="D481" s="59">
        <v>2011</v>
      </c>
      <c r="E481" s="59">
        <v>7</v>
      </c>
      <c r="F481" s="59">
        <v>0</v>
      </c>
      <c r="G481" s="59" t="s">
        <v>78</v>
      </c>
      <c r="H481" s="28">
        <v>7</v>
      </c>
      <c r="I481" s="59">
        <f t="shared" si="252"/>
        <v>2018</v>
      </c>
      <c r="J481" s="34">
        <f t="shared" si="244"/>
        <v>2018.5833333333333</v>
      </c>
      <c r="K481" s="35">
        <v>9570.39</v>
      </c>
      <c r="L481" s="35">
        <f t="shared" si="245"/>
        <v>9570.39</v>
      </c>
      <c r="M481" s="35">
        <f t="shared" si="246"/>
        <v>113.93321428571427</v>
      </c>
      <c r="N481" s="35">
        <f t="shared" si="247"/>
        <v>1367.1985714285713</v>
      </c>
      <c r="O481" s="35">
        <f t="shared" si="248"/>
        <v>0</v>
      </c>
      <c r="P481" s="35">
        <f t="shared" si="249"/>
        <v>9570.39</v>
      </c>
      <c r="Q481" s="35">
        <f t="shared" si="250"/>
        <v>9570.39</v>
      </c>
      <c r="R481" s="35">
        <f t="shared" si="251"/>
        <v>0</v>
      </c>
    </row>
    <row r="482" spans="1:18" s="59" customFormat="1">
      <c r="A482" s="53">
        <v>85603</v>
      </c>
      <c r="B482" s="59">
        <v>45</v>
      </c>
      <c r="C482" s="59" t="s">
        <v>401</v>
      </c>
      <c r="D482" s="59">
        <v>2011</v>
      </c>
      <c r="E482" s="59">
        <v>7</v>
      </c>
      <c r="F482" s="59">
        <v>0</v>
      </c>
      <c r="G482" s="59" t="s">
        <v>78</v>
      </c>
      <c r="H482" s="28">
        <v>7</v>
      </c>
      <c r="I482" s="59">
        <f t="shared" si="252"/>
        <v>2018</v>
      </c>
      <c r="J482" s="34">
        <f t="shared" si="244"/>
        <v>2018.5833333333333</v>
      </c>
      <c r="K482" s="35">
        <v>3208.82</v>
      </c>
      <c r="L482" s="35">
        <f t="shared" si="245"/>
        <v>3208.82</v>
      </c>
      <c r="M482" s="35">
        <f t="shared" si="246"/>
        <v>38.200238095238099</v>
      </c>
      <c r="N482" s="35">
        <f t="shared" si="247"/>
        <v>458.40285714285721</v>
      </c>
      <c r="O482" s="35">
        <f t="shared" si="248"/>
        <v>0</v>
      </c>
      <c r="P482" s="35">
        <f t="shared" si="249"/>
        <v>3208.82</v>
      </c>
      <c r="Q482" s="35">
        <f t="shared" si="250"/>
        <v>3208.82</v>
      </c>
      <c r="R482" s="35">
        <f t="shared" si="251"/>
        <v>0</v>
      </c>
    </row>
    <row r="483" spans="1:18" s="59" customFormat="1">
      <c r="A483" s="53">
        <v>114301</v>
      </c>
      <c r="B483" s="59">
        <v>134</v>
      </c>
      <c r="C483" s="59" t="s">
        <v>559</v>
      </c>
      <c r="D483" s="59">
        <v>2011</v>
      </c>
      <c r="E483" s="59">
        <v>7</v>
      </c>
      <c r="F483" s="59">
        <v>0</v>
      </c>
      <c r="G483" s="59" t="s">
        <v>78</v>
      </c>
      <c r="H483" s="28">
        <v>7</v>
      </c>
      <c r="I483" s="59">
        <f t="shared" si="252"/>
        <v>2018</v>
      </c>
      <c r="J483" s="34">
        <f t="shared" si="244"/>
        <v>2018.5833333333333</v>
      </c>
      <c r="K483" s="35">
        <v>7370.3</v>
      </c>
      <c r="L483" s="35">
        <f t="shared" si="245"/>
        <v>7370.3</v>
      </c>
      <c r="M483" s="35">
        <f t="shared" si="246"/>
        <v>87.741666666666674</v>
      </c>
      <c r="N483" s="35">
        <f t="shared" si="247"/>
        <v>1052.9000000000001</v>
      </c>
      <c r="O483" s="35">
        <f t="shared" si="248"/>
        <v>0</v>
      </c>
      <c r="P483" s="35">
        <f t="shared" si="249"/>
        <v>7370.3</v>
      </c>
      <c r="Q483" s="35">
        <f t="shared" si="250"/>
        <v>7370.3</v>
      </c>
      <c r="R483" s="35">
        <f t="shared" si="251"/>
        <v>0</v>
      </c>
    </row>
    <row r="484" spans="1:18" s="59" customFormat="1">
      <c r="A484" s="53">
        <v>114300</v>
      </c>
      <c r="B484" s="59">
        <v>178</v>
      </c>
      <c r="C484" s="59" t="s">
        <v>558</v>
      </c>
      <c r="D484" s="59">
        <v>2011</v>
      </c>
      <c r="E484" s="59">
        <v>7</v>
      </c>
      <c r="F484" s="59">
        <v>0</v>
      </c>
      <c r="G484" s="59" t="s">
        <v>78</v>
      </c>
      <c r="H484" s="28">
        <v>7</v>
      </c>
      <c r="I484" s="59">
        <f t="shared" si="252"/>
        <v>2018</v>
      </c>
      <c r="J484" s="34">
        <f t="shared" si="244"/>
        <v>2018.5833333333333</v>
      </c>
      <c r="K484" s="35">
        <v>8660.43</v>
      </c>
      <c r="L484" s="35">
        <f t="shared" si="245"/>
        <v>8660.43</v>
      </c>
      <c r="M484" s="35">
        <f t="shared" si="246"/>
        <v>103.10035714285715</v>
      </c>
      <c r="N484" s="35">
        <f t="shared" si="247"/>
        <v>1237.2042857142858</v>
      </c>
      <c r="O484" s="35">
        <f t="shared" si="248"/>
        <v>0</v>
      </c>
      <c r="P484" s="35">
        <f t="shared" si="249"/>
        <v>8660.43</v>
      </c>
      <c r="Q484" s="35">
        <f t="shared" si="250"/>
        <v>8660.43</v>
      </c>
      <c r="R484" s="35">
        <f t="shared" si="251"/>
        <v>0</v>
      </c>
    </row>
    <row r="485" spans="1:18" s="59" customFormat="1">
      <c r="A485" s="53">
        <v>114301</v>
      </c>
      <c r="B485" s="59">
        <v>55</v>
      </c>
      <c r="C485" s="59" t="s">
        <v>557</v>
      </c>
      <c r="D485" s="59">
        <v>2011</v>
      </c>
      <c r="E485" s="59">
        <v>7</v>
      </c>
      <c r="F485" s="59">
        <v>0</v>
      </c>
      <c r="G485" s="59" t="s">
        <v>78</v>
      </c>
      <c r="H485" s="28">
        <v>7</v>
      </c>
      <c r="I485" s="59">
        <f t="shared" si="252"/>
        <v>2018</v>
      </c>
      <c r="J485" s="34">
        <f t="shared" si="244"/>
        <v>2018.5833333333333</v>
      </c>
      <c r="K485" s="35">
        <v>3921.9</v>
      </c>
      <c r="L485" s="35">
        <f t="shared" si="245"/>
        <v>3921.9</v>
      </c>
      <c r="M485" s="35">
        <f t="shared" si="246"/>
        <v>46.689285714285717</v>
      </c>
      <c r="N485" s="35">
        <f t="shared" si="247"/>
        <v>560.2714285714286</v>
      </c>
      <c r="O485" s="35">
        <f t="shared" si="248"/>
        <v>0</v>
      </c>
      <c r="P485" s="35">
        <f t="shared" si="249"/>
        <v>3921.9</v>
      </c>
      <c r="Q485" s="35">
        <f t="shared" si="250"/>
        <v>3921.9</v>
      </c>
      <c r="R485" s="35">
        <f t="shared" si="251"/>
        <v>0</v>
      </c>
    </row>
    <row r="486" spans="1:18" s="59" customFormat="1">
      <c r="A486" s="53">
        <v>114297</v>
      </c>
      <c r="B486" s="59">
        <v>212</v>
      </c>
      <c r="C486" s="59" t="s">
        <v>557</v>
      </c>
      <c r="D486" s="59">
        <v>2011</v>
      </c>
      <c r="E486" s="59">
        <v>7</v>
      </c>
      <c r="F486" s="59">
        <v>0</v>
      </c>
      <c r="G486" s="59" t="s">
        <v>78</v>
      </c>
      <c r="H486" s="28">
        <v>7</v>
      </c>
      <c r="I486" s="59">
        <f t="shared" si="252"/>
        <v>2018</v>
      </c>
      <c r="J486" s="34">
        <f t="shared" si="244"/>
        <v>2018.5833333333333</v>
      </c>
      <c r="K486" s="35">
        <v>11660.46</v>
      </c>
      <c r="L486" s="35">
        <f t="shared" si="245"/>
        <v>11660.46</v>
      </c>
      <c r="M486" s="35">
        <f t="shared" si="246"/>
        <v>138.815</v>
      </c>
      <c r="N486" s="35">
        <f t="shared" si="247"/>
        <v>1665.78</v>
      </c>
      <c r="O486" s="35">
        <f t="shared" si="248"/>
        <v>0</v>
      </c>
      <c r="P486" s="35">
        <f t="shared" si="249"/>
        <v>11660.46</v>
      </c>
      <c r="Q486" s="35">
        <f t="shared" si="250"/>
        <v>11660.46</v>
      </c>
      <c r="R486" s="35">
        <f t="shared" si="251"/>
        <v>0</v>
      </c>
    </row>
    <row r="487" spans="1:18" s="59" customFormat="1">
      <c r="A487" s="53">
        <v>106521</v>
      </c>
      <c r="B487" s="59">
        <v>243</v>
      </c>
      <c r="C487" s="59" t="s">
        <v>401</v>
      </c>
      <c r="D487" s="59">
        <v>2013</v>
      </c>
      <c r="E487" s="59">
        <v>7</v>
      </c>
      <c r="F487" s="59">
        <v>0</v>
      </c>
      <c r="G487" s="59" t="s">
        <v>78</v>
      </c>
      <c r="H487" s="28">
        <v>7</v>
      </c>
      <c r="I487" s="59">
        <f t="shared" si="252"/>
        <v>2020</v>
      </c>
      <c r="J487" s="34">
        <f t="shared" si="244"/>
        <v>2020.5833333333333</v>
      </c>
      <c r="K487" s="35">
        <v>11857.29</v>
      </c>
      <c r="L487" s="35">
        <f t="shared" si="245"/>
        <v>11857.29</v>
      </c>
      <c r="M487" s="35">
        <f t="shared" si="246"/>
        <v>141.15821428571431</v>
      </c>
      <c r="N487" s="35">
        <f t="shared" si="247"/>
        <v>1693.8985714285718</v>
      </c>
      <c r="O487" s="35">
        <f t="shared" si="248"/>
        <v>0</v>
      </c>
      <c r="P487" s="35">
        <f t="shared" si="249"/>
        <v>11857.29</v>
      </c>
      <c r="Q487" s="35">
        <f t="shared" si="250"/>
        <v>11857.29</v>
      </c>
      <c r="R487" s="35">
        <f t="shared" si="251"/>
        <v>0</v>
      </c>
    </row>
    <row r="488" spans="1:18" s="59" customFormat="1">
      <c r="A488" s="53">
        <v>113497</v>
      </c>
      <c r="B488" s="59">
        <v>486</v>
      </c>
      <c r="C488" s="59" t="s">
        <v>401</v>
      </c>
      <c r="D488" s="59">
        <v>2014</v>
      </c>
      <c r="E488" s="59">
        <v>6</v>
      </c>
      <c r="F488" s="59">
        <v>0</v>
      </c>
      <c r="G488" s="59" t="s">
        <v>78</v>
      </c>
      <c r="H488" s="28">
        <v>7</v>
      </c>
      <c r="I488" s="59">
        <f t="shared" si="252"/>
        <v>2021</v>
      </c>
      <c r="J488" s="34">
        <f t="shared" si="244"/>
        <v>2021.5</v>
      </c>
      <c r="K488" s="35">
        <v>28222.41</v>
      </c>
      <c r="L488" s="35">
        <f t="shared" si="245"/>
        <v>28222.41</v>
      </c>
      <c r="M488" s="35">
        <f t="shared" si="246"/>
        <v>335.9810714285714</v>
      </c>
      <c r="N488" s="35">
        <f t="shared" si="247"/>
        <v>4031.772857142857</v>
      </c>
      <c r="O488" s="35">
        <f t="shared" si="248"/>
        <v>0</v>
      </c>
      <c r="P488" s="35">
        <f t="shared" si="249"/>
        <v>28222.41</v>
      </c>
      <c r="Q488" s="35">
        <f t="shared" si="250"/>
        <v>28222.41</v>
      </c>
      <c r="R488" s="35">
        <f t="shared" si="251"/>
        <v>0</v>
      </c>
    </row>
    <row r="489" spans="1:18" s="59" customFormat="1">
      <c r="A489" s="53">
        <v>113498</v>
      </c>
      <c r="B489" s="59">
        <v>486</v>
      </c>
      <c r="C489" s="59" t="s">
        <v>401</v>
      </c>
      <c r="D489" s="59">
        <v>2014</v>
      </c>
      <c r="E489" s="59">
        <v>6</v>
      </c>
      <c r="F489" s="59">
        <v>0</v>
      </c>
      <c r="G489" s="59" t="s">
        <v>78</v>
      </c>
      <c r="H489" s="28">
        <v>7</v>
      </c>
      <c r="I489" s="59">
        <f t="shared" si="252"/>
        <v>2021</v>
      </c>
      <c r="J489" s="34">
        <f t="shared" si="244"/>
        <v>2021.5</v>
      </c>
      <c r="K489" s="35">
        <v>28222.41</v>
      </c>
      <c r="L489" s="35">
        <f t="shared" si="245"/>
        <v>28222.41</v>
      </c>
      <c r="M489" s="35">
        <f t="shared" si="246"/>
        <v>335.9810714285714</v>
      </c>
      <c r="N489" s="35">
        <f t="shared" si="247"/>
        <v>4031.772857142857</v>
      </c>
      <c r="O489" s="35">
        <f t="shared" si="248"/>
        <v>0</v>
      </c>
      <c r="P489" s="35">
        <f t="shared" si="249"/>
        <v>28222.41</v>
      </c>
      <c r="Q489" s="35">
        <f t="shared" si="250"/>
        <v>28222.41</v>
      </c>
      <c r="R489" s="35">
        <f t="shared" si="251"/>
        <v>0</v>
      </c>
    </row>
    <row r="490" spans="1:18" s="59" customFormat="1">
      <c r="A490" s="53">
        <v>116681</v>
      </c>
      <c r="B490" s="59">
        <v>312</v>
      </c>
      <c r="C490" s="59" t="s">
        <v>514</v>
      </c>
      <c r="D490" s="59">
        <v>2014</v>
      </c>
      <c r="E490" s="59">
        <v>10</v>
      </c>
      <c r="F490" s="59">
        <v>0</v>
      </c>
      <c r="G490" s="59" t="s">
        <v>78</v>
      </c>
      <c r="H490" s="28">
        <v>7</v>
      </c>
      <c r="I490" s="59">
        <f t="shared" si="252"/>
        <v>2021</v>
      </c>
      <c r="J490" s="34">
        <f t="shared" si="244"/>
        <v>2021.8333333333333</v>
      </c>
      <c r="K490" s="35">
        <v>17502.7</v>
      </c>
      <c r="L490" s="35">
        <f t="shared" si="245"/>
        <v>17502.7</v>
      </c>
      <c r="M490" s="35">
        <f t="shared" si="246"/>
        <v>208.36547619047622</v>
      </c>
      <c r="N490" s="35">
        <f t="shared" si="247"/>
        <v>2500.3857142857146</v>
      </c>
      <c r="O490" s="35">
        <f t="shared" si="248"/>
        <v>0</v>
      </c>
      <c r="P490" s="35">
        <f t="shared" si="249"/>
        <v>17502.7</v>
      </c>
      <c r="Q490" s="35">
        <f t="shared" si="250"/>
        <v>17502.7</v>
      </c>
      <c r="R490" s="35">
        <f t="shared" si="251"/>
        <v>0</v>
      </c>
    </row>
    <row r="491" spans="1:18" s="59" customFormat="1">
      <c r="A491" s="53">
        <v>123666</v>
      </c>
      <c r="B491" s="59">
        <v>624</v>
      </c>
      <c r="C491" s="59" t="s">
        <v>514</v>
      </c>
      <c r="D491" s="59">
        <v>2015</v>
      </c>
      <c r="E491" s="59">
        <v>6</v>
      </c>
      <c r="F491" s="59">
        <v>0</v>
      </c>
      <c r="G491" s="59" t="s">
        <v>78</v>
      </c>
      <c r="H491" s="28">
        <v>7</v>
      </c>
      <c r="I491" s="59">
        <f t="shared" si="252"/>
        <v>2022</v>
      </c>
      <c r="J491" s="34">
        <f t="shared" si="244"/>
        <v>2022.5</v>
      </c>
      <c r="K491" s="35">
        <v>32155.37</v>
      </c>
      <c r="L491" s="35">
        <f t="shared" si="245"/>
        <v>32155.37</v>
      </c>
      <c r="M491" s="35">
        <f t="shared" si="246"/>
        <v>382.80202380952375</v>
      </c>
      <c r="N491" s="35">
        <f t="shared" si="247"/>
        <v>4593.6242857142852</v>
      </c>
      <c r="O491" s="35">
        <f t="shared" si="248"/>
        <v>2296.8121428571426</v>
      </c>
      <c r="P491" s="35">
        <f t="shared" si="249"/>
        <v>13780.872857142855</v>
      </c>
      <c r="Q491" s="35">
        <f t="shared" si="250"/>
        <v>16077.684999999998</v>
      </c>
      <c r="R491" s="35">
        <f t="shared" si="251"/>
        <v>16077.685000000001</v>
      </c>
    </row>
    <row r="492" spans="1:18" s="59" customFormat="1">
      <c r="A492" s="53">
        <v>165692</v>
      </c>
      <c r="B492" s="59">
        <v>624</v>
      </c>
      <c r="C492" s="59" t="s">
        <v>595</v>
      </c>
      <c r="D492" s="59">
        <v>2016</v>
      </c>
      <c r="E492" s="59">
        <v>6</v>
      </c>
      <c r="F492" s="59">
        <v>0</v>
      </c>
      <c r="G492" s="59" t="s">
        <v>78</v>
      </c>
      <c r="H492" s="28">
        <v>7</v>
      </c>
      <c r="I492" s="59">
        <f t="shared" si="252"/>
        <v>2023</v>
      </c>
      <c r="J492" s="34">
        <f t="shared" si="244"/>
        <v>2023.5</v>
      </c>
      <c r="K492" s="35">
        <v>30864.1</v>
      </c>
      <c r="L492" s="35">
        <f t="shared" si="245"/>
        <v>30864.1</v>
      </c>
      <c r="M492" s="35">
        <f t="shared" si="246"/>
        <v>367.42976190476185</v>
      </c>
      <c r="N492" s="35">
        <f t="shared" si="247"/>
        <v>4409.1571428571424</v>
      </c>
      <c r="O492" s="35">
        <f t="shared" si="248"/>
        <v>4409.1571428571424</v>
      </c>
      <c r="P492" s="35">
        <f t="shared" si="249"/>
        <v>22045.78571428571</v>
      </c>
      <c r="Q492" s="35">
        <f t="shared" si="250"/>
        <v>26454.942857142851</v>
      </c>
      <c r="R492" s="35">
        <f t="shared" si="251"/>
        <v>4409.1571428571478</v>
      </c>
    </row>
    <row r="493" spans="1:18" s="59" customFormat="1">
      <c r="A493" s="53">
        <v>131777</v>
      </c>
      <c r="B493" s="59">
        <v>312</v>
      </c>
      <c r="C493" s="59" t="s">
        <v>595</v>
      </c>
      <c r="D493" s="59">
        <v>2016</v>
      </c>
      <c r="E493" s="59">
        <v>3</v>
      </c>
      <c r="F493" s="59">
        <v>0</v>
      </c>
      <c r="G493" s="59" t="s">
        <v>78</v>
      </c>
      <c r="H493" s="28">
        <v>7</v>
      </c>
      <c r="I493" s="59">
        <f t="shared" si="252"/>
        <v>2023</v>
      </c>
      <c r="J493" s="34">
        <f t="shared" si="244"/>
        <v>2023.25</v>
      </c>
      <c r="K493" s="35">
        <v>15417.47</v>
      </c>
      <c r="L493" s="35">
        <f t="shared" si="245"/>
        <v>15417.47</v>
      </c>
      <c r="M493" s="35">
        <f t="shared" si="246"/>
        <v>183.54130952380953</v>
      </c>
      <c r="N493" s="35">
        <f t="shared" si="247"/>
        <v>2202.4957142857143</v>
      </c>
      <c r="O493" s="35">
        <f t="shared" si="248"/>
        <v>2202.4957142857143</v>
      </c>
      <c r="P493" s="35">
        <f t="shared" si="249"/>
        <v>11012.478571428572</v>
      </c>
      <c r="Q493" s="35">
        <f t="shared" si="250"/>
        <v>13214.974285714286</v>
      </c>
      <c r="R493" s="35">
        <f t="shared" si="251"/>
        <v>2202.4957142857129</v>
      </c>
    </row>
    <row r="494" spans="1:18" s="59" customFormat="1">
      <c r="A494" s="53">
        <v>178891</v>
      </c>
      <c r="B494" s="59">
        <v>624</v>
      </c>
      <c r="C494" s="59" t="s">
        <v>614</v>
      </c>
      <c r="D494" s="59">
        <v>2017</v>
      </c>
      <c r="E494" s="59">
        <v>3</v>
      </c>
      <c r="F494" s="59">
        <v>0</v>
      </c>
      <c r="G494" s="59" t="s">
        <v>78</v>
      </c>
      <c r="H494" s="28">
        <v>7</v>
      </c>
      <c r="I494" s="59">
        <f t="shared" si="252"/>
        <v>2024</v>
      </c>
      <c r="J494" s="34">
        <f t="shared" si="244"/>
        <v>2024.25</v>
      </c>
      <c r="K494" s="35">
        <v>31795.97</v>
      </c>
      <c r="L494" s="35">
        <f t="shared" si="245"/>
        <v>31795.97</v>
      </c>
      <c r="M494" s="35">
        <f t="shared" si="246"/>
        <v>378.52345238095239</v>
      </c>
      <c r="N494" s="35">
        <f t="shared" si="247"/>
        <v>4542.2814285714285</v>
      </c>
      <c r="O494" s="35">
        <f t="shared" si="248"/>
        <v>4542.2814285714285</v>
      </c>
      <c r="P494" s="35">
        <f t="shared" si="249"/>
        <v>18169.125714285714</v>
      </c>
      <c r="Q494" s="35">
        <f t="shared" si="250"/>
        <v>22711.407142857141</v>
      </c>
      <c r="R494" s="35">
        <f t="shared" si="251"/>
        <v>9084.5628571428606</v>
      </c>
    </row>
    <row r="495" spans="1:18" s="59" customFormat="1">
      <c r="A495" s="53">
        <v>178890</v>
      </c>
      <c r="B495" s="59">
        <v>624</v>
      </c>
      <c r="C495" s="59" t="s">
        <v>614</v>
      </c>
      <c r="D495" s="59">
        <v>2017</v>
      </c>
      <c r="E495" s="59">
        <v>3</v>
      </c>
      <c r="F495" s="59">
        <v>0</v>
      </c>
      <c r="G495" s="59" t="s">
        <v>78</v>
      </c>
      <c r="H495" s="28">
        <v>7</v>
      </c>
      <c r="I495" s="59">
        <f t="shared" si="252"/>
        <v>2024</v>
      </c>
      <c r="J495" s="34">
        <f t="shared" si="244"/>
        <v>2024.25</v>
      </c>
      <c r="K495" s="35">
        <v>31795.97</v>
      </c>
      <c r="L495" s="35">
        <f t="shared" si="245"/>
        <v>31795.97</v>
      </c>
      <c r="M495" s="35">
        <f t="shared" si="246"/>
        <v>378.52345238095239</v>
      </c>
      <c r="N495" s="35">
        <f t="shared" si="247"/>
        <v>4542.2814285714285</v>
      </c>
      <c r="O495" s="35">
        <f t="shared" si="248"/>
        <v>4542.2814285714285</v>
      </c>
      <c r="P495" s="35">
        <f t="shared" si="249"/>
        <v>18169.125714285714</v>
      </c>
      <c r="Q495" s="35">
        <f t="shared" si="250"/>
        <v>22711.407142857141</v>
      </c>
      <c r="R495" s="35">
        <f t="shared" si="251"/>
        <v>9084.5628571428606</v>
      </c>
    </row>
    <row r="496" spans="1:18" s="59" customFormat="1">
      <c r="A496" s="53">
        <v>183938</v>
      </c>
      <c r="B496" s="59">
        <v>624</v>
      </c>
      <c r="C496" s="59" t="s">
        <v>614</v>
      </c>
      <c r="D496" s="59">
        <v>2017</v>
      </c>
      <c r="E496" s="59">
        <v>6</v>
      </c>
      <c r="F496" s="59">
        <v>0</v>
      </c>
      <c r="G496" s="59" t="s">
        <v>78</v>
      </c>
      <c r="H496" s="28">
        <v>7</v>
      </c>
      <c r="I496" s="59">
        <f t="shared" si="252"/>
        <v>2024</v>
      </c>
      <c r="J496" s="34">
        <f t="shared" si="244"/>
        <v>2024.5</v>
      </c>
      <c r="K496" s="35">
        <v>32107.98</v>
      </c>
      <c r="L496" s="35">
        <f t="shared" si="245"/>
        <v>32107.98</v>
      </c>
      <c r="M496" s="35">
        <f t="shared" si="246"/>
        <v>382.23785714285714</v>
      </c>
      <c r="N496" s="35">
        <f t="shared" si="247"/>
        <v>4586.8542857142857</v>
      </c>
      <c r="O496" s="35">
        <f t="shared" si="248"/>
        <v>4586.8542857142857</v>
      </c>
      <c r="P496" s="35">
        <f t="shared" si="249"/>
        <v>18347.417142857143</v>
      </c>
      <c r="Q496" s="35">
        <f t="shared" si="250"/>
        <v>22934.271428571428</v>
      </c>
      <c r="R496" s="35">
        <f t="shared" si="251"/>
        <v>9173.7085714285713</v>
      </c>
    </row>
    <row r="497" spans="1:18" s="59" customFormat="1">
      <c r="A497" s="53">
        <v>196551</v>
      </c>
      <c r="B497" s="59">
        <v>624</v>
      </c>
      <c r="C497" s="59" t="s">
        <v>614</v>
      </c>
      <c r="D497" s="59">
        <v>2018</v>
      </c>
      <c r="E497" s="59">
        <v>3</v>
      </c>
      <c r="F497" s="59">
        <v>0</v>
      </c>
      <c r="G497" s="59" t="s">
        <v>78</v>
      </c>
      <c r="H497" s="28">
        <v>7</v>
      </c>
      <c r="I497" s="59">
        <f t="shared" si="252"/>
        <v>2025</v>
      </c>
      <c r="J497" s="34">
        <f t="shared" si="244"/>
        <v>2025.25</v>
      </c>
      <c r="K497" s="35">
        <v>32857.040000000001</v>
      </c>
      <c r="L497" s="35">
        <f t="shared" si="245"/>
        <v>32857.040000000001</v>
      </c>
      <c r="M497" s="35">
        <f t="shared" si="246"/>
        <v>391.15523809523808</v>
      </c>
      <c r="N497" s="35">
        <f t="shared" si="247"/>
        <v>4693.8628571428571</v>
      </c>
      <c r="O497" s="35">
        <f t="shared" si="248"/>
        <v>4693.8628571428571</v>
      </c>
      <c r="P497" s="35">
        <f t="shared" si="249"/>
        <v>14081.588571428572</v>
      </c>
      <c r="Q497" s="35">
        <f t="shared" si="250"/>
        <v>18775.451428571429</v>
      </c>
      <c r="R497" s="35">
        <f t="shared" si="251"/>
        <v>14081.588571428572</v>
      </c>
    </row>
    <row r="498" spans="1:18" s="59" customFormat="1">
      <c r="A498" s="53">
        <v>199448</v>
      </c>
      <c r="B498" s="59">
        <v>624</v>
      </c>
      <c r="C498" s="59" t="s">
        <v>614</v>
      </c>
      <c r="D498" s="59">
        <v>2018</v>
      </c>
      <c r="E498" s="59">
        <v>4</v>
      </c>
      <c r="F498" s="59">
        <v>0</v>
      </c>
      <c r="G498" s="59" t="s">
        <v>78</v>
      </c>
      <c r="H498" s="28">
        <v>7</v>
      </c>
      <c r="I498" s="59">
        <f t="shared" ref="I498:I509" si="253">D498+H498</f>
        <v>2025</v>
      </c>
      <c r="J498" s="34">
        <f t="shared" ref="J498:J509" si="254">+I498+(E498/12)</f>
        <v>2025.3333333333333</v>
      </c>
      <c r="K498" s="35">
        <v>33108.660000000003</v>
      </c>
      <c r="L498" s="35">
        <f t="shared" ref="L498:L509" si="255">K498-K498*F498</f>
        <v>33108.660000000003</v>
      </c>
      <c r="M498" s="35">
        <f t="shared" ref="M498:M509" si="256">L498/H498/12</f>
        <v>394.15071428571429</v>
      </c>
      <c r="N498" s="35">
        <f t="shared" ref="N498:N509" si="257">+M498*12</f>
        <v>4729.8085714285717</v>
      </c>
      <c r="O498" s="35">
        <f t="shared" ref="O498:O509" si="258">+IF(J498&lt;=$L$5,0,IF(I498&gt;$L$4,N498,(M498*E498)))</f>
        <v>4729.8085714285717</v>
      </c>
      <c r="P498" s="35">
        <f t="shared" ref="P498:P509" si="259">+IF(O498=0,L498,IF($L$3-D498&lt;1,0,(($L$3-D498)*O498)))</f>
        <v>14189.425714285715</v>
      </c>
      <c r="Q498" s="35">
        <f t="shared" ref="Q498:Q509" si="260">+IF(O498=0,P498,P498+O498)</f>
        <v>18919.234285714287</v>
      </c>
      <c r="R498" s="35">
        <f t="shared" ref="R498:R509" si="261">+K498-Q498</f>
        <v>14189.425714285717</v>
      </c>
    </row>
    <row r="499" spans="1:18" s="59" customFormat="1">
      <c r="A499" s="53">
        <v>202195</v>
      </c>
      <c r="B499" s="59">
        <v>624</v>
      </c>
      <c r="C499" s="59" t="s">
        <v>614</v>
      </c>
      <c r="D499" s="59">
        <v>2018</v>
      </c>
      <c r="E499" s="59">
        <v>6</v>
      </c>
      <c r="F499" s="59">
        <v>0</v>
      </c>
      <c r="G499" s="59" t="s">
        <v>78</v>
      </c>
      <c r="H499" s="28">
        <v>7</v>
      </c>
      <c r="I499" s="59">
        <f t="shared" si="253"/>
        <v>2025</v>
      </c>
      <c r="J499" s="34">
        <f t="shared" si="254"/>
        <v>2025.5</v>
      </c>
      <c r="K499" s="35">
        <v>33336.99</v>
      </c>
      <c r="L499" s="35">
        <f t="shared" si="255"/>
        <v>33336.99</v>
      </c>
      <c r="M499" s="35">
        <f t="shared" si="256"/>
        <v>396.86892857142857</v>
      </c>
      <c r="N499" s="35">
        <f t="shared" si="257"/>
        <v>4762.4271428571428</v>
      </c>
      <c r="O499" s="35">
        <f t="shared" si="258"/>
        <v>4762.4271428571428</v>
      </c>
      <c r="P499" s="35">
        <f t="shared" si="259"/>
        <v>14287.281428571428</v>
      </c>
      <c r="Q499" s="35">
        <f t="shared" si="260"/>
        <v>19049.708571428571</v>
      </c>
      <c r="R499" s="35">
        <f t="shared" si="261"/>
        <v>14287.281428571427</v>
      </c>
    </row>
    <row r="500" spans="1:18" s="59" customFormat="1">
      <c r="A500" s="53">
        <v>206415</v>
      </c>
      <c r="B500" s="59">
        <v>624</v>
      </c>
      <c r="C500" s="59" t="s">
        <v>614</v>
      </c>
      <c r="D500" s="59">
        <v>2018</v>
      </c>
      <c r="E500" s="59">
        <v>10</v>
      </c>
      <c r="F500" s="59">
        <v>0</v>
      </c>
      <c r="G500" s="59" t="s">
        <v>78</v>
      </c>
      <c r="H500" s="28">
        <v>7</v>
      </c>
      <c r="I500" s="59">
        <f t="shared" si="253"/>
        <v>2025</v>
      </c>
      <c r="J500" s="34">
        <f t="shared" si="254"/>
        <v>2025.8333333333333</v>
      </c>
      <c r="K500" s="35">
        <v>33383.51</v>
      </c>
      <c r="L500" s="35">
        <f t="shared" si="255"/>
        <v>33383.51</v>
      </c>
      <c r="M500" s="35">
        <f t="shared" si="256"/>
        <v>397.42273809523812</v>
      </c>
      <c r="N500" s="35">
        <f t="shared" si="257"/>
        <v>4769.0728571428572</v>
      </c>
      <c r="O500" s="35">
        <f t="shared" si="258"/>
        <v>4769.0728571428572</v>
      </c>
      <c r="P500" s="35">
        <f t="shared" si="259"/>
        <v>14307.218571428572</v>
      </c>
      <c r="Q500" s="35">
        <f t="shared" si="260"/>
        <v>19076.291428571429</v>
      </c>
      <c r="R500" s="35">
        <f t="shared" si="261"/>
        <v>14307.218571428573</v>
      </c>
    </row>
    <row r="501" spans="1:18" s="59" customFormat="1">
      <c r="A501" s="53">
        <v>210117</v>
      </c>
      <c r="B501" s="56">
        <v>624</v>
      </c>
      <c r="C501" s="59" t="s">
        <v>614</v>
      </c>
      <c r="D501" s="59">
        <v>2019</v>
      </c>
      <c r="E501" s="59">
        <v>1</v>
      </c>
      <c r="F501" s="59">
        <v>0</v>
      </c>
      <c r="G501" s="33" t="s">
        <v>78</v>
      </c>
      <c r="H501" s="28">
        <v>7</v>
      </c>
      <c r="I501" s="59">
        <f t="shared" si="253"/>
        <v>2026</v>
      </c>
      <c r="J501" s="34">
        <f t="shared" si="254"/>
        <v>2026.0833333333333</v>
      </c>
      <c r="K501" s="35">
        <v>31843.759999999998</v>
      </c>
      <c r="L501" s="35">
        <f t="shared" si="255"/>
        <v>31843.759999999998</v>
      </c>
      <c r="M501" s="35">
        <f t="shared" si="256"/>
        <v>379.09238095238089</v>
      </c>
      <c r="N501" s="35">
        <f t="shared" si="257"/>
        <v>4549.1085714285709</v>
      </c>
      <c r="O501" s="35">
        <f t="shared" si="258"/>
        <v>4549.1085714285709</v>
      </c>
      <c r="P501" s="35">
        <f t="shared" si="259"/>
        <v>9098.2171428571419</v>
      </c>
      <c r="Q501" s="35">
        <f t="shared" si="260"/>
        <v>13647.325714285713</v>
      </c>
      <c r="R501" s="35">
        <f t="shared" si="261"/>
        <v>18196.434285714284</v>
      </c>
    </row>
    <row r="502" spans="1:18" s="59" customFormat="1">
      <c r="A502" s="53">
        <v>215457</v>
      </c>
      <c r="B502" s="56">
        <v>624</v>
      </c>
      <c r="C502" s="59" t="s">
        <v>614</v>
      </c>
      <c r="D502" s="59">
        <v>2019</v>
      </c>
      <c r="E502" s="59">
        <v>5</v>
      </c>
      <c r="F502" s="59">
        <v>0</v>
      </c>
      <c r="G502" s="33" t="s">
        <v>78</v>
      </c>
      <c r="H502" s="28">
        <v>7</v>
      </c>
      <c r="I502" s="59">
        <f t="shared" si="253"/>
        <v>2026</v>
      </c>
      <c r="J502" s="34">
        <f t="shared" si="254"/>
        <v>2026.4166666666667</v>
      </c>
      <c r="K502" s="35">
        <v>15148</v>
      </c>
      <c r="L502" s="35">
        <f t="shared" si="255"/>
        <v>15148</v>
      </c>
      <c r="M502" s="35">
        <f t="shared" si="256"/>
        <v>180.33333333333334</v>
      </c>
      <c r="N502" s="35">
        <f t="shared" si="257"/>
        <v>2164</v>
      </c>
      <c r="O502" s="35">
        <f t="shared" si="258"/>
        <v>2164</v>
      </c>
      <c r="P502" s="35">
        <f t="shared" si="259"/>
        <v>4328</v>
      </c>
      <c r="Q502" s="35">
        <f t="shared" si="260"/>
        <v>6492</v>
      </c>
      <c r="R502" s="35">
        <f t="shared" si="261"/>
        <v>8656</v>
      </c>
    </row>
    <row r="503" spans="1:18" s="59" customFormat="1">
      <c r="A503" s="53">
        <v>215136</v>
      </c>
      <c r="B503" s="56">
        <v>312</v>
      </c>
      <c r="C503" s="59" t="s">
        <v>614</v>
      </c>
      <c r="D503" s="59">
        <v>2019</v>
      </c>
      <c r="E503" s="59">
        <v>5</v>
      </c>
      <c r="F503" s="59">
        <v>0</v>
      </c>
      <c r="G503" s="33" t="s">
        <v>78</v>
      </c>
      <c r="H503" s="28">
        <v>7</v>
      </c>
      <c r="I503" s="59">
        <f t="shared" si="253"/>
        <v>2026</v>
      </c>
      <c r="J503" s="34">
        <f t="shared" si="254"/>
        <v>2026.4166666666667</v>
      </c>
      <c r="K503" s="35">
        <v>30296</v>
      </c>
      <c r="L503" s="35">
        <f t="shared" si="255"/>
        <v>30296</v>
      </c>
      <c r="M503" s="35">
        <f t="shared" si="256"/>
        <v>360.66666666666669</v>
      </c>
      <c r="N503" s="35">
        <f t="shared" si="257"/>
        <v>4328</v>
      </c>
      <c r="O503" s="35">
        <f t="shared" si="258"/>
        <v>4328</v>
      </c>
      <c r="P503" s="35">
        <f t="shared" si="259"/>
        <v>8656</v>
      </c>
      <c r="Q503" s="35">
        <f t="shared" si="260"/>
        <v>12984</v>
      </c>
      <c r="R503" s="35">
        <f t="shared" si="261"/>
        <v>17312</v>
      </c>
    </row>
    <row r="504" spans="1:18" s="59" customFormat="1">
      <c r="A504" s="53">
        <v>221427</v>
      </c>
      <c r="B504" s="56">
        <v>624</v>
      </c>
      <c r="C504" s="59" t="s">
        <v>614</v>
      </c>
      <c r="D504" s="59">
        <v>2019</v>
      </c>
      <c r="E504" s="59">
        <v>9</v>
      </c>
      <c r="F504" s="59">
        <v>0</v>
      </c>
      <c r="G504" s="56" t="s">
        <v>78</v>
      </c>
      <c r="H504" s="28">
        <v>7</v>
      </c>
      <c r="I504" s="59">
        <f t="shared" si="253"/>
        <v>2026</v>
      </c>
      <c r="J504" s="34">
        <f t="shared" si="254"/>
        <v>2026.75</v>
      </c>
      <c r="K504" s="35">
        <v>30459.55</v>
      </c>
      <c r="L504" s="35">
        <f t="shared" si="255"/>
        <v>30459.55</v>
      </c>
      <c r="M504" s="35">
        <f t="shared" si="256"/>
        <v>362.61369047619047</v>
      </c>
      <c r="N504" s="35">
        <f t="shared" si="257"/>
        <v>4351.3642857142859</v>
      </c>
      <c r="O504" s="35">
        <f t="shared" si="258"/>
        <v>4351.3642857142859</v>
      </c>
      <c r="P504" s="35">
        <f t="shared" si="259"/>
        <v>8702.7285714285717</v>
      </c>
      <c r="Q504" s="35">
        <f t="shared" si="260"/>
        <v>13054.092857142858</v>
      </c>
      <c r="R504" s="35">
        <f t="shared" si="261"/>
        <v>17405.457142857143</v>
      </c>
    </row>
    <row r="505" spans="1:18" s="59" customFormat="1">
      <c r="A505" s="53">
        <v>236853</v>
      </c>
      <c r="B505" s="56">
        <v>702</v>
      </c>
      <c r="C505" s="33" t="s">
        <v>862</v>
      </c>
      <c r="D505" s="59">
        <v>2020</v>
      </c>
      <c r="E505" s="59">
        <v>7</v>
      </c>
      <c r="F505" s="59">
        <v>0</v>
      </c>
      <c r="G505" s="56" t="s">
        <v>78</v>
      </c>
      <c r="H505" s="28">
        <v>7</v>
      </c>
      <c r="I505" s="59">
        <f t="shared" si="253"/>
        <v>2027</v>
      </c>
      <c r="J505" s="34">
        <f t="shared" si="254"/>
        <v>2027.5833333333333</v>
      </c>
      <c r="K505" s="35">
        <v>30059.05</v>
      </c>
      <c r="L505" s="35">
        <f t="shared" si="255"/>
        <v>30059.05</v>
      </c>
      <c r="M505" s="35">
        <f t="shared" si="256"/>
        <v>357.8458333333333</v>
      </c>
      <c r="N505" s="35">
        <f t="shared" si="257"/>
        <v>4294.1499999999996</v>
      </c>
      <c r="O505" s="35">
        <f t="shared" si="258"/>
        <v>4294.1499999999996</v>
      </c>
      <c r="P505" s="35">
        <f t="shared" si="259"/>
        <v>4294.1499999999996</v>
      </c>
      <c r="Q505" s="35">
        <f t="shared" si="260"/>
        <v>8588.2999999999993</v>
      </c>
      <c r="R505" s="35">
        <f t="shared" si="261"/>
        <v>21470.75</v>
      </c>
    </row>
    <row r="506" spans="1:18" s="59" customFormat="1">
      <c r="A506" s="53">
        <v>233736</v>
      </c>
      <c r="B506" s="56">
        <v>351</v>
      </c>
      <c r="C506" s="56" t="s">
        <v>614</v>
      </c>
      <c r="D506" s="59">
        <v>2020</v>
      </c>
      <c r="E506" s="59">
        <v>7</v>
      </c>
      <c r="F506" s="59">
        <v>0</v>
      </c>
      <c r="G506" s="56" t="s">
        <v>78</v>
      </c>
      <c r="H506" s="28">
        <v>7</v>
      </c>
      <c r="I506" s="59">
        <f t="shared" si="253"/>
        <v>2027</v>
      </c>
      <c r="J506" s="34">
        <f t="shared" si="254"/>
        <v>2027.5833333333333</v>
      </c>
      <c r="K506" s="35">
        <v>14415.13</v>
      </c>
      <c r="L506" s="35">
        <f t="shared" si="255"/>
        <v>14415.13</v>
      </c>
      <c r="M506" s="35">
        <f t="shared" si="256"/>
        <v>171.60869047619045</v>
      </c>
      <c r="N506" s="35">
        <f t="shared" si="257"/>
        <v>2059.3042857142855</v>
      </c>
      <c r="O506" s="35">
        <f t="shared" si="258"/>
        <v>2059.3042857142855</v>
      </c>
      <c r="P506" s="35">
        <f t="shared" si="259"/>
        <v>2059.3042857142855</v>
      </c>
      <c r="Q506" s="35">
        <f t="shared" si="260"/>
        <v>4118.6085714285709</v>
      </c>
      <c r="R506" s="35">
        <f t="shared" si="261"/>
        <v>10296.521428571428</v>
      </c>
    </row>
    <row r="507" spans="1:18" s="59" customFormat="1">
      <c r="A507" s="53">
        <v>229007</v>
      </c>
      <c r="B507" s="56">
        <v>702</v>
      </c>
      <c r="C507" s="56" t="s">
        <v>867</v>
      </c>
      <c r="D507" s="59">
        <v>2020</v>
      </c>
      <c r="E507" s="59">
        <v>2</v>
      </c>
      <c r="F507" s="59">
        <v>0</v>
      </c>
      <c r="G507" s="56" t="s">
        <v>78</v>
      </c>
      <c r="H507" s="28">
        <v>7</v>
      </c>
      <c r="I507" s="59">
        <f t="shared" si="253"/>
        <v>2027</v>
      </c>
      <c r="J507" s="34">
        <f t="shared" si="254"/>
        <v>2027.1666666666667</v>
      </c>
      <c r="K507" s="35">
        <v>32333.43</v>
      </c>
      <c r="L507" s="35">
        <f t="shared" si="255"/>
        <v>32333.43</v>
      </c>
      <c r="M507" s="35">
        <f t="shared" si="256"/>
        <v>384.9217857142857</v>
      </c>
      <c r="N507" s="35">
        <f t="shared" si="257"/>
        <v>4619.0614285714282</v>
      </c>
      <c r="O507" s="35">
        <f t="shared" si="258"/>
        <v>4619.0614285714282</v>
      </c>
      <c r="P507" s="35">
        <f t="shared" si="259"/>
        <v>4619.0614285714282</v>
      </c>
      <c r="Q507" s="35">
        <f t="shared" si="260"/>
        <v>9238.1228571428564</v>
      </c>
      <c r="R507" s="35">
        <f t="shared" si="261"/>
        <v>23095.307142857142</v>
      </c>
    </row>
    <row r="508" spans="1:18" s="59" customFormat="1">
      <c r="A508" s="53">
        <v>232776</v>
      </c>
      <c r="B508" s="56">
        <v>702</v>
      </c>
      <c r="C508" s="56" t="s">
        <v>868</v>
      </c>
      <c r="D508" s="59">
        <v>2020</v>
      </c>
      <c r="E508" s="59">
        <v>5</v>
      </c>
      <c r="F508" s="59">
        <v>0</v>
      </c>
      <c r="G508" s="56" t="s">
        <v>78</v>
      </c>
      <c r="H508" s="28">
        <v>7</v>
      </c>
      <c r="I508" s="59">
        <f t="shared" si="253"/>
        <v>2027</v>
      </c>
      <c r="J508" s="34">
        <f t="shared" si="254"/>
        <v>2027.4166666666667</v>
      </c>
      <c r="K508" s="35">
        <v>30066.73</v>
      </c>
      <c r="L508" s="35">
        <f t="shared" si="255"/>
        <v>30066.73</v>
      </c>
      <c r="M508" s="35">
        <f t="shared" si="256"/>
        <v>357.9372619047619</v>
      </c>
      <c r="N508" s="35">
        <f t="shared" si="257"/>
        <v>4295.2471428571425</v>
      </c>
      <c r="O508" s="35">
        <f t="shared" si="258"/>
        <v>4295.2471428571425</v>
      </c>
      <c r="P508" s="35">
        <f t="shared" si="259"/>
        <v>4295.2471428571425</v>
      </c>
      <c r="Q508" s="35">
        <f t="shared" si="260"/>
        <v>8590.4942857142851</v>
      </c>
      <c r="R508" s="35">
        <f t="shared" si="261"/>
        <v>21476.235714285714</v>
      </c>
    </row>
    <row r="509" spans="1:18" s="59" customFormat="1">
      <c r="A509" s="53">
        <v>241480</v>
      </c>
      <c r="B509" s="56">
        <v>702</v>
      </c>
      <c r="C509" s="56" t="s">
        <v>883</v>
      </c>
      <c r="D509" s="59">
        <v>2020</v>
      </c>
      <c r="E509" s="59">
        <v>11</v>
      </c>
      <c r="F509" s="59">
        <v>0</v>
      </c>
      <c r="G509" s="56" t="s">
        <v>78</v>
      </c>
      <c r="H509" s="28">
        <v>7</v>
      </c>
      <c r="I509" s="59">
        <f t="shared" si="253"/>
        <v>2027</v>
      </c>
      <c r="J509" s="34">
        <f t="shared" si="254"/>
        <v>2027.9166666666667</v>
      </c>
      <c r="K509" s="35">
        <v>31902.22</v>
      </c>
      <c r="L509" s="35">
        <f t="shared" si="255"/>
        <v>31902.22</v>
      </c>
      <c r="M509" s="35">
        <f t="shared" si="256"/>
        <v>379.78833333333336</v>
      </c>
      <c r="N509" s="35">
        <f t="shared" si="257"/>
        <v>4557.46</v>
      </c>
      <c r="O509" s="35">
        <f t="shared" si="258"/>
        <v>4557.46</v>
      </c>
      <c r="P509" s="35">
        <f t="shared" si="259"/>
        <v>4557.46</v>
      </c>
      <c r="Q509" s="35">
        <f t="shared" si="260"/>
        <v>9114.92</v>
      </c>
      <c r="R509" s="35">
        <f t="shared" si="261"/>
        <v>22787.300000000003</v>
      </c>
    </row>
    <row r="510" spans="1:18" s="59" customFormat="1">
      <c r="A510" s="53"/>
      <c r="H510" s="28"/>
      <c r="K510" s="35"/>
      <c r="L510" s="35"/>
      <c r="M510" s="35"/>
      <c r="N510" s="35"/>
      <c r="O510" s="35"/>
      <c r="P510" s="35"/>
      <c r="Q510" s="35"/>
      <c r="R510" s="35"/>
    </row>
    <row r="511" spans="1:18" s="59" customFormat="1">
      <c r="A511" s="53"/>
      <c r="C511" s="51" t="s">
        <v>277</v>
      </c>
      <c r="H511" s="28"/>
      <c r="K511" s="85">
        <f t="shared" ref="K511:R511" si="262">SUM(K457:K510)</f>
        <v>1275690.42</v>
      </c>
      <c r="L511" s="85">
        <f t="shared" si="262"/>
        <v>1275690.42</v>
      </c>
      <c r="M511" s="85">
        <f t="shared" si="262"/>
        <v>14996.638095238091</v>
      </c>
      <c r="N511" s="85">
        <f t="shared" si="262"/>
        <v>179959.65714285715</v>
      </c>
      <c r="O511" s="85">
        <f t="shared" si="262"/>
        <v>76752.749285714293</v>
      </c>
      <c r="P511" s="85">
        <f t="shared" si="262"/>
        <v>931343.97857142868</v>
      </c>
      <c r="Q511" s="85">
        <f t="shared" si="262"/>
        <v>1008096.727857143</v>
      </c>
      <c r="R511" s="85">
        <f t="shared" si="262"/>
        <v>267593.69214285718</v>
      </c>
    </row>
    <row r="512" spans="1:18" s="59" customFormat="1">
      <c r="A512" s="53"/>
      <c r="H512" s="28"/>
      <c r="K512" s="35"/>
      <c r="L512" s="35"/>
      <c r="M512" s="35"/>
      <c r="N512" s="35"/>
      <c r="O512" s="35"/>
      <c r="P512" s="35"/>
      <c r="Q512" s="35"/>
      <c r="R512" s="35"/>
    </row>
    <row r="513" spans="1:18" s="59" customFormat="1" ht="13.5" thickBot="1">
      <c r="A513" s="53"/>
      <c r="C513" s="51" t="s">
        <v>404</v>
      </c>
      <c r="H513" s="28"/>
      <c r="K513" s="88">
        <f t="shared" ref="K513:R513" si="263">K511+K453+K411+K333+K191</f>
        <v>11749237.209999997</v>
      </c>
      <c r="L513" s="88">
        <f t="shared" si="263"/>
        <v>11749237.209999997</v>
      </c>
      <c r="M513" s="88">
        <f t="shared" si="263"/>
        <v>116265.5366194941</v>
      </c>
      <c r="N513" s="88">
        <f t="shared" si="263"/>
        <v>1395186.439433929</v>
      </c>
      <c r="O513" s="88">
        <f t="shared" si="263"/>
        <v>491815.76250535779</v>
      </c>
      <c r="P513" s="88">
        <f t="shared" si="263"/>
        <v>9266312.7664500009</v>
      </c>
      <c r="Q513" s="88">
        <f t="shared" si="263"/>
        <v>9758128.5289553571</v>
      </c>
      <c r="R513" s="88">
        <f t="shared" si="263"/>
        <v>1991108.6810446403</v>
      </c>
    </row>
    <row r="514" spans="1:18" s="59" customFormat="1" ht="13.5" thickTop="1">
      <c r="A514" s="53"/>
      <c r="H514" s="28"/>
    </row>
    <row r="515" spans="1:18" s="59" customFormat="1">
      <c r="A515" s="53"/>
      <c r="H515" s="28"/>
    </row>
    <row r="516" spans="1:18" s="59" customFormat="1">
      <c r="A516" s="53"/>
      <c r="H516" s="28"/>
    </row>
    <row r="517" spans="1:18" s="59" customFormat="1">
      <c r="A517" s="53"/>
      <c r="F517" s="28"/>
    </row>
    <row r="518" spans="1:18" s="59" customFormat="1" hidden="1">
      <c r="A518" s="53"/>
      <c r="F518" s="28"/>
    </row>
    <row r="519" spans="1:18" s="59" customFormat="1" hidden="1">
      <c r="A519" s="53"/>
      <c r="F519" s="28"/>
    </row>
    <row r="520" spans="1:18" s="59" customFormat="1" ht="25.5" hidden="1">
      <c r="A520" s="95" t="s">
        <v>911</v>
      </c>
      <c r="H520" s="28"/>
    </row>
    <row r="521" spans="1:18" s="59" customFormat="1" hidden="1">
      <c r="A521" s="53">
        <v>75726</v>
      </c>
      <c r="B521" s="59">
        <v>4</v>
      </c>
      <c r="C521" s="59" t="s">
        <v>392</v>
      </c>
      <c r="D521" s="59">
        <v>2010</v>
      </c>
      <c r="E521" s="59">
        <v>6</v>
      </c>
      <c r="F521" s="59">
        <v>0</v>
      </c>
      <c r="G521" s="59" t="s">
        <v>78</v>
      </c>
      <c r="H521" s="28">
        <v>10</v>
      </c>
      <c r="I521" s="59">
        <f>D521+H521</f>
        <v>2020</v>
      </c>
      <c r="J521" s="34">
        <f>+I521+(E521/12)</f>
        <v>2020.5</v>
      </c>
      <c r="K521" s="35">
        <v>2805.4</v>
      </c>
      <c r="L521" s="35">
        <f>K521-K521*F521</f>
        <v>2805.4</v>
      </c>
      <c r="M521" s="35">
        <f>L521/H521/12</f>
        <v>23.378333333333334</v>
      </c>
      <c r="N521" s="35">
        <f>+M521*12</f>
        <v>280.54000000000002</v>
      </c>
      <c r="O521" s="35">
        <f>+IF(J521&lt;=$L$5,0,IF(I521&gt;$L$4,N521,(M521*E521)))</f>
        <v>0</v>
      </c>
      <c r="P521" s="35">
        <f>+IF(O521=0,L521,IF($L$3-D521&lt;1,0,(($L$3-D521)*O521)))</f>
        <v>2805.4</v>
      </c>
      <c r="Q521" s="35">
        <f>+IF(O521=0,P521,P521+O521)</f>
        <v>2805.4</v>
      </c>
      <c r="R521" s="35">
        <f>+K521-Q521</f>
        <v>0</v>
      </c>
    </row>
    <row r="522" spans="1:18" s="59" customFormat="1" hidden="1">
      <c r="A522" s="53">
        <v>198066</v>
      </c>
      <c r="B522" s="59">
        <v>2</v>
      </c>
      <c r="C522" s="56" t="s">
        <v>787</v>
      </c>
      <c r="D522" s="59">
        <v>2012</v>
      </c>
      <c r="E522" s="59">
        <v>3</v>
      </c>
      <c r="F522" s="59">
        <v>0</v>
      </c>
      <c r="G522" s="56" t="s">
        <v>78</v>
      </c>
      <c r="H522" s="28">
        <v>7</v>
      </c>
      <c r="I522" s="59">
        <f t="shared" ref="I522" si="264">D522+H522</f>
        <v>2019</v>
      </c>
      <c r="J522" s="34">
        <f t="shared" ref="J522" si="265">+I522+(E522/12)</f>
        <v>2019.25</v>
      </c>
      <c r="K522" s="35">
        <v>3000</v>
      </c>
      <c r="L522" s="35">
        <f>K522-K522*F522</f>
        <v>3000</v>
      </c>
      <c r="M522" s="35">
        <f>L522/H522/12</f>
        <v>35.714285714285715</v>
      </c>
      <c r="N522" s="35">
        <f>+M522*12</f>
        <v>428.57142857142856</v>
      </c>
      <c r="O522" s="35">
        <f>+IF(J522&lt;=$L$5,0,IF(I522&gt;$L$4,N522,(M522*E522)))</f>
        <v>0</v>
      </c>
      <c r="P522" s="35">
        <f>+IF(O522=0,L522,IF($L$3-D522&lt;1,0,(($L$3-D522)*O522)))</f>
        <v>3000</v>
      </c>
      <c r="Q522" s="35">
        <f>+IF(O522=0,P522,P522+O522)</f>
        <v>3000</v>
      </c>
      <c r="R522" s="35">
        <f>+K522-Q522</f>
        <v>0</v>
      </c>
    </row>
    <row r="523" spans="1:18" s="59" customFormat="1" hidden="1">
      <c r="A523" s="53">
        <v>200569</v>
      </c>
      <c r="B523" s="59">
        <v>1</v>
      </c>
      <c r="C523" s="56" t="s">
        <v>784</v>
      </c>
      <c r="D523" s="59">
        <v>2008</v>
      </c>
      <c r="E523" s="59">
        <v>11</v>
      </c>
      <c r="F523" s="59">
        <v>0</v>
      </c>
      <c r="G523" s="56" t="s">
        <v>78</v>
      </c>
      <c r="H523" s="28">
        <v>7</v>
      </c>
      <c r="I523" s="59">
        <f>D523+H523</f>
        <v>2015</v>
      </c>
      <c r="J523" s="34">
        <f>+I523+(E523/12)</f>
        <v>2015.9166666666667</v>
      </c>
      <c r="K523" s="35">
        <v>1501.73</v>
      </c>
      <c r="L523" s="35">
        <f>K523-K523*F523</f>
        <v>1501.73</v>
      </c>
      <c r="M523" s="35">
        <f>L523/H523/12</f>
        <v>17.877738095238097</v>
      </c>
      <c r="N523" s="35">
        <f>+M523*12</f>
        <v>214.53285714285715</v>
      </c>
      <c r="O523" s="35">
        <f>+IF(J523&lt;=$L$5,0,IF(I523&gt;$L$4,N523,(M523*E523)))</f>
        <v>0</v>
      </c>
      <c r="P523" s="35">
        <f>+IF(O523=0,L523,IF($L$3-D523&lt;1,0,(($L$3-D523)*O523)))</f>
        <v>1501.73</v>
      </c>
      <c r="Q523" s="35">
        <f>+IF(O523=0,P523,P523+O523)</f>
        <v>1501.73</v>
      </c>
      <c r="R523" s="35">
        <f>+K523-Q523</f>
        <v>0</v>
      </c>
    </row>
    <row r="524" spans="1:18" s="59" customFormat="1" hidden="1">
      <c r="A524" s="54">
        <v>237933</v>
      </c>
      <c r="B524" s="59">
        <v>2</v>
      </c>
      <c r="C524" s="56" t="s">
        <v>859</v>
      </c>
      <c r="D524" s="59">
        <v>2001</v>
      </c>
      <c r="E524" s="59">
        <v>11</v>
      </c>
      <c r="F524" s="59">
        <v>0</v>
      </c>
      <c r="G524" s="56" t="s">
        <v>78</v>
      </c>
      <c r="H524" s="28">
        <v>6</v>
      </c>
      <c r="I524" s="59">
        <f>D524+H524</f>
        <v>2007</v>
      </c>
      <c r="J524" s="34">
        <f>+I524+(E524/12)</f>
        <v>2007.9166666666667</v>
      </c>
      <c r="K524" s="35">
        <v>262.95</v>
      </c>
      <c r="L524" s="35">
        <f>K524-K524*F524</f>
        <v>262.95</v>
      </c>
      <c r="M524" s="35">
        <f>L524/H524/12</f>
        <v>3.6520833333333331</v>
      </c>
      <c r="N524" s="35">
        <f>+M524*12</f>
        <v>43.824999999999996</v>
      </c>
      <c r="O524" s="35">
        <f>+IF(J524&lt;=$L$5,0,IF(I524&gt;$L$4,N524,(M524*E524)))</f>
        <v>0</v>
      </c>
      <c r="P524" s="35">
        <f>+IF(O524=0,L524,IF($L$3-D524&lt;1,0,(($L$3-D524)*O524)))</f>
        <v>262.95</v>
      </c>
      <c r="Q524" s="35">
        <f>+IF(O524=0,P524,P524+O524)</f>
        <v>262.95</v>
      </c>
      <c r="R524" s="35">
        <f>+K524-Q524</f>
        <v>0</v>
      </c>
    </row>
    <row r="525" spans="1:18" s="59" customFormat="1" hidden="1">
      <c r="A525" s="53">
        <v>75723</v>
      </c>
      <c r="B525" s="59">
        <v>5</v>
      </c>
      <c r="C525" s="59" t="s">
        <v>391</v>
      </c>
      <c r="D525" s="59">
        <v>2010</v>
      </c>
      <c r="E525" s="59">
        <v>6</v>
      </c>
      <c r="F525" s="59">
        <v>0</v>
      </c>
      <c r="G525" s="59" t="s">
        <v>78</v>
      </c>
      <c r="H525" s="28">
        <v>10</v>
      </c>
      <c r="I525" s="59">
        <f>D525+H525</f>
        <v>2020</v>
      </c>
      <c r="J525" s="34">
        <f>+I525+(E525/12)</f>
        <v>2020.5</v>
      </c>
      <c r="K525" s="35">
        <v>2741.65</v>
      </c>
      <c r="L525" s="35">
        <f>K525-K525*F525</f>
        <v>2741.65</v>
      </c>
      <c r="M525" s="35">
        <f>L525/H525/12</f>
        <v>22.847083333333334</v>
      </c>
      <c r="N525" s="35">
        <f>+M525*12</f>
        <v>274.16500000000002</v>
      </c>
      <c r="O525" s="35">
        <f>+IF(J525&lt;=$L$5,0,IF(I525&gt;$L$4,N525,(M525*E525)))</f>
        <v>0</v>
      </c>
      <c r="P525" s="35">
        <f>+IF(O525=0,L525,IF($L$3-D525&lt;1,0,(($L$3-D525)*O525)))</f>
        <v>2741.65</v>
      </c>
      <c r="Q525" s="35">
        <f>+IF(O525=0,P525,P525+O525)</f>
        <v>2741.65</v>
      </c>
      <c r="R525" s="35">
        <f>+K525-Q525</f>
        <v>0</v>
      </c>
    </row>
    <row r="526" spans="1:18" s="59" customFormat="1" hidden="1">
      <c r="A526" s="53"/>
      <c r="H526" s="28"/>
    </row>
    <row r="527" spans="1:18" s="59" customFormat="1" hidden="1">
      <c r="A527" s="53"/>
      <c r="H527" s="28"/>
    </row>
    <row r="528" spans="1:18" s="59" customFormat="1">
      <c r="A528" s="53"/>
      <c r="H528" s="28"/>
    </row>
    <row r="529" spans="1:8" s="59" customFormat="1">
      <c r="A529" s="53"/>
      <c r="H529" s="28"/>
    </row>
    <row r="530" spans="1:8" s="59" customFormat="1">
      <c r="A530" s="53"/>
      <c r="H530" s="28"/>
    </row>
  </sheetData>
  <sortState ref="A170:R290">
    <sortCondition ref="D170:D290"/>
    <sortCondition ref="E170:E290"/>
  </sortState>
  <phoneticPr fontId="12" type="noConversion"/>
  <pageMargins left="0.25" right="0.25" top="0.25" bottom="0.25" header="0.5" footer="0.5"/>
  <pageSetup scale="50" fitToHeight="0" orientation="landscape"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0"/>
  <sheetViews>
    <sheetView showGridLines="0" view="pageBreakPreview" zoomScaleNormal="85" zoomScaleSheetLayoutView="100" workbookViewId="0">
      <pane xSplit="1" ySplit="11" topLeftCell="B17" activePane="bottomRight" state="frozen"/>
      <selection activeCell="K49" sqref="K49"/>
      <selection pane="topRight" activeCell="K49" sqref="K49"/>
      <selection pane="bottomLeft" activeCell="K49" sqref="K49"/>
      <selection pane="bottomRight" activeCell="J17" sqref="J17"/>
    </sheetView>
  </sheetViews>
  <sheetFormatPr defaultColWidth="11.42578125" defaultRowHeight="12.75"/>
  <cols>
    <col min="1" max="1" width="7" customWidth="1"/>
    <col min="2" max="2" width="6.7109375" customWidth="1"/>
    <col min="3" max="3" width="53.140625" bestFit="1" customWidth="1"/>
    <col min="4" max="4" width="14.28515625" bestFit="1" customWidth="1"/>
    <col min="5" max="5" width="7.28515625" bestFit="1" customWidth="1"/>
    <col min="6" max="6" width="3.42578125" bestFit="1" customWidth="1"/>
    <col min="7" max="7" width="7" style="7" bestFit="1" customWidth="1"/>
    <col min="8" max="8" width="1.28515625" customWidth="1"/>
    <col min="9" max="9" width="11.5703125" bestFit="1" customWidth="1"/>
    <col min="10" max="10" width="5.5703125" bestFit="1" customWidth="1"/>
    <col min="11" max="11" width="7" customWidth="1"/>
    <col min="12" max="12" width="8.42578125" bestFit="1" customWidth="1"/>
    <col min="13" max="14" width="13" bestFit="1" customWidth="1"/>
    <col min="15" max="15" width="11.7109375" customWidth="1"/>
    <col min="16" max="16" width="12.140625" bestFit="1" customWidth="1"/>
    <col min="17" max="17" width="11.28515625" bestFit="1" customWidth="1"/>
    <col min="18" max="20" width="12.85546875" bestFit="1" customWidth="1"/>
    <col min="21" max="16384" width="11.42578125" style="25"/>
  </cols>
  <sheetData>
    <row r="1" spans="1:20" s="59" customFormat="1">
      <c r="C1" s="96" t="s">
        <v>343</v>
      </c>
      <c r="G1" s="30"/>
    </row>
    <row r="2" spans="1:20" s="59" customFormat="1">
      <c r="C2" s="96" t="s">
        <v>26</v>
      </c>
      <c r="G2" s="30"/>
      <c r="I2" s="64"/>
      <c r="N2" s="59">
        <f>'Trucks 2183'!M2</f>
        <v>3</v>
      </c>
      <c r="O2" s="59" t="s">
        <v>27</v>
      </c>
    </row>
    <row r="3" spans="1:20" s="59" customFormat="1">
      <c r="C3" s="97">
        <f>'Summary 2183'!H8</f>
        <v>44500</v>
      </c>
      <c r="G3" s="30"/>
      <c r="I3" s="64"/>
      <c r="N3" s="59">
        <f>'Trucks 2183'!M3</f>
        <v>2021</v>
      </c>
      <c r="O3" s="59" t="s">
        <v>28</v>
      </c>
    </row>
    <row r="4" spans="1:20" s="59" customFormat="1">
      <c r="G4" s="30"/>
      <c r="N4" s="59">
        <f>'Trucks 2183'!M4</f>
        <v>2022</v>
      </c>
      <c r="O4" s="59" t="s">
        <v>31</v>
      </c>
    </row>
    <row r="5" spans="1:20" s="59" customFormat="1">
      <c r="G5" s="30"/>
      <c r="N5" s="34">
        <f>'Trucks 2183'!M5</f>
        <v>2022.25</v>
      </c>
      <c r="O5" s="59" t="s">
        <v>34</v>
      </c>
    </row>
    <row r="6" spans="1:20" s="59" customFormat="1">
      <c r="G6" s="30"/>
    </row>
    <row r="7" spans="1:20" s="59" customFormat="1">
      <c r="G7" s="30"/>
      <c r="M7" s="98">
        <f>M120</f>
        <v>26649.11</v>
      </c>
    </row>
    <row r="8" spans="1:20" s="59" customFormat="1">
      <c r="A8" s="51"/>
      <c r="B8" s="51"/>
      <c r="C8" s="51"/>
      <c r="D8" s="51"/>
      <c r="E8" s="51"/>
      <c r="F8" s="51"/>
      <c r="G8" s="99"/>
      <c r="H8" s="51"/>
      <c r="I8" s="51"/>
      <c r="J8" s="51"/>
      <c r="K8" s="51"/>
      <c r="L8" s="51"/>
      <c r="M8" s="51"/>
      <c r="N8" s="51"/>
      <c r="O8" s="51"/>
      <c r="P8" s="51"/>
      <c r="Q8" s="51"/>
      <c r="R8" s="29" t="s">
        <v>25</v>
      </c>
      <c r="S8" s="29" t="s">
        <v>43</v>
      </c>
      <c r="T8" s="51"/>
    </row>
    <row r="9" spans="1:20" s="59" customFormat="1">
      <c r="A9" s="51"/>
      <c r="B9" s="51" t="s">
        <v>45</v>
      </c>
      <c r="C9" s="51"/>
      <c r="D9" s="51"/>
      <c r="E9" s="29" t="s">
        <v>46</v>
      </c>
      <c r="F9" s="29"/>
      <c r="G9" s="76" t="s">
        <v>47</v>
      </c>
      <c r="H9" s="29"/>
      <c r="I9" s="29" t="s">
        <v>45</v>
      </c>
      <c r="J9" s="29"/>
      <c r="K9" s="29" t="s">
        <v>48</v>
      </c>
      <c r="L9" s="29" t="s">
        <v>45</v>
      </c>
      <c r="M9" s="29" t="s">
        <v>45</v>
      </c>
      <c r="N9" s="29" t="s">
        <v>45</v>
      </c>
      <c r="O9" s="29"/>
      <c r="P9" s="29"/>
      <c r="Q9" s="29"/>
      <c r="R9" s="29" t="s">
        <v>54</v>
      </c>
      <c r="S9" s="29" t="s">
        <v>54</v>
      </c>
      <c r="T9" s="29" t="s">
        <v>55</v>
      </c>
    </row>
    <row r="10" spans="1:20" s="59" customFormat="1">
      <c r="A10" s="51"/>
      <c r="B10" s="51"/>
      <c r="C10" s="51"/>
      <c r="D10" s="51"/>
      <c r="E10" s="29" t="s">
        <v>57</v>
      </c>
      <c r="F10" s="29"/>
      <c r="G10" s="76" t="s">
        <v>58</v>
      </c>
      <c r="H10" s="29"/>
      <c r="I10" s="29" t="s">
        <v>100</v>
      </c>
      <c r="J10" s="29" t="s">
        <v>59</v>
      </c>
      <c r="K10" s="29" t="s">
        <v>60</v>
      </c>
      <c r="L10" s="29" t="s">
        <v>740</v>
      </c>
      <c r="M10" s="29" t="s">
        <v>49</v>
      </c>
      <c r="N10" s="29" t="s">
        <v>62</v>
      </c>
      <c r="O10" s="29" t="s">
        <v>63</v>
      </c>
      <c r="P10" s="29" t="s">
        <v>745</v>
      </c>
      <c r="Q10" s="29" t="s">
        <v>65</v>
      </c>
      <c r="R10" s="29" t="s">
        <v>68</v>
      </c>
      <c r="S10" s="29" t="s">
        <v>68</v>
      </c>
      <c r="T10" s="29" t="s">
        <v>6</v>
      </c>
    </row>
    <row r="11" spans="1:20" s="59" customFormat="1">
      <c r="A11" s="51" t="s">
        <v>71</v>
      </c>
      <c r="B11" s="51" t="s">
        <v>72</v>
      </c>
      <c r="C11" s="51" t="s">
        <v>73</v>
      </c>
      <c r="D11" s="51" t="s">
        <v>432</v>
      </c>
      <c r="E11" s="29" t="s">
        <v>48</v>
      </c>
      <c r="F11" s="29" t="s">
        <v>74</v>
      </c>
      <c r="G11" s="76" t="s">
        <v>51</v>
      </c>
      <c r="H11" s="29" t="s">
        <v>99</v>
      </c>
      <c r="I11" s="29" t="s">
        <v>75</v>
      </c>
      <c r="J11" s="29" t="s">
        <v>76</v>
      </c>
      <c r="K11" s="29" t="s">
        <v>62</v>
      </c>
      <c r="L11" s="29" t="s">
        <v>746</v>
      </c>
      <c r="M11" s="29" t="s">
        <v>173</v>
      </c>
      <c r="N11" s="29" t="s">
        <v>173</v>
      </c>
      <c r="O11" s="29" t="s">
        <v>62</v>
      </c>
      <c r="P11" s="29" t="s">
        <v>62</v>
      </c>
      <c r="Q11" s="29" t="s">
        <v>77</v>
      </c>
      <c r="R11" s="94">
        <f>+'Summary 2183'!F8</f>
        <v>44136</v>
      </c>
      <c r="S11" s="94">
        <f>+C3</f>
        <v>44500</v>
      </c>
      <c r="T11" s="94">
        <f>S11</f>
        <v>44500</v>
      </c>
    </row>
    <row r="12" spans="1:20" s="59" customFormat="1">
      <c r="C12" s="51" t="s">
        <v>918</v>
      </c>
      <c r="G12" s="30"/>
    </row>
    <row r="13" spans="1:20" s="59" customFormat="1">
      <c r="C13" s="59" t="s">
        <v>17</v>
      </c>
      <c r="E13" s="59">
        <v>2000</v>
      </c>
      <c r="F13" s="59">
        <v>7</v>
      </c>
      <c r="G13" s="30">
        <v>0</v>
      </c>
      <c r="I13" s="59" t="s">
        <v>78</v>
      </c>
      <c r="J13" s="59" t="s">
        <v>10</v>
      </c>
      <c r="K13" s="59">
        <f t="shared" ref="K13:K23" si="0">E13+J13</f>
        <v>2039</v>
      </c>
      <c r="L13" s="34">
        <f>+K13+(F13/12)</f>
        <v>2039.5833333333333</v>
      </c>
      <c r="M13" s="27">
        <v>157653.60999999999</v>
      </c>
      <c r="N13" s="27">
        <f>M13-M13*G13</f>
        <v>157653.60999999999</v>
      </c>
      <c r="O13" s="27">
        <f t="shared" ref="O13" si="1">N13/J13/12</f>
        <v>336.86668803418803</v>
      </c>
      <c r="P13" s="27">
        <f t="shared" ref="P13:P23" si="2">+O13*12</f>
        <v>4042.4002564102566</v>
      </c>
      <c r="Q13" s="27">
        <f>+IF(L13&lt;=$N$5,0,IF(K13&gt;$N$4,P13,(O13*F13)))</f>
        <v>4042.4002564102566</v>
      </c>
      <c r="R13" s="27">
        <f>+IF(Q13=0,N13,IF($N$3-E13&lt;1,0,(($N$3-E13)*Q13)))</f>
        <v>84890.405384615384</v>
      </c>
      <c r="S13" s="27">
        <f>+IF(Q13=0,R13,R13+Q13)</f>
        <v>88932.805641025639</v>
      </c>
      <c r="T13" s="27">
        <f t="shared" ref="T13" si="3">+M13-S13</f>
        <v>68720.804358974347</v>
      </c>
    </row>
    <row r="14" spans="1:20" s="59" customFormat="1">
      <c r="G14" s="30"/>
      <c r="L14" s="34"/>
      <c r="M14" s="27"/>
      <c r="N14" s="27"/>
      <c r="O14" s="27"/>
      <c r="P14" s="27"/>
      <c r="Q14" s="27"/>
      <c r="R14" s="27"/>
      <c r="S14" s="27"/>
      <c r="T14" s="27"/>
    </row>
    <row r="15" spans="1:20" s="59" customFormat="1">
      <c r="C15" s="51" t="s">
        <v>917</v>
      </c>
      <c r="G15" s="30"/>
      <c r="M15" s="100">
        <f>SUM(M13:M14)</f>
        <v>157653.60999999999</v>
      </c>
      <c r="N15" s="100">
        <f t="shared" ref="N15:T15" si="4">SUM(N13:N14)</f>
        <v>157653.60999999999</v>
      </c>
      <c r="O15" s="100">
        <f t="shared" si="4"/>
        <v>336.86668803418803</v>
      </c>
      <c r="P15" s="100">
        <f t="shared" si="4"/>
        <v>4042.4002564102566</v>
      </c>
      <c r="Q15" s="100">
        <f t="shared" si="4"/>
        <v>4042.4002564102566</v>
      </c>
      <c r="R15" s="100">
        <f t="shared" si="4"/>
        <v>84890.405384615384</v>
      </c>
      <c r="S15" s="100">
        <f t="shared" si="4"/>
        <v>88932.805641025639</v>
      </c>
      <c r="T15" s="100">
        <f t="shared" si="4"/>
        <v>68720.804358974347</v>
      </c>
    </row>
    <row r="16" spans="1:20" s="59" customFormat="1">
      <c r="G16" s="30"/>
      <c r="L16" s="34"/>
      <c r="M16" s="27"/>
      <c r="N16" s="27"/>
      <c r="O16" s="27"/>
      <c r="P16" s="27"/>
      <c r="Q16" s="27"/>
      <c r="R16" s="27"/>
      <c r="S16" s="27"/>
      <c r="T16" s="27"/>
    </row>
    <row r="17" spans="3:20" s="59" customFormat="1">
      <c r="C17" s="51" t="s">
        <v>915</v>
      </c>
      <c r="G17" s="30"/>
      <c r="L17" s="34"/>
      <c r="M17" s="27"/>
      <c r="N17" s="27"/>
      <c r="O17" s="27"/>
      <c r="P17" s="27"/>
      <c r="Q17" s="27"/>
      <c r="R17" s="27"/>
      <c r="S17" s="27"/>
      <c r="T17" s="27"/>
    </row>
    <row r="18" spans="3:20" s="59" customFormat="1">
      <c r="C18" s="59" t="s">
        <v>18</v>
      </c>
      <c r="E18" s="59">
        <v>2000</v>
      </c>
      <c r="F18" s="59">
        <v>7</v>
      </c>
      <c r="G18" s="30">
        <v>0</v>
      </c>
      <c r="I18" s="59" t="s">
        <v>78</v>
      </c>
      <c r="J18" s="59" t="s">
        <v>10</v>
      </c>
      <c r="K18" s="59">
        <f t="shared" si="0"/>
        <v>2039</v>
      </c>
      <c r="L18" s="34">
        <f t="shared" ref="L18:L23" si="5">+K18+(F18/12)</f>
        <v>2039.5833333333333</v>
      </c>
      <c r="M18" s="27">
        <v>749055.76</v>
      </c>
      <c r="N18" s="27">
        <f t="shared" ref="N18:N23" si="6">M18-M18*G18</f>
        <v>749055.76</v>
      </c>
      <c r="O18" s="27">
        <f t="shared" ref="O18:O23" si="7">N18/J18/12</f>
        <v>1600.5464957264958</v>
      </c>
      <c r="P18" s="27">
        <f t="shared" si="2"/>
        <v>19206.557948717949</v>
      </c>
      <c r="Q18" s="27">
        <f t="shared" ref="Q18:Q23" si="8">+IF(L18&lt;=$N$5,0,IF(K18&gt;$N$4,P18,(O18*F18)))</f>
        <v>19206.557948717949</v>
      </c>
      <c r="R18" s="27">
        <f t="shared" ref="R18:R23" si="9">+IF(Q18=0,N18,IF($N$3-E18&lt;1,0,(($N$3-E18)*Q18)))</f>
        <v>403337.71692307695</v>
      </c>
      <c r="S18" s="27">
        <f t="shared" ref="S18:S23" si="10">+IF(Q18=0,R18,R18+Q18)</f>
        <v>422544.27487179491</v>
      </c>
      <c r="T18" s="27">
        <f t="shared" ref="T18:T23" si="11">+M18-S18</f>
        <v>326511.48512820509</v>
      </c>
    </row>
    <row r="19" spans="3:20" s="59" customFormat="1">
      <c r="C19" s="59" t="s">
        <v>349</v>
      </c>
      <c r="E19" s="59">
        <v>2001</v>
      </c>
      <c r="F19" s="59">
        <v>1</v>
      </c>
      <c r="G19" s="30">
        <v>0</v>
      </c>
      <c r="I19" s="59" t="s">
        <v>78</v>
      </c>
      <c r="J19" s="59" t="s">
        <v>10</v>
      </c>
      <c r="K19" s="59">
        <f t="shared" si="0"/>
        <v>2040</v>
      </c>
      <c r="L19" s="34">
        <f t="shared" si="5"/>
        <v>2040.0833333333333</v>
      </c>
      <c r="M19" s="27">
        <v>26815.63</v>
      </c>
      <c r="N19" s="27">
        <f t="shared" si="6"/>
        <v>26815.63</v>
      </c>
      <c r="O19" s="27">
        <f t="shared" si="7"/>
        <v>57.298354700854702</v>
      </c>
      <c r="P19" s="27">
        <f t="shared" si="2"/>
        <v>687.58025641025642</v>
      </c>
      <c r="Q19" s="27">
        <f t="shared" si="8"/>
        <v>687.58025641025642</v>
      </c>
      <c r="R19" s="27">
        <f t="shared" si="9"/>
        <v>13751.605128205128</v>
      </c>
      <c r="S19" s="27">
        <f t="shared" si="10"/>
        <v>14439.185384615384</v>
      </c>
      <c r="T19" s="27">
        <f t="shared" si="11"/>
        <v>12376.444615384617</v>
      </c>
    </row>
    <row r="20" spans="3:20" s="59" customFormat="1">
      <c r="C20" s="59" t="s">
        <v>344</v>
      </c>
      <c r="E20" s="59">
        <v>2006</v>
      </c>
      <c r="F20" s="59">
        <v>8</v>
      </c>
      <c r="G20" s="30">
        <v>0</v>
      </c>
      <c r="I20" s="59" t="s">
        <v>78</v>
      </c>
      <c r="J20" s="59" t="s">
        <v>10</v>
      </c>
      <c r="K20" s="59">
        <f t="shared" si="0"/>
        <v>2045</v>
      </c>
      <c r="L20" s="34">
        <f t="shared" si="5"/>
        <v>2045.6666666666667</v>
      </c>
      <c r="M20" s="27">
        <v>32833.279999999999</v>
      </c>
      <c r="N20" s="27">
        <f t="shared" si="6"/>
        <v>32833.279999999999</v>
      </c>
      <c r="O20" s="27">
        <f t="shared" si="7"/>
        <v>70.1565811965812</v>
      </c>
      <c r="P20" s="27">
        <f t="shared" si="2"/>
        <v>841.87897435897435</v>
      </c>
      <c r="Q20" s="27">
        <f t="shared" si="8"/>
        <v>841.87897435897435</v>
      </c>
      <c r="R20" s="27">
        <f t="shared" si="9"/>
        <v>12628.184615384615</v>
      </c>
      <c r="S20" s="27">
        <f t="shared" si="10"/>
        <v>13470.06358974359</v>
      </c>
      <c r="T20" s="27">
        <f t="shared" si="11"/>
        <v>19363.216410256409</v>
      </c>
    </row>
    <row r="21" spans="3:20" s="59" customFormat="1">
      <c r="C21" s="59" t="s">
        <v>301</v>
      </c>
      <c r="E21" s="59">
        <v>2006</v>
      </c>
      <c r="F21" s="59">
        <v>4</v>
      </c>
      <c r="G21" s="30">
        <v>0</v>
      </c>
      <c r="I21" s="59" t="s">
        <v>78</v>
      </c>
      <c r="J21" s="59" t="s">
        <v>10</v>
      </c>
      <c r="K21" s="59">
        <f t="shared" si="0"/>
        <v>2045</v>
      </c>
      <c r="L21" s="34">
        <f t="shared" si="5"/>
        <v>2045.3333333333333</v>
      </c>
      <c r="M21" s="27">
        <v>8226.42</v>
      </c>
      <c r="N21" s="27">
        <f t="shared" si="6"/>
        <v>8226.42</v>
      </c>
      <c r="O21" s="27">
        <f t="shared" si="7"/>
        <v>17.577820512820512</v>
      </c>
      <c r="P21" s="27">
        <f t="shared" si="2"/>
        <v>210.93384615384616</v>
      </c>
      <c r="Q21" s="27">
        <f t="shared" si="8"/>
        <v>210.93384615384616</v>
      </c>
      <c r="R21" s="27">
        <f t="shared" si="9"/>
        <v>3164.0076923076922</v>
      </c>
      <c r="S21" s="27">
        <f t="shared" si="10"/>
        <v>3374.9415384615386</v>
      </c>
      <c r="T21" s="27">
        <f t="shared" si="11"/>
        <v>4851.4784615384615</v>
      </c>
    </row>
    <row r="22" spans="3:20" s="59" customFormat="1">
      <c r="C22" s="59" t="s">
        <v>15</v>
      </c>
      <c r="E22" s="59">
        <v>2006</v>
      </c>
      <c r="F22" s="59">
        <v>1</v>
      </c>
      <c r="G22" s="30">
        <v>0</v>
      </c>
      <c r="I22" s="59" t="s">
        <v>78</v>
      </c>
      <c r="J22" s="59" t="s">
        <v>10</v>
      </c>
      <c r="K22" s="59">
        <f t="shared" si="0"/>
        <v>2045</v>
      </c>
      <c r="L22" s="34">
        <f t="shared" si="5"/>
        <v>2045.0833333333333</v>
      </c>
      <c r="M22" s="27">
        <v>16082.22</v>
      </c>
      <c r="N22" s="27">
        <f t="shared" si="6"/>
        <v>16082.22</v>
      </c>
      <c r="O22" s="27">
        <f t="shared" si="7"/>
        <v>34.363717948717948</v>
      </c>
      <c r="P22" s="27">
        <f t="shared" si="2"/>
        <v>412.36461538461538</v>
      </c>
      <c r="Q22" s="27">
        <f t="shared" si="8"/>
        <v>412.36461538461538</v>
      </c>
      <c r="R22" s="27">
        <f t="shared" si="9"/>
        <v>6185.4692307692303</v>
      </c>
      <c r="S22" s="27">
        <f t="shared" si="10"/>
        <v>6597.833846153846</v>
      </c>
      <c r="T22" s="27">
        <f t="shared" si="11"/>
        <v>9484.3861538461533</v>
      </c>
    </row>
    <row r="23" spans="3:20" s="59" customFormat="1">
      <c r="C23" s="59" t="s">
        <v>110</v>
      </c>
      <c r="E23" s="59">
        <v>2007</v>
      </c>
      <c r="F23" s="59">
        <v>5</v>
      </c>
      <c r="G23" s="30">
        <v>0</v>
      </c>
      <c r="I23" s="59" t="s">
        <v>78</v>
      </c>
      <c r="J23" s="59" t="s">
        <v>102</v>
      </c>
      <c r="K23" s="59">
        <f t="shared" si="0"/>
        <v>2022</v>
      </c>
      <c r="L23" s="34">
        <f t="shared" si="5"/>
        <v>2022.4166666666667</v>
      </c>
      <c r="M23" s="27">
        <v>6504</v>
      </c>
      <c r="N23" s="27">
        <f t="shared" si="6"/>
        <v>6504</v>
      </c>
      <c r="O23" s="27">
        <f t="shared" si="7"/>
        <v>36.133333333333333</v>
      </c>
      <c r="P23" s="27">
        <f t="shared" si="2"/>
        <v>433.6</v>
      </c>
      <c r="Q23" s="27">
        <f t="shared" si="8"/>
        <v>180.66666666666666</v>
      </c>
      <c r="R23" s="27">
        <f t="shared" si="9"/>
        <v>2529.333333333333</v>
      </c>
      <c r="S23" s="27">
        <f t="shared" si="10"/>
        <v>2709.9999999999995</v>
      </c>
      <c r="T23" s="27">
        <f t="shared" si="11"/>
        <v>3794.0000000000005</v>
      </c>
    </row>
    <row r="24" spans="3:20" s="59" customFormat="1">
      <c r="C24" s="56"/>
      <c r="D24" s="51"/>
      <c r="G24" s="30"/>
      <c r="J24" s="104"/>
      <c r="L24" s="34"/>
      <c r="M24" s="27"/>
      <c r="O24" s="27"/>
      <c r="P24" s="27"/>
      <c r="Q24" s="27"/>
      <c r="R24" s="27"/>
      <c r="S24" s="27"/>
      <c r="T24" s="27"/>
    </row>
    <row r="25" spans="3:20" s="59" customFormat="1">
      <c r="C25" s="51" t="s">
        <v>916</v>
      </c>
      <c r="G25" s="30"/>
      <c r="M25" s="100">
        <f>SUM(M18:M23)</f>
        <v>839517.31</v>
      </c>
      <c r="N25" s="100">
        <f t="shared" ref="N25:T25" si="12">SUM(N18:N23)</f>
        <v>839517.31</v>
      </c>
      <c r="O25" s="100">
        <f t="shared" si="12"/>
        <v>1816.0763034188037</v>
      </c>
      <c r="P25" s="100">
        <f t="shared" si="12"/>
        <v>21792.91564102564</v>
      </c>
      <c r="Q25" s="100">
        <f t="shared" si="12"/>
        <v>21539.982307692309</v>
      </c>
      <c r="R25" s="100">
        <f t="shared" si="12"/>
        <v>441596.31692307693</v>
      </c>
      <c r="S25" s="100">
        <f t="shared" si="12"/>
        <v>463136.29923076928</v>
      </c>
      <c r="T25" s="100">
        <f t="shared" si="12"/>
        <v>376381.01076923072</v>
      </c>
    </row>
    <row r="26" spans="3:20" s="59" customFormat="1">
      <c r="C26" s="59" t="s">
        <v>316</v>
      </c>
      <c r="G26" s="30"/>
    </row>
    <row r="27" spans="3:20" s="59" customFormat="1">
      <c r="C27" s="59" t="s">
        <v>316</v>
      </c>
      <c r="G27" s="30"/>
    </row>
    <row r="28" spans="3:20" s="59" customFormat="1">
      <c r="C28" s="51" t="s">
        <v>264</v>
      </c>
      <c r="G28" s="30"/>
    </row>
    <row r="29" spans="3:20" s="59" customFormat="1">
      <c r="C29" s="59" t="s">
        <v>347</v>
      </c>
      <c r="E29" s="59">
        <v>1982</v>
      </c>
      <c r="F29" s="59">
        <v>4</v>
      </c>
      <c r="G29" s="30">
        <v>0</v>
      </c>
      <c r="I29" s="59" t="s">
        <v>78</v>
      </c>
      <c r="J29" s="59" t="s">
        <v>176</v>
      </c>
      <c r="K29" s="59">
        <f t="shared" ref="K29:K47" si="13">E29+J29</f>
        <v>2032</v>
      </c>
      <c r="L29" s="34">
        <f t="shared" ref="L29:L48" si="14">+K29+(F29/12)</f>
        <v>2032.3333333333333</v>
      </c>
      <c r="M29" s="59">
        <v>3500</v>
      </c>
      <c r="N29" s="27">
        <f>M29-M29*G29</f>
        <v>3500</v>
      </c>
      <c r="O29" s="27">
        <f t="shared" ref="O29" si="15">N29/J29/12</f>
        <v>5.833333333333333</v>
      </c>
      <c r="P29" s="27">
        <f t="shared" ref="P29" si="16">+O29*12</f>
        <v>70</v>
      </c>
      <c r="Q29" s="27">
        <f>+IF(L29&lt;=$N$5,0,IF(K29&gt;$N$4,P29,(O29*F29)))</f>
        <v>70</v>
      </c>
      <c r="R29" s="27">
        <f>+IF(Q29=0,N29,IF($N$3-E29&lt;1,0,(($N$3-E29)*Q29)))</f>
        <v>2730</v>
      </c>
      <c r="S29" s="27">
        <f>+IF(Q29=0,R29,R29+Q29)</f>
        <v>2800</v>
      </c>
      <c r="T29" s="27">
        <f t="shared" ref="T29" si="17">+M29-S29</f>
        <v>700</v>
      </c>
    </row>
    <row r="30" spans="3:20" s="59" customFormat="1">
      <c r="C30" s="59" t="s">
        <v>347</v>
      </c>
      <c r="E30" s="59">
        <v>1982</v>
      </c>
      <c r="F30" s="59">
        <v>4</v>
      </c>
      <c r="G30" s="30">
        <v>0</v>
      </c>
      <c r="I30" s="59" t="s">
        <v>78</v>
      </c>
      <c r="J30" s="59" t="s">
        <v>102</v>
      </c>
      <c r="K30" s="59">
        <f t="shared" si="13"/>
        <v>1997</v>
      </c>
      <c r="L30" s="34">
        <f t="shared" si="14"/>
        <v>1997.3333333333333</v>
      </c>
      <c r="M30" s="59">
        <v>25135</v>
      </c>
      <c r="N30" s="27">
        <f t="shared" ref="N30:N48" si="18">M30-M30*G30</f>
        <v>25135</v>
      </c>
      <c r="O30" s="27">
        <f t="shared" ref="O30:O48" si="19">N30/J30/12</f>
        <v>139.63888888888889</v>
      </c>
      <c r="P30" s="27">
        <f t="shared" ref="P30:P48" si="20">+O30*12</f>
        <v>1675.6666666666665</v>
      </c>
      <c r="Q30" s="27">
        <f t="shared" ref="Q30:Q48" si="21">+IF(L30&lt;=$N$5,0,IF(K30&gt;$N$4,P30,(O30*F30)))</f>
        <v>0</v>
      </c>
      <c r="R30" s="27">
        <f t="shared" ref="R30:R48" si="22">+IF(Q30=0,N30,IF($N$3-E30&lt;1,0,(($N$3-E30)*Q30)))</f>
        <v>25135</v>
      </c>
      <c r="S30" s="27">
        <f t="shared" ref="S30:S48" si="23">+IF(Q30=0,R30,R30+Q30)</f>
        <v>25135</v>
      </c>
      <c r="T30" s="27">
        <f t="shared" ref="T30:T48" si="24">+M30-S30</f>
        <v>0</v>
      </c>
    </row>
    <row r="31" spans="3:20" s="59" customFormat="1">
      <c r="C31" s="59" t="s">
        <v>16</v>
      </c>
      <c r="E31" s="59">
        <v>2000</v>
      </c>
      <c r="F31" s="59">
        <v>7</v>
      </c>
      <c r="G31" s="30">
        <v>0</v>
      </c>
      <c r="I31" s="59" t="s">
        <v>78</v>
      </c>
      <c r="J31" s="59" t="s">
        <v>102</v>
      </c>
      <c r="K31" s="59">
        <f t="shared" si="13"/>
        <v>2015</v>
      </c>
      <c r="L31" s="34">
        <f t="shared" si="14"/>
        <v>2015.5833333333333</v>
      </c>
      <c r="M31" s="59">
        <v>1338603.97</v>
      </c>
      <c r="N31" s="27">
        <f t="shared" si="18"/>
        <v>1338603.97</v>
      </c>
      <c r="O31" s="27">
        <f t="shared" si="19"/>
        <v>7436.6887222222222</v>
      </c>
      <c r="P31" s="27">
        <f t="shared" si="20"/>
        <v>89240.26466666667</v>
      </c>
      <c r="Q31" s="27">
        <f t="shared" si="21"/>
        <v>0</v>
      </c>
      <c r="R31" s="27">
        <f t="shared" si="22"/>
        <v>1338603.97</v>
      </c>
      <c r="S31" s="27">
        <f t="shared" si="23"/>
        <v>1338603.97</v>
      </c>
      <c r="T31" s="27">
        <f t="shared" si="24"/>
        <v>0</v>
      </c>
    </row>
    <row r="32" spans="3:20" s="59" customFormat="1">
      <c r="C32" s="59" t="s">
        <v>350</v>
      </c>
      <c r="E32" s="59">
        <v>2001</v>
      </c>
      <c r="F32" s="59">
        <v>12</v>
      </c>
      <c r="G32" s="30">
        <v>0</v>
      </c>
      <c r="I32" s="59" t="s">
        <v>78</v>
      </c>
      <c r="J32" s="59" t="s">
        <v>7</v>
      </c>
      <c r="K32" s="59">
        <f t="shared" si="13"/>
        <v>2021</v>
      </c>
      <c r="L32" s="34">
        <f t="shared" si="14"/>
        <v>2022</v>
      </c>
      <c r="M32" s="59">
        <v>16629.8</v>
      </c>
      <c r="N32" s="27">
        <f t="shared" si="18"/>
        <v>16629.8</v>
      </c>
      <c r="O32" s="27">
        <f t="shared" si="19"/>
        <v>69.290833333333339</v>
      </c>
      <c r="P32" s="27">
        <f t="shared" si="20"/>
        <v>831.49</v>
      </c>
      <c r="Q32" s="27">
        <f t="shared" si="21"/>
        <v>0</v>
      </c>
      <c r="R32" s="27">
        <f t="shared" si="22"/>
        <v>16629.8</v>
      </c>
      <c r="S32" s="27">
        <f t="shared" si="23"/>
        <v>16629.8</v>
      </c>
      <c r="T32" s="27">
        <f t="shared" si="24"/>
        <v>0</v>
      </c>
    </row>
    <row r="33" spans="3:20" s="59" customFormat="1" ht="12" customHeight="1">
      <c r="C33" s="59" t="s">
        <v>351</v>
      </c>
      <c r="E33" s="59">
        <v>2001</v>
      </c>
      <c r="F33" s="59">
        <v>11</v>
      </c>
      <c r="G33" s="30">
        <v>0</v>
      </c>
      <c r="I33" s="59" t="s">
        <v>78</v>
      </c>
      <c r="J33" s="59" t="s">
        <v>7</v>
      </c>
      <c r="K33" s="59">
        <f t="shared" si="13"/>
        <v>2021</v>
      </c>
      <c r="L33" s="34">
        <f t="shared" si="14"/>
        <v>2021.9166666666667</v>
      </c>
      <c r="M33" s="59">
        <v>944175.96</v>
      </c>
      <c r="N33" s="27">
        <f t="shared" si="18"/>
        <v>944175.96</v>
      </c>
      <c r="O33" s="27">
        <f t="shared" si="19"/>
        <v>3934.0664999999995</v>
      </c>
      <c r="P33" s="27">
        <f t="shared" si="20"/>
        <v>47208.797999999995</v>
      </c>
      <c r="Q33" s="27">
        <f t="shared" si="21"/>
        <v>0</v>
      </c>
      <c r="R33" s="27">
        <f t="shared" si="22"/>
        <v>944175.96</v>
      </c>
      <c r="S33" s="27">
        <f t="shared" si="23"/>
        <v>944175.96</v>
      </c>
      <c r="T33" s="27">
        <f t="shared" si="24"/>
        <v>0</v>
      </c>
    </row>
    <row r="34" spans="3:20" s="59" customFormat="1">
      <c r="C34" s="59" t="s">
        <v>13</v>
      </c>
      <c r="E34" s="59">
        <v>2001</v>
      </c>
      <c r="F34" s="59">
        <v>7</v>
      </c>
      <c r="G34" s="30">
        <v>0</v>
      </c>
      <c r="I34" s="59" t="s">
        <v>78</v>
      </c>
      <c r="J34" s="59" t="s">
        <v>7</v>
      </c>
      <c r="K34" s="59">
        <f t="shared" si="13"/>
        <v>2021</v>
      </c>
      <c r="L34" s="34">
        <f t="shared" si="14"/>
        <v>2021.5833333333333</v>
      </c>
      <c r="M34" s="59">
        <v>46855</v>
      </c>
      <c r="N34" s="27">
        <f t="shared" si="18"/>
        <v>46855</v>
      </c>
      <c r="O34" s="27">
        <f t="shared" si="19"/>
        <v>195.22916666666666</v>
      </c>
      <c r="P34" s="27">
        <f t="shared" si="20"/>
        <v>2342.75</v>
      </c>
      <c r="Q34" s="27">
        <f t="shared" si="21"/>
        <v>0</v>
      </c>
      <c r="R34" s="27">
        <f t="shared" si="22"/>
        <v>46855</v>
      </c>
      <c r="S34" s="27">
        <f t="shared" si="23"/>
        <v>46855</v>
      </c>
      <c r="T34" s="27">
        <f t="shared" si="24"/>
        <v>0</v>
      </c>
    </row>
    <row r="35" spans="3:20" s="59" customFormat="1">
      <c r="C35" s="59" t="s">
        <v>86</v>
      </c>
      <c r="E35" s="59">
        <v>2002</v>
      </c>
      <c r="F35" s="59">
        <v>9</v>
      </c>
      <c r="G35" s="30">
        <v>0</v>
      </c>
      <c r="I35" s="59" t="s">
        <v>78</v>
      </c>
      <c r="J35" s="59" t="s">
        <v>10</v>
      </c>
      <c r="K35" s="59">
        <f t="shared" si="13"/>
        <v>2041</v>
      </c>
      <c r="L35" s="34">
        <f t="shared" si="14"/>
        <v>2041.75</v>
      </c>
      <c r="M35" s="59">
        <v>17566.23</v>
      </c>
      <c r="N35" s="27">
        <f t="shared" si="18"/>
        <v>17566.23</v>
      </c>
      <c r="O35" s="27">
        <f t="shared" si="19"/>
        <v>37.534679487179488</v>
      </c>
      <c r="P35" s="27">
        <f t="shared" si="20"/>
        <v>450.41615384615386</v>
      </c>
      <c r="Q35" s="27">
        <f t="shared" si="21"/>
        <v>450.41615384615386</v>
      </c>
      <c r="R35" s="27">
        <f t="shared" si="22"/>
        <v>8557.9069230769237</v>
      </c>
      <c r="S35" s="27">
        <f t="shared" si="23"/>
        <v>9008.3230769230777</v>
      </c>
      <c r="T35" s="27">
        <f t="shared" si="24"/>
        <v>8557.9069230769219</v>
      </c>
    </row>
    <row r="36" spans="3:20" s="59" customFormat="1">
      <c r="C36" s="59" t="s">
        <v>267</v>
      </c>
      <c r="E36" s="59">
        <v>2002</v>
      </c>
      <c r="F36" s="59">
        <v>11</v>
      </c>
      <c r="G36" s="30">
        <v>0</v>
      </c>
      <c r="I36" s="59" t="s">
        <v>78</v>
      </c>
      <c r="J36" s="59" t="s">
        <v>102</v>
      </c>
      <c r="K36" s="59">
        <f t="shared" si="13"/>
        <v>2017</v>
      </c>
      <c r="L36" s="34">
        <f t="shared" si="14"/>
        <v>2017.9166666666667</v>
      </c>
      <c r="M36" s="59">
        <v>4096.84</v>
      </c>
      <c r="N36" s="27">
        <f t="shared" si="18"/>
        <v>4096.84</v>
      </c>
      <c r="O36" s="27">
        <f t="shared" si="19"/>
        <v>22.760222222222225</v>
      </c>
      <c r="P36" s="27">
        <f t="shared" si="20"/>
        <v>273.1226666666667</v>
      </c>
      <c r="Q36" s="27">
        <f t="shared" si="21"/>
        <v>0</v>
      </c>
      <c r="R36" s="27">
        <f t="shared" si="22"/>
        <v>4096.84</v>
      </c>
      <c r="S36" s="27">
        <f t="shared" si="23"/>
        <v>4096.84</v>
      </c>
      <c r="T36" s="27">
        <f t="shared" si="24"/>
        <v>0</v>
      </c>
    </row>
    <row r="37" spans="3:20" s="59" customFormat="1">
      <c r="C37" s="59" t="s">
        <v>12</v>
      </c>
      <c r="E37" s="59">
        <v>2004</v>
      </c>
      <c r="F37" s="59">
        <v>7</v>
      </c>
      <c r="G37" s="30">
        <v>0</v>
      </c>
      <c r="I37" s="59" t="s">
        <v>78</v>
      </c>
      <c r="J37" s="59" t="s">
        <v>102</v>
      </c>
      <c r="K37" s="59">
        <f t="shared" si="13"/>
        <v>2019</v>
      </c>
      <c r="L37" s="34">
        <f t="shared" si="14"/>
        <v>2019.5833333333333</v>
      </c>
      <c r="M37" s="59">
        <v>24008.400000000001</v>
      </c>
      <c r="N37" s="27">
        <f t="shared" si="18"/>
        <v>24008.400000000001</v>
      </c>
      <c r="O37" s="27">
        <f t="shared" si="19"/>
        <v>133.38000000000002</v>
      </c>
      <c r="P37" s="27">
        <f t="shared" si="20"/>
        <v>1600.5600000000004</v>
      </c>
      <c r="Q37" s="27">
        <f t="shared" si="21"/>
        <v>0</v>
      </c>
      <c r="R37" s="27">
        <f t="shared" si="22"/>
        <v>24008.400000000001</v>
      </c>
      <c r="S37" s="27">
        <f t="shared" si="23"/>
        <v>24008.400000000001</v>
      </c>
      <c r="T37" s="27">
        <f t="shared" si="24"/>
        <v>0</v>
      </c>
    </row>
    <row r="38" spans="3:20" s="59" customFormat="1">
      <c r="C38" s="59" t="s">
        <v>109</v>
      </c>
      <c r="E38" s="59">
        <v>2007</v>
      </c>
      <c r="F38" s="59">
        <v>3</v>
      </c>
      <c r="G38" s="30">
        <v>0</v>
      </c>
      <c r="I38" s="59" t="s">
        <v>78</v>
      </c>
      <c r="J38" s="59" t="s">
        <v>102</v>
      </c>
      <c r="K38" s="59">
        <f t="shared" si="13"/>
        <v>2022</v>
      </c>
      <c r="L38" s="34">
        <f t="shared" si="14"/>
        <v>2022.25</v>
      </c>
      <c r="M38" s="59">
        <v>163426.01999999999</v>
      </c>
      <c r="N38" s="27">
        <f t="shared" si="18"/>
        <v>163426.01999999999</v>
      </c>
      <c r="O38" s="27">
        <f t="shared" si="19"/>
        <v>907.92233333333331</v>
      </c>
      <c r="P38" s="27">
        <f t="shared" si="20"/>
        <v>10895.067999999999</v>
      </c>
      <c r="Q38" s="27">
        <f t="shared" si="21"/>
        <v>0</v>
      </c>
      <c r="R38" s="27">
        <f t="shared" si="22"/>
        <v>163426.01999999999</v>
      </c>
      <c r="S38" s="27">
        <f t="shared" si="23"/>
        <v>163426.01999999999</v>
      </c>
      <c r="T38" s="27">
        <f t="shared" si="24"/>
        <v>0</v>
      </c>
    </row>
    <row r="39" spans="3:20" s="59" customFormat="1">
      <c r="C39" s="59" t="s">
        <v>111</v>
      </c>
      <c r="E39" s="59">
        <v>2008</v>
      </c>
      <c r="F39" s="59">
        <v>1</v>
      </c>
      <c r="G39" s="30">
        <v>0</v>
      </c>
      <c r="I39" s="59" t="s">
        <v>78</v>
      </c>
      <c r="J39" s="59" t="s">
        <v>102</v>
      </c>
      <c r="K39" s="59">
        <f t="shared" si="13"/>
        <v>2023</v>
      </c>
      <c r="L39" s="34">
        <f t="shared" si="14"/>
        <v>2023.0833333333333</v>
      </c>
      <c r="M39" s="59">
        <v>3824.1</v>
      </c>
      <c r="N39" s="27">
        <f t="shared" si="18"/>
        <v>3824.1</v>
      </c>
      <c r="O39" s="27">
        <f t="shared" si="19"/>
        <v>21.245000000000001</v>
      </c>
      <c r="P39" s="27">
        <f t="shared" si="20"/>
        <v>254.94</v>
      </c>
      <c r="Q39" s="27">
        <f t="shared" si="21"/>
        <v>254.94</v>
      </c>
      <c r="R39" s="27">
        <f t="shared" si="22"/>
        <v>3314.22</v>
      </c>
      <c r="S39" s="27">
        <f t="shared" si="23"/>
        <v>3569.16</v>
      </c>
      <c r="T39" s="27">
        <f t="shared" si="24"/>
        <v>254.94000000000005</v>
      </c>
    </row>
    <row r="40" spans="3:20" s="59" customFormat="1">
      <c r="C40" s="59" t="s">
        <v>413</v>
      </c>
      <c r="D40" s="59">
        <v>77321</v>
      </c>
      <c r="E40" s="59">
        <v>2010</v>
      </c>
      <c r="F40" s="59">
        <v>8</v>
      </c>
      <c r="G40" s="30">
        <v>0</v>
      </c>
      <c r="I40" s="59" t="s">
        <v>78</v>
      </c>
      <c r="J40" s="59">
        <v>10</v>
      </c>
      <c r="K40" s="59">
        <f t="shared" si="13"/>
        <v>2020</v>
      </c>
      <c r="L40" s="34">
        <f t="shared" si="14"/>
        <v>2020.6666666666667</v>
      </c>
      <c r="M40" s="59">
        <v>790.01</v>
      </c>
      <c r="N40" s="27">
        <f t="shared" si="18"/>
        <v>790.01</v>
      </c>
      <c r="O40" s="27">
        <f t="shared" si="19"/>
        <v>6.5834166666666674</v>
      </c>
      <c r="P40" s="27">
        <f t="shared" si="20"/>
        <v>79.001000000000005</v>
      </c>
      <c r="Q40" s="27">
        <f t="shared" si="21"/>
        <v>0</v>
      </c>
      <c r="R40" s="27">
        <f t="shared" si="22"/>
        <v>790.01</v>
      </c>
      <c r="S40" s="27">
        <f t="shared" si="23"/>
        <v>790.01</v>
      </c>
      <c r="T40" s="27">
        <f t="shared" si="24"/>
        <v>0</v>
      </c>
    </row>
    <row r="41" spans="3:20" s="59" customFormat="1">
      <c r="C41" s="59" t="s">
        <v>414</v>
      </c>
      <c r="D41" s="59">
        <v>76639</v>
      </c>
      <c r="E41" s="59">
        <v>2010</v>
      </c>
      <c r="F41" s="59">
        <v>8</v>
      </c>
      <c r="G41" s="30">
        <v>0</v>
      </c>
      <c r="I41" s="59" t="s">
        <v>78</v>
      </c>
      <c r="J41" s="59">
        <v>10</v>
      </c>
      <c r="K41" s="59">
        <f t="shared" si="13"/>
        <v>2020</v>
      </c>
      <c r="L41" s="34">
        <f t="shared" si="14"/>
        <v>2020.6666666666667</v>
      </c>
      <c r="M41" s="59">
        <v>7000</v>
      </c>
      <c r="N41" s="27">
        <f t="shared" si="18"/>
        <v>7000</v>
      </c>
      <c r="O41" s="27">
        <f t="shared" si="19"/>
        <v>58.333333333333336</v>
      </c>
      <c r="P41" s="27">
        <f t="shared" si="20"/>
        <v>700</v>
      </c>
      <c r="Q41" s="27">
        <f t="shared" si="21"/>
        <v>0</v>
      </c>
      <c r="R41" s="27">
        <f t="shared" si="22"/>
        <v>7000</v>
      </c>
      <c r="S41" s="27">
        <f t="shared" si="23"/>
        <v>7000</v>
      </c>
      <c r="T41" s="27">
        <f t="shared" si="24"/>
        <v>0</v>
      </c>
    </row>
    <row r="42" spans="3:20" s="59" customFormat="1">
      <c r="C42" s="59" t="s">
        <v>415</v>
      </c>
      <c r="D42" s="59">
        <v>77322</v>
      </c>
      <c r="E42" s="59">
        <v>2010</v>
      </c>
      <c r="F42" s="59">
        <v>8</v>
      </c>
      <c r="G42" s="30">
        <v>0</v>
      </c>
      <c r="I42" s="59" t="s">
        <v>78</v>
      </c>
      <c r="J42" s="59">
        <v>10</v>
      </c>
      <c r="K42" s="59">
        <f t="shared" si="13"/>
        <v>2020</v>
      </c>
      <c r="L42" s="34">
        <f t="shared" si="14"/>
        <v>2020.6666666666667</v>
      </c>
      <c r="M42" s="59">
        <v>1127.8399999999999</v>
      </c>
      <c r="N42" s="27">
        <f t="shared" si="18"/>
        <v>1127.8399999999999</v>
      </c>
      <c r="O42" s="27">
        <f t="shared" si="19"/>
        <v>9.3986666666666654</v>
      </c>
      <c r="P42" s="27">
        <f t="shared" si="20"/>
        <v>112.78399999999999</v>
      </c>
      <c r="Q42" s="27">
        <f t="shared" si="21"/>
        <v>0</v>
      </c>
      <c r="R42" s="27">
        <f t="shared" si="22"/>
        <v>1127.8399999999999</v>
      </c>
      <c r="S42" s="27">
        <f t="shared" si="23"/>
        <v>1127.8399999999999</v>
      </c>
      <c r="T42" s="27">
        <f t="shared" si="24"/>
        <v>0</v>
      </c>
    </row>
    <row r="43" spans="3:20" s="59" customFormat="1">
      <c r="C43" s="59" t="s">
        <v>416</v>
      </c>
      <c r="D43" s="59">
        <v>76800</v>
      </c>
      <c r="E43" s="59">
        <v>2010</v>
      </c>
      <c r="F43" s="59">
        <v>8</v>
      </c>
      <c r="G43" s="30">
        <v>0</v>
      </c>
      <c r="I43" s="59" t="s">
        <v>78</v>
      </c>
      <c r="J43" s="59">
        <v>10</v>
      </c>
      <c r="K43" s="59">
        <f t="shared" si="13"/>
        <v>2020</v>
      </c>
      <c r="L43" s="34">
        <f t="shared" si="14"/>
        <v>2020.6666666666667</v>
      </c>
      <c r="M43" s="59">
        <v>8574.6</v>
      </c>
      <c r="N43" s="27">
        <f t="shared" si="18"/>
        <v>8574.6</v>
      </c>
      <c r="O43" s="27">
        <f t="shared" si="19"/>
        <v>71.454999999999998</v>
      </c>
      <c r="P43" s="27">
        <f t="shared" si="20"/>
        <v>857.46</v>
      </c>
      <c r="Q43" s="27">
        <f t="shared" si="21"/>
        <v>0</v>
      </c>
      <c r="R43" s="27">
        <f t="shared" si="22"/>
        <v>8574.6</v>
      </c>
      <c r="S43" s="27">
        <f t="shared" si="23"/>
        <v>8574.6</v>
      </c>
      <c r="T43" s="27">
        <f t="shared" si="24"/>
        <v>0</v>
      </c>
    </row>
    <row r="44" spans="3:20" s="59" customFormat="1">
      <c r="C44" s="59" t="s">
        <v>411</v>
      </c>
      <c r="D44" s="59">
        <v>76648</v>
      </c>
      <c r="E44" s="59">
        <v>2010</v>
      </c>
      <c r="F44" s="59">
        <v>9</v>
      </c>
      <c r="G44" s="30">
        <v>0</v>
      </c>
      <c r="I44" s="59" t="s">
        <v>78</v>
      </c>
      <c r="J44" s="59">
        <v>10</v>
      </c>
      <c r="K44" s="59">
        <f t="shared" si="13"/>
        <v>2020</v>
      </c>
      <c r="L44" s="34">
        <f t="shared" si="14"/>
        <v>2020.75</v>
      </c>
      <c r="M44" s="59">
        <v>19869.22</v>
      </c>
      <c r="N44" s="27">
        <f t="shared" si="18"/>
        <v>19869.22</v>
      </c>
      <c r="O44" s="27">
        <f t="shared" si="19"/>
        <v>165.57683333333333</v>
      </c>
      <c r="P44" s="27">
        <f t="shared" si="20"/>
        <v>1986.922</v>
      </c>
      <c r="Q44" s="27">
        <f t="shared" si="21"/>
        <v>0</v>
      </c>
      <c r="R44" s="27">
        <f t="shared" si="22"/>
        <v>19869.22</v>
      </c>
      <c r="S44" s="27">
        <f t="shared" si="23"/>
        <v>19869.22</v>
      </c>
      <c r="T44" s="27">
        <f t="shared" si="24"/>
        <v>0</v>
      </c>
    </row>
    <row r="45" spans="3:20" s="59" customFormat="1">
      <c r="C45" s="59" t="s">
        <v>412</v>
      </c>
      <c r="D45" s="59">
        <v>77100</v>
      </c>
      <c r="E45" s="59">
        <v>2010</v>
      </c>
      <c r="F45" s="59">
        <v>9</v>
      </c>
      <c r="G45" s="30">
        <v>0</v>
      </c>
      <c r="I45" s="59" t="s">
        <v>78</v>
      </c>
      <c r="J45" s="59">
        <v>10</v>
      </c>
      <c r="K45" s="59">
        <f t="shared" si="13"/>
        <v>2020</v>
      </c>
      <c r="L45" s="34">
        <f t="shared" si="14"/>
        <v>2020.75</v>
      </c>
      <c r="M45" s="59">
        <v>932.5</v>
      </c>
      <c r="N45" s="27">
        <f t="shared" si="18"/>
        <v>932.5</v>
      </c>
      <c r="O45" s="27">
        <f t="shared" si="19"/>
        <v>7.770833333333333</v>
      </c>
      <c r="P45" s="27">
        <f t="shared" si="20"/>
        <v>93.25</v>
      </c>
      <c r="Q45" s="27">
        <f t="shared" si="21"/>
        <v>0</v>
      </c>
      <c r="R45" s="27">
        <f t="shared" si="22"/>
        <v>932.5</v>
      </c>
      <c r="S45" s="27">
        <f t="shared" si="23"/>
        <v>932.5</v>
      </c>
      <c r="T45" s="27">
        <f t="shared" si="24"/>
        <v>0</v>
      </c>
    </row>
    <row r="46" spans="3:20" s="59" customFormat="1">
      <c r="C46" s="59" t="s">
        <v>412</v>
      </c>
      <c r="D46" s="59">
        <v>77791</v>
      </c>
      <c r="E46" s="59">
        <v>2010</v>
      </c>
      <c r="F46" s="59">
        <v>9</v>
      </c>
      <c r="G46" s="30">
        <v>0</v>
      </c>
      <c r="I46" s="59" t="s">
        <v>78</v>
      </c>
      <c r="J46" s="59">
        <v>10</v>
      </c>
      <c r="K46" s="59">
        <f t="shared" si="13"/>
        <v>2020</v>
      </c>
      <c r="L46" s="34">
        <f t="shared" si="14"/>
        <v>2020.75</v>
      </c>
      <c r="M46" s="59">
        <v>1098.69</v>
      </c>
      <c r="N46" s="27">
        <f t="shared" si="18"/>
        <v>1098.69</v>
      </c>
      <c r="O46" s="27">
        <f t="shared" si="19"/>
        <v>9.1557499999999994</v>
      </c>
      <c r="P46" s="27">
        <f t="shared" si="20"/>
        <v>109.869</v>
      </c>
      <c r="Q46" s="27">
        <f t="shared" si="21"/>
        <v>0</v>
      </c>
      <c r="R46" s="27">
        <f t="shared" si="22"/>
        <v>1098.69</v>
      </c>
      <c r="S46" s="27">
        <f t="shared" si="23"/>
        <v>1098.69</v>
      </c>
      <c r="T46" s="27">
        <f t="shared" si="24"/>
        <v>0</v>
      </c>
    </row>
    <row r="47" spans="3:20" s="59" customFormat="1">
      <c r="C47" s="59" t="s">
        <v>579</v>
      </c>
      <c r="D47" s="59">
        <v>125074</v>
      </c>
      <c r="E47" s="59">
        <v>2015</v>
      </c>
      <c r="F47" s="59">
        <v>7</v>
      </c>
      <c r="G47" s="30">
        <v>0</v>
      </c>
      <c r="I47" s="59" t="s">
        <v>78</v>
      </c>
      <c r="J47" s="59">
        <v>10</v>
      </c>
      <c r="K47" s="59">
        <f t="shared" si="13"/>
        <v>2025</v>
      </c>
      <c r="L47" s="34">
        <f t="shared" si="14"/>
        <v>2025.5833333333333</v>
      </c>
      <c r="M47" s="59">
        <v>5978.5</v>
      </c>
      <c r="N47" s="27">
        <f t="shared" si="18"/>
        <v>5978.5</v>
      </c>
      <c r="O47" s="27">
        <f t="shared" si="19"/>
        <v>49.820833333333333</v>
      </c>
      <c r="P47" s="27">
        <f t="shared" si="20"/>
        <v>597.85</v>
      </c>
      <c r="Q47" s="27">
        <f t="shared" si="21"/>
        <v>597.85</v>
      </c>
      <c r="R47" s="27">
        <f t="shared" si="22"/>
        <v>3587.1000000000004</v>
      </c>
      <c r="S47" s="27">
        <f t="shared" si="23"/>
        <v>4184.9500000000007</v>
      </c>
      <c r="T47" s="27">
        <f t="shared" si="24"/>
        <v>1793.5499999999993</v>
      </c>
    </row>
    <row r="48" spans="3:20" s="59" customFormat="1">
      <c r="C48" s="59" t="s">
        <v>606</v>
      </c>
      <c r="D48" s="59">
        <v>169402</v>
      </c>
      <c r="E48" s="59">
        <v>2016</v>
      </c>
      <c r="F48" s="59">
        <v>8</v>
      </c>
      <c r="G48" s="30">
        <v>0</v>
      </c>
      <c r="I48" s="59" t="s">
        <v>78</v>
      </c>
      <c r="J48" s="59">
        <v>10</v>
      </c>
      <c r="K48" s="59">
        <f>E48+J48</f>
        <v>2026</v>
      </c>
      <c r="L48" s="34">
        <f t="shared" si="14"/>
        <v>2026.6666666666667</v>
      </c>
      <c r="M48" s="59">
        <v>27577.19</v>
      </c>
      <c r="N48" s="27">
        <f t="shared" si="18"/>
        <v>27577.19</v>
      </c>
      <c r="O48" s="27">
        <f t="shared" si="19"/>
        <v>229.80991666666668</v>
      </c>
      <c r="P48" s="27">
        <f t="shared" si="20"/>
        <v>2757.7190000000001</v>
      </c>
      <c r="Q48" s="27">
        <f t="shared" si="21"/>
        <v>2757.7190000000001</v>
      </c>
      <c r="R48" s="27">
        <f t="shared" si="22"/>
        <v>13788.595000000001</v>
      </c>
      <c r="S48" s="27">
        <f t="shared" si="23"/>
        <v>16546.314000000002</v>
      </c>
      <c r="T48" s="27">
        <f t="shared" si="24"/>
        <v>11030.875999999997</v>
      </c>
    </row>
    <row r="49" spans="1:20" s="59" customFormat="1">
      <c r="C49" s="59" t="s">
        <v>316</v>
      </c>
      <c r="G49" s="30"/>
    </row>
    <row r="50" spans="1:20" s="59" customFormat="1">
      <c r="C50" s="51" t="s">
        <v>177</v>
      </c>
      <c r="G50" s="30"/>
      <c r="M50" s="100">
        <f t="shared" ref="M50:T50" si="25">SUM(M29:M49)</f>
        <v>2660769.8699999996</v>
      </c>
      <c r="N50" s="100">
        <f t="shared" si="25"/>
        <v>2660769.8699999996</v>
      </c>
      <c r="O50" s="100">
        <f t="shared" si="25"/>
        <v>13511.494262820514</v>
      </c>
      <c r="P50" s="100">
        <f t="shared" si="25"/>
        <v>162137.93115384618</v>
      </c>
      <c r="Q50" s="100">
        <f t="shared" si="25"/>
        <v>4130.925153846154</v>
      </c>
      <c r="R50" s="100">
        <f t="shared" si="25"/>
        <v>2634301.6719230772</v>
      </c>
      <c r="S50" s="100">
        <f t="shared" si="25"/>
        <v>2638432.5970769227</v>
      </c>
      <c r="T50" s="100">
        <f t="shared" si="25"/>
        <v>22337.272923076918</v>
      </c>
    </row>
    <row r="51" spans="1:20" s="59" customFormat="1">
      <c r="C51" s="59" t="s">
        <v>316</v>
      </c>
      <c r="G51" s="30"/>
    </row>
    <row r="52" spans="1:20" s="59" customFormat="1">
      <c r="C52" s="59" t="s">
        <v>316</v>
      </c>
      <c r="G52" s="30"/>
    </row>
    <row r="53" spans="1:20" s="59" customFormat="1">
      <c r="C53" s="51" t="s">
        <v>265</v>
      </c>
      <c r="G53" s="30"/>
    </row>
    <row r="54" spans="1:20" s="59" customFormat="1">
      <c r="C54" s="59" t="s">
        <v>359</v>
      </c>
      <c r="E54" s="59">
        <v>1992</v>
      </c>
      <c r="F54" s="59">
        <v>1</v>
      </c>
      <c r="G54" s="30">
        <v>0</v>
      </c>
      <c r="I54" s="59" t="s">
        <v>78</v>
      </c>
      <c r="J54" s="59" t="s">
        <v>9</v>
      </c>
      <c r="K54" s="59">
        <f t="shared" ref="K54:K97" si="26">E54+J54</f>
        <v>2002</v>
      </c>
      <c r="L54" s="34">
        <f t="shared" ref="L54:L99" si="27">+K54+(F54/12)</f>
        <v>2002.0833333333333</v>
      </c>
      <c r="M54" s="27">
        <v>10411</v>
      </c>
      <c r="N54" s="27">
        <f t="shared" ref="N54" si="28">M54-M54*G54</f>
        <v>10411</v>
      </c>
      <c r="O54" s="27">
        <f t="shared" ref="O54" si="29">N54/J54/12</f>
        <v>86.758333333333326</v>
      </c>
      <c r="P54" s="27">
        <f t="shared" ref="P54" si="30">+O54*12</f>
        <v>1041.0999999999999</v>
      </c>
      <c r="Q54" s="27">
        <f t="shared" ref="Q54" si="31">+IF(L54&lt;=$N$5,0,IF(K54&gt;$N$4,P54,(O54*F54)))</f>
        <v>0</v>
      </c>
      <c r="R54" s="27">
        <f t="shared" ref="R54" si="32">+IF(Q54=0,N54,IF($N$3-E54&lt;1,0,(($N$3-E54)*Q54)))</f>
        <v>10411</v>
      </c>
      <c r="S54" s="27">
        <f t="shared" ref="S54" si="33">+IF(Q54=0,R54,R54+Q54)</f>
        <v>10411</v>
      </c>
      <c r="T54" s="27">
        <f t="shared" ref="T54" si="34">+M54-S54</f>
        <v>0</v>
      </c>
    </row>
    <row r="55" spans="1:20" s="59" customFormat="1">
      <c r="C55" s="59" t="s">
        <v>113</v>
      </c>
      <c r="E55" s="59">
        <v>1992</v>
      </c>
      <c r="F55" s="59">
        <v>6</v>
      </c>
      <c r="G55" s="30">
        <v>0</v>
      </c>
      <c r="I55" s="59" t="s">
        <v>78</v>
      </c>
      <c r="J55" s="59">
        <v>5</v>
      </c>
      <c r="K55" s="59">
        <f t="shared" si="26"/>
        <v>1997</v>
      </c>
      <c r="L55" s="34">
        <f t="shared" si="27"/>
        <v>1997.5</v>
      </c>
      <c r="M55" s="27">
        <v>179873</v>
      </c>
      <c r="N55" s="27">
        <f t="shared" ref="N55:N99" si="35">M55-M55*G55</f>
        <v>179873</v>
      </c>
      <c r="O55" s="27">
        <f t="shared" ref="O55:O99" si="36">N55/J55/12</f>
        <v>2997.8833333333332</v>
      </c>
      <c r="P55" s="27">
        <f t="shared" ref="P55:P99" si="37">+O55*12</f>
        <v>35974.6</v>
      </c>
      <c r="Q55" s="27">
        <f t="shared" ref="Q55:Q99" si="38">+IF(L55&lt;=$N$5,0,IF(K55&gt;$N$4,P55,(O55*F55)))</f>
        <v>0</v>
      </c>
      <c r="R55" s="27">
        <f t="shared" ref="R55:R99" si="39">+IF(Q55=0,N55,IF($N$3-E55&lt;1,0,(($N$3-E55)*Q55)))</f>
        <v>179873</v>
      </c>
      <c r="S55" s="27">
        <f t="shared" ref="S55:S99" si="40">+IF(Q55=0,R55,R55+Q55)</f>
        <v>179873</v>
      </c>
      <c r="T55" s="27">
        <f t="shared" ref="T55:T99" si="41">+M55-S55</f>
        <v>0</v>
      </c>
    </row>
    <row r="56" spans="1:20" s="59" customFormat="1">
      <c r="B56" s="59">
        <v>9243</v>
      </c>
      <c r="C56" s="59" t="s">
        <v>345</v>
      </c>
      <c r="E56" s="59">
        <v>1995</v>
      </c>
      <c r="F56" s="59">
        <v>8</v>
      </c>
      <c r="G56" s="30">
        <v>0</v>
      </c>
      <c r="I56" s="59" t="s">
        <v>78</v>
      </c>
      <c r="J56" s="59">
        <v>7</v>
      </c>
      <c r="K56" s="59">
        <f>E56+J56</f>
        <v>2002</v>
      </c>
      <c r="L56" s="34">
        <f t="shared" si="27"/>
        <v>2002.6666666666667</v>
      </c>
      <c r="M56" s="27">
        <f>'Orig OTHER EQUIP 2183'!P55</f>
        <v>8848</v>
      </c>
      <c r="N56" s="27">
        <f t="shared" si="35"/>
        <v>8848</v>
      </c>
      <c r="O56" s="27">
        <f t="shared" si="36"/>
        <v>105.33333333333333</v>
      </c>
      <c r="P56" s="27">
        <f t="shared" si="37"/>
        <v>1264</v>
      </c>
      <c r="Q56" s="27">
        <f t="shared" si="38"/>
        <v>0</v>
      </c>
      <c r="R56" s="27">
        <f t="shared" si="39"/>
        <v>8848</v>
      </c>
      <c r="S56" s="27">
        <f t="shared" si="40"/>
        <v>8848</v>
      </c>
      <c r="T56" s="27">
        <f t="shared" si="41"/>
        <v>0</v>
      </c>
    </row>
    <row r="57" spans="1:20" s="135" customFormat="1">
      <c r="A57" s="130"/>
      <c r="B57" s="130"/>
      <c r="C57" s="130" t="s">
        <v>703</v>
      </c>
      <c r="D57" s="130"/>
      <c r="E57" s="130">
        <v>2019</v>
      </c>
      <c r="F57" s="130">
        <v>8</v>
      </c>
      <c r="G57" s="132">
        <v>0</v>
      </c>
      <c r="H57" s="130"/>
      <c r="I57" s="130" t="s">
        <v>78</v>
      </c>
      <c r="J57" s="130">
        <f>+IF(J56-$N$4&gt;=3,J56-$N$4,3)</f>
        <v>3</v>
      </c>
      <c r="K57" s="130">
        <f>E57+J57</f>
        <v>2022</v>
      </c>
      <c r="L57" s="138">
        <f t="shared" si="27"/>
        <v>2022.6666666666667</v>
      </c>
      <c r="M57" s="139">
        <f>'Orig OTHER EQUIP 2183'!N55-'OTHER EQUIP 2183'!M56</f>
        <v>2212</v>
      </c>
      <c r="N57" s="139">
        <f t="shared" si="35"/>
        <v>2212</v>
      </c>
      <c r="O57" s="139">
        <f t="shared" si="36"/>
        <v>61.44444444444445</v>
      </c>
      <c r="P57" s="139">
        <f t="shared" si="37"/>
        <v>737.33333333333337</v>
      </c>
      <c r="Q57" s="470">
        <f>+IF(L57&lt;=$N$5,0,IF(K57&gt;$N$4,P57,(O57*F57)))/3</f>
        <v>163.85185185185188</v>
      </c>
      <c r="R57" s="139">
        <f t="shared" si="39"/>
        <v>327.70370370370375</v>
      </c>
      <c r="S57" s="139">
        <f t="shared" si="40"/>
        <v>491.55555555555566</v>
      </c>
      <c r="T57" s="139">
        <f t="shared" si="41"/>
        <v>1720.4444444444443</v>
      </c>
    </row>
    <row r="58" spans="1:20" s="59" customFormat="1">
      <c r="C58" s="59" t="s">
        <v>116</v>
      </c>
      <c r="E58" s="59">
        <v>1997</v>
      </c>
      <c r="F58" s="59">
        <v>10</v>
      </c>
      <c r="G58" s="30">
        <v>0</v>
      </c>
      <c r="I58" s="59" t="s">
        <v>78</v>
      </c>
      <c r="J58" s="59">
        <v>5</v>
      </c>
      <c r="K58" s="59">
        <f t="shared" si="26"/>
        <v>2002</v>
      </c>
      <c r="L58" s="34">
        <f t="shared" si="27"/>
        <v>2002.8333333333333</v>
      </c>
      <c r="M58" s="27">
        <v>4035.74</v>
      </c>
      <c r="N58" s="27">
        <f t="shared" si="35"/>
        <v>4035.74</v>
      </c>
      <c r="O58" s="27">
        <f t="shared" si="36"/>
        <v>67.262333333333331</v>
      </c>
      <c r="P58" s="27">
        <f t="shared" si="37"/>
        <v>807.14799999999991</v>
      </c>
      <c r="Q58" s="27">
        <f t="shared" si="38"/>
        <v>0</v>
      </c>
      <c r="R58" s="27">
        <f t="shared" si="39"/>
        <v>4035.74</v>
      </c>
      <c r="S58" s="27">
        <f t="shared" si="40"/>
        <v>4035.74</v>
      </c>
      <c r="T58" s="27">
        <f t="shared" si="41"/>
        <v>0</v>
      </c>
    </row>
    <row r="59" spans="1:20" s="59" customFormat="1">
      <c r="C59" s="59" t="s">
        <v>357</v>
      </c>
      <c r="E59" s="59">
        <v>1998</v>
      </c>
      <c r="F59" s="59">
        <v>2</v>
      </c>
      <c r="G59" s="30">
        <v>0</v>
      </c>
      <c r="I59" s="59" t="s">
        <v>78</v>
      </c>
      <c r="J59" s="59">
        <v>5</v>
      </c>
      <c r="K59" s="59">
        <f t="shared" si="26"/>
        <v>2003</v>
      </c>
      <c r="L59" s="34">
        <f t="shared" si="27"/>
        <v>2003.1666666666667</v>
      </c>
      <c r="M59" s="27">
        <v>130000</v>
      </c>
      <c r="N59" s="27">
        <f t="shared" si="35"/>
        <v>130000</v>
      </c>
      <c r="O59" s="27">
        <f t="shared" si="36"/>
        <v>2166.6666666666665</v>
      </c>
      <c r="P59" s="27">
        <f t="shared" si="37"/>
        <v>26000</v>
      </c>
      <c r="Q59" s="27">
        <f t="shared" si="38"/>
        <v>0</v>
      </c>
      <c r="R59" s="27">
        <f t="shared" si="39"/>
        <v>130000</v>
      </c>
      <c r="S59" s="27">
        <f t="shared" si="40"/>
        <v>130000</v>
      </c>
      <c r="T59" s="27">
        <f t="shared" si="41"/>
        <v>0</v>
      </c>
    </row>
    <row r="60" spans="1:20" s="59" customFormat="1">
      <c r="C60" s="59" t="s">
        <v>117</v>
      </c>
      <c r="E60" s="59">
        <v>1998</v>
      </c>
      <c r="F60" s="59">
        <v>2</v>
      </c>
      <c r="G60" s="30">
        <v>0</v>
      </c>
      <c r="I60" s="59" t="s">
        <v>78</v>
      </c>
      <c r="J60" s="59">
        <v>5</v>
      </c>
      <c r="K60" s="59">
        <f t="shared" si="26"/>
        <v>2003</v>
      </c>
      <c r="L60" s="34">
        <f t="shared" si="27"/>
        <v>2003.1666666666667</v>
      </c>
      <c r="M60" s="27">
        <v>85000</v>
      </c>
      <c r="N60" s="27">
        <f t="shared" si="35"/>
        <v>85000</v>
      </c>
      <c r="O60" s="27">
        <f t="shared" si="36"/>
        <v>1416.6666666666667</v>
      </c>
      <c r="P60" s="27">
        <f t="shared" si="37"/>
        <v>17000</v>
      </c>
      <c r="Q60" s="27">
        <f t="shared" si="38"/>
        <v>0</v>
      </c>
      <c r="R60" s="27">
        <f t="shared" si="39"/>
        <v>85000</v>
      </c>
      <c r="S60" s="27">
        <f t="shared" si="40"/>
        <v>85000</v>
      </c>
      <c r="T60" s="27">
        <f t="shared" si="41"/>
        <v>0</v>
      </c>
    </row>
    <row r="61" spans="1:20" s="59" customFormat="1">
      <c r="C61" s="59" t="s">
        <v>118</v>
      </c>
      <c r="E61" s="59">
        <v>1998</v>
      </c>
      <c r="F61" s="59">
        <v>2</v>
      </c>
      <c r="G61" s="30">
        <v>0</v>
      </c>
      <c r="I61" s="59" t="s">
        <v>78</v>
      </c>
      <c r="J61" s="59">
        <v>5</v>
      </c>
      <c r="K61" s="59">
        <f t="shared" si="26"/>
        <v>2003</v>
      </c>
      <c r="L61" s="34">
        <f t="shared" si="27"/>
        <v>2003.1666666666667</v>
      </c>
      <c r="M61" s="27">
        <v>25000</v>
      </c>
      <c r="N61" s="27">
        <f t="shared" si="35"/>
        <v>25000</v>
      </c>
      <c r="O61" s="27">
        <f t="shared" si="36"/>
        <v>416.66666666666669</v>
      </c>
      <c r="P61" s="27">
        <f t="shared" si="37"/>
        <v>5000</v>
      </c>
      <c r="Q61" s="27">
        <f t="shared" si="38"/>
        <v>0</v>
      </c>
      <c r="R61" s="27">
        <f t="shared" si="39"/>
        <v>25000</v>
      </c>
      <c r="S61" s="27">
        <f t="shared" si="40"/>
        <v>25000</v>
      </c>
      <c r="T61" s="27">
        <f t="shared" si="41"/>
        <v>0</v>
      </c>
    </row>
    <row r="62" spans="1:20" s="59" customFormat="1">
      <c r="B62" s="59">
        <v>9206</v>
      </c>
      <c r="C62" s="59" t="s">
        <v>364</v>
      </c>
      <c r="E62" s="59">
        <v>1999</v>
      </c>
      <c r="F62" s="59">
        <v>12</v>
      </c>
      <c r="G62" s="30">
        <v>0</v>
      </c>
      <c r="I62" s="59" t="s">
        <v>78</v>
      </c>
      <c r="J62" s="59">
        <v>5</v>
      </c>
      <c r="K62" s="59">
        <f t="shared" si="26"/>
        <v>2004</v>
      </c>
      <c r="L62" s="34">
        <f t="shared" si="27"/>
        <v>2005</v>
      </c>
      <c r="M62" s="27">
        <f>'Orig OTHER EQUIP 2183'!P63</f>
        <v>6150.6</v>
      </c>
      <c r="N62" s="27">
        <f t="shared" si="35"/>
        <v>6150.6</v>
      </c>
      <c r="O62" s="27">
        <f t="shared" si="36"/>
        <v>102.51</v>
      </c>
      <c r="P62" s="27">
        <f t="shared" si="37"/>
        <v>1230.1200000000001</v>
      </c>
      <c r="Q62" s="27">
        <f t="shared" si="38"/>
        <v>0</v>
      </c>
      <c r="R62" s="27">
        <f t="shared" si="39"/>
        <v>6150.6</v>
      </c>
      <c r="S62" s="27">
        <f t="shared" si="40"/>
        <v>6150.6</v>
      </c>
      <c r="T62" s="27">
        <f t="shared" si="41"/>
        <v>0</v>
      </c>
    </row>
    <row r="63" spans="1:20" s="135" customFormat="1">
      <c r="A63" s="130"/>
      <c r="B63" s="130"/>
      <c r="C63" s="130" t="s">
        <v>704</v>
      </c>
      <c r="D63" s="130"/>
      <c r="E63" s="130">
        <v>2019</v>
      </c>
      <c r="F63" s="130">
        <v>8</v>
      </c>
      <c r="G63" s="132">
        <v>0</v>
      </c>
      <c r="H63" s="130"/>
      <c r="I63" s="130" t="s">
        <v>78</v>
      </c>
      <c r="J63" s="130">
        <f>+IF(J62-$N$4&gt;=3,J62-$N$4,3)</f>
        <v>3</v>
      </c>
      <c r="K63" s="130">
        <f>E63+J63</f>
        <v>2022</v>
      </c>
      <c r="L63" s="138">
        <f t="shared" si="27"/>
        <v>2022.6666666666667</v>
      </c>
      <c r="M63" s="139">
        <f>'Orig OTHER EQUIP 2183'!N63-'OTHER EQUIP 2183'!M62</f>
        <v>3029.3999999999996</v>
      </c>
      <c r="N63" s="139">
        <f t="shared" si="35"/>
        <v>3029.3999999999996</v>
      </c>
      <c r="O63" s="139">
        <f t="shared" si="36"/>
        <v>84.149999999999991</v>
      </c>
      <c r="P63" s="139">
        <f t="shared" si="37"/>
        <v>1009.8</v>
      </c>
      <c r="Q63" s="470">
        <f>+IF(L63&lt;=$N$5,0,IF(K63&gt;$N$4,P63,(O63*F63)))/3</f>
        <v>224.39999999999998</v>
      </c>
      <c r="R63" s="139">
        <f t="shared" si="39"/>
        <v>448.79999999999995</v>
      </c>
      <c r="S63" s="139">
        <f t="shared" si="40"/>
        <v>673.19999999999993</v>
      </c>
      <c r="T63" s="139">
        <f t="shared" si="41"/>
        <v>2356.1999999999998</v>
      </c>
    </row>
    <row r="64" spans="1:20" s="59" customFormat="1">
      <c r="C64" s="59" t="s">
        <v>121</v>
      </c>
      <c r="E64" s="59">
        <v>2000</v>
      </c>
      <c r="F64" s="59">
        <v>7</v>
      </c>
      <c r="G64" s="30">
        <v>0</v>
      </c>
      <c r="I64" s="59" t="s">
        <v>78</v>
      </c>
      <c r="J64" s="59" t="s">
        <v>9</v>
      </c>
      <c r="K64" s="59">
        <f t="shared" si="26"/>
        <v>2010</v>
      </c>
      <c r="L64" s="34">
        <f t="shared" si="27"/>
        <v>2010.5833333333333</v>
      </c>
      <c r="M64" s="27">
        <v>412561.55</v>
      </c>
      <c r="N64" s="27">
        <f t="shared" si="35"/>
        <v>412561.55</v>
      </c>
      <c r="O64" s="27">
        <f t="shared" si="36"/>
        <v>3438.0129166666666</v>
      </c>
      <c r="P64" s="27">
        <f t="shared" si="37"/>
        <v>41256.154999999999</v>
      </c>
      <c r="Q64" s="27">
        <f t="shared" si="38"/>
        <v>0</v>
      </c>
      <c r="R64" s="27">
        <f t="shared" si="39"/>
        <v>412561.55</v>
      </c>
      <c r="S64" s="27">
        <f t="shared" si="40"/>
        <v>412561.55</v>
      </c>
      <c r="T64" s="27">
        <f t="shared" si="41"/>
        <v>0</v>
      </c>
    </row>
    <row r="65" spans="3:20" s="59" customFormat="1">
      <c r="C65" s="59" t="s">
        <v>122</v>
      </c>
      <c r="E65" s="59">
        <v>2000</v>
      </c>
      <c r="F65" s="59">
        <v>7</v>
      </c>
      <c r="G65" s="30">
        <v>0</v>
      </c>
      <c r="I65" s="59" t="s">
        <v>78</v>
      </c>
      <c r="J65" s="59" t="s">
        <v>9</v>
      </c>
      <c r="K65" s="59">
        <f t="shared" si="26"/>
        <v>2010</v>
      </c>
      <c r="L65" s="34">
        <f t="shared" si="27"/>
        <v>2010.5833333333333</v>
      </c>
      <c r="M65" s="27">
        <v>36913.86</v>
      </c>
      <c r="N65" s="27">
        <f t="shared" si="35"/>
        <v>36913.86</v>
      </c>
      <c r="O65" s="27">
        <f t="shared" si="36"/>
        <v>307.6155</v>
      </c>
      <c r="P65" s="27">
        <f t="shared" si="37"/>
        <v>3691.386</v>
      </c>
      <c r="Q65" s="27">
        <f t="shared" si="38"/>
        <v>0</v>
      </c>
      <c r="R65" s="27">
        <f t="shared" si="39"/>
        <v>36913.86</v>
      </c>
      <c r="S65" s="27">
        <f t="shared" si="40"/>
        <v>36913.86</v>
      </c>
      <c r="T65" s="27">
        <f t="shared" si="41"/>
        <v>0</v>
      </c>
    </row>
    <row r="66" spans="3:20" s="59" customFormat="1">
      <c r="C66" s="59" t="s">
        <v>123</v>
      </c>
      <c r="E66" s="59">
        <v>2000</v>
      </c>
      <c r="F66" s="59">
        <v>7</v>
      </c>
      <c r="G66" s="30">
        <v>0</v>
      </c>
      <c r="I66" s="59" t="s">
        <v>78</v>
      </c>
      <c r="J66" s="59" t="s">
        <v>9</v>
      </c>
      <c r="K66" s="59">
        <f t="shared" si="26"/>
        <v>2010</v>
      </c>
      <c r="L66" s="34">
        <f t="shared" si="27"/>
        <v>2010.5833333333333</v>
      </c>
      <c r="M66" s="27">
        <v>92093.69</v>
      </c>
      <c r="N66" s="27">
        <f t="shared" si="35"/>
        <v>92093.69</v>
      </c>
      <c r="O66" s="27">
        <f t="shared" si="36"/>
        <v>767.44741666666675</v>
      </c>
      <c r="P66" s="27">
        <f t="shared" si="37"/>
        <v>9209.3690000000006</v>
      </c>
      <c r="Q66" s="27">
        <f t="shared" si="38"/>
        <v>0</v>
      </c>
      <c r="R66" s="27">
        <f t="shared" si="39"/>
        <v>92093.69</v>
      </c>
      <c r="S66" s="27">
        <f t="shared" si="40"/>
        <v>92093.69</v>
      </c>
      <c r="T66" s="27">
        <f t="shared" si="41"/>
        <v>0</v>
      </c>
    </row>
    <row r="67" spans="3:20" s="59" customFormat="1">
      <c r="C67" s="59" t="s">
        <v>112</v>
      </c>
      <c r="E67" s="59">
        <v>2000</v>
      </c>
      <c r="F67" s="59">
        <v>8</v>
      </c>
      <c r="G67" s="30">
        <v>0</v>
      </c>
      <c r="I67" s="59" t="s">
        <v>78</v>
      </c>
      <c r="J67" s="59">
        <v>5</v>
      </c>
      <c r="K67" s="59">
        <f t="shared" si="26"/>
        <v>2005</v>
      </c>
      <c r="L67" s="34">
        <f t="shared" si="27"/>
        <v>2005.6666666666667</v>
      </c>
      <c r="M67" s="27">
        <v>8228.75</v>
      </c>
      <c r="N67" s="27">
        <f t="shared" si="35"/>
        <v>8228.75</v>
      </c>
      <c r="O67" s="27">
        <f t="shared" si="36"/>
        <v>137.14583333333334</v>
      </c>
      <c r="P67" s="27">
        <f t="shared" si="37"/>
        <v>1645.75</v>
      </c>
      <c r="Q67" s="27">
        <f t="shared" si="38"/>
        <v>0</v>
      </c>
      <c r="R67" s="27">
        <f t="shared" si="39"/>
        <v>8228.75</v>
      </c>
      <c r="S67" s="27">
        <f t="shared" si="40"/>
        <v>8228.75</v>
      </c>
      <c r="T67" s="27">
        <f t="shared" si="41"/>
        <v>0</v>
      </c>
    </row>
    <row r="68" spans="3:20" s="59" customFormat="1">
      <c r="C68" s="59" t="s">
        <v>125</v>
      </c>
      <c r="E68" s="59">
        <v>2001</v>
      </c>
      <c r="F68" s="59">
        <v>2</v>
      </c>
      <c r="G68" s="30">
        <v>0</v>
      </c>
      <c r="I68" s="59" t="s">
        <v>78</v>
      </c>
      <c r="J68" s="59" t="s">
        <v>11</v>
      </c>
      <c r="K68" s="59">
        <f t="shared" si="26"/>
        <v>2008</v>
      </c>
      <c r="L68" s="34">
        <f t="shared" si="27"/>
        <v>2008.1666666666667</v>
      </c>
      <c r="M68" s="27">
        <v>152358.79999999999</v>
      </c>
      <c r="N68" s="27">
        <f t="shared" si="35"/>
        <v>152358.79999999999</v>
      </c>
      <c r="O68" s="27">
        <f t="shared" si="36"/>
        <v>1813.7952380952381</v>
      </c>
      <c r="P68" s="27">
        <f t="shared" si="37"/>
        <v>21765.542857142857</v>
      </c>
      <c r="Q68" s="27">
        <f t="shared" si="38"/>
        <v>0</v>
      </c>
      <c r="R68" s="27">
        <f t="shared" si="39"/>
        <v>152358.79999999999</v>
      </c>
      <c r="S68" s="27">
        <f t="shared" si="40"/>
        <v>152358.79999999999</v>
      </c>
      <c r="T68" s="27">
        <f t="shared" si="41"/>
        <v>0</v>
      </c>
    </row>
    <row r="69" spans="3:20" s="59" customFormat="1">
      <c r="C69" s="59" t="s">
        <v>127</v>
      </c>
      <c r="E69" s="59">
        <v>2001</v>
      </c>
      <c r="F69" s="59">
        <v>12</v>
      </c>
      <c r="G69" s="30">
        <v>0</v>
      </c>
      <c r="I69" s="59" t="s">
        <v>78</v>
      </c>
      <c r="J69" s="59">
        <v>5</v>
      </c>
      <c r="K69" s="59">
        <f t="shared" si="26"/>
        <v>2006</v>
      </c>
      <c r="L69" s="34">
        <f t="shared" si="27"/>
        <v>2007</v>
      </c>
      <c r="M69" s="27">
        <v>2246.4</v>
      </c>
      <c r="N69" s="27">
        <f t="shared" si="35"/>
        <v>2246.4</v>
      </c>
      <c r="O69" s="27">
        <f t="shared" si="36"/>
        <v>37.440000000000005</v>
      </c>
      <c r="P69" s="27">
        <f t="shared" si="37"/>
        <v>449.28000000000009</v>
      </c>
      <c r="Q69" s="27">
        <f t="shared" si="38"/>
        <v>0</v>
      </c>
      <c r="R69" s="27">
        <f t="shared" si="39"/>
        <v>2246.4</v>
      </c>
      <c r="S69" s="27">
        <f t="shared" si="40"/>
        <v>2246.4</v>
      </c>
      <c r="T69" s="27">
        <f t="shared" si="41"/>
        <v>0</v>
      </c>
    </row>
    <row r="70" spans="3:20" s="59" customFormat="1">
      <c r="C70" s="59" t="s">
        <v>126</v>
      </c>
      <c r="E70" s="59">
        <v>2001</v>
      </c>
      <c r="F70" s="59">
        <v>12</v>
      </c>
      <c r="G70" s="30">
        <v>0</v>
      </c>
      <c r="I70" s="59" t="s">
        <v>78</v>
      </c>
      <c r="J70" s="59">
        <v>5</v>
      </c>
      <c r="K70" s="59">
        <f t="shared" si="26"/>
        <v>2006</v>
      </c>
      <c r="L70" s="34">
        <f t="shared" si="27"/>
        <v>2007</v>
      </c>
      <c r="M70" s="27">
        <v>1938.6</v>
      </c>
      <c r="N70" s="27">
        <f t="shared" si="35"/>
        <v>1938.6</v>
      </c>
      <c r="O70" s="27">
        <f t="shared" si="36"/>
        <v>32.309999999999995</v>
      </c>
      <c r="P70" s="27">
        <f t="shared" si="37"/>
        <v>387.71999999999991</v>
      </c>
      <c r="Q70" s="27">
        <f t="shared" si="38"/>
        <v>0</v>
      </c>
      <c r="R70" s="27">
        <f t="shared" si="39"/>
        <v>1938.6</v>
      </c>
      <c r="S70" s="27">
        <f t="shared" si="40"/>
        <v>1938.6</v>
      </c>
      <c r="T70" s="27">
        <f t="shared" si="41"/>
        <v>0</v>
      </c>
    </row>
    <row r="71" spans="3:20" s="59" customFormat="1">
      <c r="C71" s="59" t="s">
        <v>124</v>
      </c>
      <c r="E71" s="59">
        <v>2001</v>
      </c>
      <c r="F71" s="59">
        <v>2</v>
      </c>
      <c r="G71" s="30">
        <v>0</v>
      </c>
      <c r="I71" s="59" t="s">
        <v>78</v>
      </c>
      <c r="J71" s="59">
        <v>5</v>
      </c>
      <c r="K71" s="59">
        <f t="shared" si="26"/>
        <v>2006</v>
      </c>
      <c r="L71" s="34">
        <f t="shared" si="27"/>
        <v>2006.1666666666667</v>
      </c>
      <c r="M71" s="27">
        <v>4266</v>
      </c>
      <c r="N71" s="27">
        <f t="shared" si="35"/>
        <v>4266</v>
      </c>
      <c r="O71" s="27">
        <f t="shared" si="36"/>
        <v>71.100000000000009</v>
      </c>
      <c r="P71" s="27">
        <f t="shared" si="37"/>
        <v>853.2</v>
      </c>
      <c r="Q71" s="27">
        <f t="shared" si="38"/>
        <v>0</v>
      </c>
      <c r="R71" s="27">
        <f t="shared" si="39"/>
        <v>4266</v>
      </c>
      <c r="S71" s="27">
        <f t="shared" si="40"/>
        <v>4266</v>
      </c>
      <c r="T71" s="27">
        <f t="shared" si="41"/>
        <v>0</v>
      </c>
    </row>
    <row r="72" spans="3:20" s="59" customFormat="1">
      <c r="C72" s="59" t="s">
        <v>128</v>
      </c>
      <c r="E72" s="59">
        <v>2003</v>
      </c>
      <c r="F72" s="59">
        <v>1</v>
      </c>
      <c r="G72" s="30">
        <v>0</v>
      </c>
      <c r="I72" s="59" t="s">
        <v>78</v>
      </c>
      <c r="J72" s="59" t="s">
        <v>9</v>
      </c>
      <c r="K72" s="59">
        <f t="shared" si="26"/>
        <v>2013</v>
      </c>
      <c r="L72" s="34">
        <f t="shared" si="27"/>
        <v>2013.0833333333333</v>
      </c>
      <c r="M72" s="27">
        <v>96517.97</v>
      </c>
      <c r="N72" s="27">
        <f t="shared" si="35"/>
        <v>96517.97</v>
      </c>
      <c r="O72" s="27">
        <f t="shared" si="36"/>
        <v>804.31641666666667</v>
      </c>
      <c r="P72" s="27">
        <f t="shared" si="37"/>
        <v>9651.7970000000005</v>
      </c>
      <c r="Q72" s="27">
        <f t="shared" si="38"/>
        <v>0</v>
      </c>
      <c r="R72" s="27">
        <f t="shared" si="39"/>
        <v>96517.97</v>
      </c>
      <c r="S72" s="27">
        <f t="shared" si="40"/>
        <v>96517.97</v>
      </c>
      <c r="T72" s="27">
        <f t="shared" si="41"/>
        <v>0</v>
      </c>
    </row>
    <row r="73" spans="3:20" s="59" customFormat="1">
      <c r="C73" s="59" t="s">
        <v>129</v>
      </c>
      <c r="E73" s="59">
        <v>2003</v>
      </c>
      <c r="F73" s="59">
        <v>2</v>
      </c>
      <c r="G73" s="30">
        <v>0</v>
      </c>
      <c r="I73" s="59" t="s">
        <v>78</v>
      </c>
      <c r="J73" s="59">
        <v>5</v>
      </c>
      <c r="K73" s="59">
        <f t="shared" si="26"/>
        <v>2008</v>
      </c>
      <c r="L73" s="34">
        <f t="shared" si="27"/>
        <v>2008.1666666666667</v>
      </c>
      <c r="M73" s="27">
        <v>3468.8</v>
      </c>
      <c r="N73" s="27">
        <f t="shared" si="35"/>
        <v>3468.8</v>
      </c>
      <c r="O73" s="27">
        <f t="shared" si="36"/>
        <v>57.813333333333333</v>
      </c>
      <c r="P73" s="27">
        <f t="shared" si="37"/>
        <v>693.76</v>
      </c>
      <c r="Q73" s="27">
        <f t="shared" si="38"/>
        <v>0</v>
      </c>
      <c r="R73" s="27">
        <f t="shared" si="39"/>
        <v>3468.8</v>
      </c>
      <c r="S73" s="27">
        <f t="shared" si="40"/>
        <v>3468.8</v>
      </c>
      <c r="T73" s="27">
        <f t="shared" si="41"/>
        <v>0</v>
      </c>
    </row>
    <row r="74" spans="3:20" s="59" customFormat="1">
      <c r="C74" s="59" t="s">
        <v>20</v>
      </c>
      <c r="E74" s="59">
        <v>2004</v>
      </c>
      <c r="F74" s="59">
        <v>5</v>
      </c>
      <c r="G74" s="30">
        <v>0</v>
      </c>
      <c r="I74" s="59" t="s">
        <v>78</v>
      </c>
      <c r="J74" s="59">
        <v>5</v>
      </c>
      <c r="K74" s="59">
        <f t="shared" si="26"/>
        <v>2009</v>
      </c>
      <c r="L74" s="34">
        <f t="shared" si="27"/>
        <v>2009.4166666666667</v>
      </c>
      <c r="M74" s="27">
        <v>2174.9</v>
      </c>
      <c r="N74" s="27">
        <f t="shared" si="35"/>
        <v>2174.9</v>
      </c>
      <c r="O74" s="27">
        <f t="shared" si="36"/>
        <v>36.248333333333335</v>
      </c>
      <c r="P74" s="27">
        <f t="shared" si="37"/>
        <v>434.98</v>
      </c>
      <c r="Q74" s="27">
        <f t="shared" si="38"/>
        <v>0</v>
      </c>
      <c r="R74" s="27">
        <f t="shared" si="39"/>
        <v>2174.9</v>
      </c>
      <c r="S74" s="27">
        <f t="shared" si="40"/>
        <v>2174.9</v>
      </c>
      <c r="T74" s="27">
        <f t="shared" si="41"/>
        <v>0</v>
      </c>
    </row>
    <row r="75" spans="3:20" s="59" customFormat="1">
      <c r="C75" s="59" t="s">
        <v>131</v>
      </c>
      <c r="E75" s="59">
        <v>2004</v>
      </c>
      <c r="F75" s="59">
        <v>3</v>
      </c>
      <c r="G75" s="30">
        <v>0</v>
      </c>
      <c r="I75" s="59" t="s">
        <v>78</v>
      </c>
      <c r="J75" s="59">
        <v>5</v>
      </c>
      <c r="K75" s="59">
        <f t="shared" si="26"/>
        <v>2009</v>
      </c>
      <c r="L75" s="34">
        <f t="shared" si="27"/>
        <v>2009.25</v>
      </c>
      <c r="M75" s="27">
        <v>7050.34</v>
      </c>
      <c r="N75" s="27">
        <f t="shared" si="35"/>
        <v>7050.34</v>
      </c>
      <c r="O75" s="27">
        <f t="shared" si="36"/>
        <v>117.50566666666667</v>
      </c>
      <c r="P75" s="27">
        <f t="shared" si="37"/>
        <v>1410.068</v>
      </c>
      <c r="Q75" s="27">
        <f t="shared" si="38"/>
        <v>0</v>
      </c>
      <c r="R75" s="27">
        <f t="shared" si="39"/>
        <v>7050.34</v>
      </c>
      <c r="S75" s="27">
        <f t="shared" si="40"/>
        <v>7050.34</v>
      </c>
      <c r="T75" s="27">
        <f t="shared" si="41"/>
        <v>0</v>
      </c>
    </row>
    <row r="76" spans="3:20" s="59" customFormat="1">
      <c r="C76" s="59" t="s">
        <v>131</v>
      </c>
      <c r="E76" s="59">
        <v>2004</v>
      </c>
      <c r="F76" s="59">
        <v>2</v>
      </c>
      <c r="G76" s="30">
        <v>0</v>
      </c>
      <c r="I76" s="59" t="s">
        <v>78</v>
      </c>
      <c r="J76" s="59">
        <v>5</v>
      </c>
      <c r="K76" s="59">
        <f t="shared" si="26"/>
        <v>2009</v>
      </c>
      <c r="L76" s="34">
        <f t="shared" si="27"/>
        <v>2009.1666666666667</v>
      </c>
      <c r="M76" s="27">
        <v>2541.98</v>
      </c>
      <c r="N76" s="27">
        <f t="shared" si="35"/>
        <v>2541.98</v>
      </c>
      <c r="O76" s="27">
        <f t="shared" si="36"/>
        <v>42.366333333333337</v>
      </c>
      <c r="P76" s="27">
        <f t="shared" si="37"/>
        <v>508.39600000000007</v>
      </c>
      <c r="Q76" s="27">
        <f t="shared" si="38"/>
        <v>0</v>
      </c>
      <c r="R76" s="27">
        <f t="shared" si="39"/>
        <v>2541.98</v>
      </c>
      <c r="S76" s="27">
        <f t="shared" si="40"/>
        <v>2541.98</v>
      </c>
      <c r="T76" s="27">
        <f t="shared" si="41"/>
        <v>0</v>
      </c>
    </row>
    <row r="77" spans="3:20" s="59" customFormat="1">
      <c r="C77" s="59" t="s">
        <v>105</v>
      </c>
      <c r="E77" s="59">
        <v>2006</v>
      </c>
      <c r="F77" s="59">
        <v>6</v>
      </c>
      <c r="G77" s="30">
        <v>0</v>
      </c>
      <c r="I77" s="59" t="s">
        <v>78</v>
      </c>
      <c r="J77" s="59">
        <v>5</v>
      </c>
      <c r="K77" s="59">
        <f t="shared" si="26"/>
        <v>2011</v>
      </c>
      <c r="L77" s="34">
        <f t="shared" si="27"/>
        <v>2011.5</v>
      </c>
      <c r="M77" s="27">
        <v>3059.68</v>
      </c>
      <c r="N77" s="27">
        <f t="shared" si="35"/>
        <v>3059.68</v>
      </c>
      <c r="O77" s="27">
        <f t="shared" si="36"/>
        <v>50.99466666666666</v>
      </c>
      <c r="P77" s="27">
        <f t="shared" si="37"/>
        <v>611.93599999999992</v>
      </c>
      <c r="Q77" s="27">
        <f t="shared" si="38"/>
        <v>0</v>
      </c>
      <c r="R77" s="27">
        <f t="shared" si="39"/>
        <v>3059.68</v>
      </c>
      <c r="S77" s="27">
        <f t="shared" si="40"/>
        <v>3059.68</v>
      </c>
      <c r="T77" s="27">
        <f t="shared" si="41"/>
        <v>0</v>
      </c>
    </row>
    <row r="78" spans="3:20" s="59" customFormat="1">
      <c r="C78" s="59" t="s">
        <v>104</v>
      </c>
      <c r="E78" s="59">
        <v>2007</v>
      </c>
      <c r="F78" s="59">
        <v>5</v>
      </c>
      <c r="G78" s="30">
        <v>0</v>
      </c>
      <c r="I78" s="59" t="s">
        <v>78</v>
      </c>
      <c r="J78" s="59">
        <v>5</v>
      </c>
      <c r="K78" s="59">
        <f t="shared" si="26"/>
        <v>2012</v>
      </c>
      <c r="L78" s="34">
        <f t="shared" si="27"/>
        <v>2012.4166666666667</v>
      </c>
      <c r="M78" s="27">
        <v>9925.1</v>
      </c>
      <c r="N78" s="27">
        <f t="shared" si="35"/>
        <v>9925.1</v>
      </c>
      <c r="O78" s="27">
        <f t="shared" si="36"/>
        <v>165.41833333333332</v>
      </c>
      <c r="P78" s="27">
        <f t="shared" si="37"/>
        <v>1985.02</v>
      </c>
      <c r="Q78" s="27">
        <f t="shared" si="38"/>
        <v>0</v>
      </c>
      <c r="R78" s="27">
        <f t="shared" si="39"/>
        <v>9925.1</v>
      </c>
      <c r="S78" s="27">
        <f t="shared" si="40"/>
        <v>9925.1</v>
      </c>
      <c r="T78" s="27">
        <f t="shared" si="41"/>
        <v>0</v>
      </c>
    </row>
    <row r="79" spans="3:20" s="59" customFormat="1">
      <c r="C79" s="59" t="s">
        <v>132</v>
      </c>
      <c r="E79" s="59">
        <v>2007</v>
      </c>
      <c r="F79" s="59">
        <v>4</v>
      </c>
      <c r="G79" s="30">
        <v>0</v>
      </c>
      <c r="I79" s="59" t="s">
        <v>78</v>
      </c>
      <c r="J79" s="59">
        <v>5</v>
      </c>
      <c r="K79" s="59">
        <f t="shared" si="26"/>
        <v>2012</v>
      </c>
      <c r="L79" s="34">
        <f t="shared" si="27"/>
        <v>2012.3333333333333</v>
      </c>
      <c r="M79" s="27">
        <v>2346.86</v>
      </c>
      <c r="N79" s="27">
        <f t="shared" si="35"/>
        <v>2346.86</v>
      </c>
      <c r="O79" s="27">
        <f t="shared" si="36"/>
        <v>39.114333333333335</v>
      </c>
      <c r="P79" s="27">
        <f t="shared" si="37"/>
        <v>469.37200000000001</v>
      </c>
      <c r="Q79" s="27">
        <f t="shared" si="38"/>
        <v>0</v>
      </c>
      <c r="R79" s="27">
        <f t="shared" si="39"/>
        <v>2346.86</v>
      </c>
      <c r="S79" s="27">
        <f t="shared" si="40"/>
        <v>2346.86</v>
      </c>
      <c r="T79" s="27">
        <f t="shared" si="41"/>
        <v>0</v>
      </c>
    </row>
    <row r="80" spans="3:20" s="59" customFormat="1">
      <c r="C80" s="59" t="s">
        <v>107</v>
      </c>
      <c r="E80" s="59">
        <v>2007</v>
      </c>
      <c r="F80" s="59">
        <v>4</v>
      </c>
      <c r="G80" s="30">
        <v>0</v>
      </c>
      <c r="I80" s="59" t="s">
        <v>78</v>
      </c>
      <c r="J80" s="59">
        <v>5</v>
      </c>
      <c r="K80" s="59">
        <f t="shared" si="26"/>
        <v>2012</v>
      </c>
      <c r="L80" s="34">
        <f t="shared" si="27"/>
        <v>2012.3333333333333</v>
      </c>
      <c r="M80" s="27">
        <v>1699.29</v>
      </c>
      <c r="N80" s="27">
        <f t="shared" si="35"/>
        <v>1699.29</v>
      </c>
      <c r="O80" s="27">
        <f t="shared" si="36"/>
        <v>28.3215</v>
      </c>
      <c r="P80" s="27">
        <f t="shared" si="37"/>
        <v>339.858</v>
      </c>
      <c r="Q80" s="27">
        <f t="shared" si="38"/>
        <v>0</v>
      </c>
      <c r="R80" s="27">
        <f t="shared" si="39"/>
        <v>1699.29</v>
      </c>
      <c r="S80" s="27">
        <f t="shared" si="40"/>
        <v>1699.29</v>
      </c>
      <c r="T80" s="27">
        <f t="shared" si="41"/>
        <v>0</v>
      </c>
    </row>
    <row r="81" spans="1:20" s="59" customFormat="1">
      <c r="C81" s="59" t="s">
        <v>108</v>
      </c>
      <c r="E81" s="59">
        <v>2007</v>
      </c>
      <c r="F81" s="59">
        <v>3</v>
      </c>
      <c r="G81" s="30">
        <v>0</v>
      </c>
      <c r="I81" s="59" t="s">
        <v>78</v>
      </c>
      <c r="J81" s="59">
        <v>5</v>
      </c>
      <c r="K81" s="59">
        <f t="shared" si="26"/>
        <v>2012</v>
      </c>
      <c r="L81" s="34">
        <f t="shared" si="27"/>
        <v>2012.25</v>
      </c>
      <c r="M81" s="27">
        <v>1078</v>
      </c>
      <c r="N81" s="27">
        <f t="shared" si="35"/>
        <v>1078</v>
      </c>
      <c r="O81" s="27">
        <f t="shared" si="36"/>
        <v>17.966666666666665</v>
      </c>
      <c r="P81" s="27">
        <f t="shared" si="37"/>
        <v>215.59999999999997</v>
      </c>
      <c r="Q81" s="27">
        <f t="shared" si="38"/>
        <v>0</v>
      </c>
      <c r="R81" s="27">
        <f t="shared" si="39"/>
        <v>1078</v>
      </c>
      <c r="S81" s="27">
        <f t="shared" si="40"/>
        <v>1078</v>
      </c>
      <c r="T81" s="27">
        <f t="shared" si="41"/>
        <v>0</v>
      </c>
    </row>
    <row r="82" spans="1:20" s="59" customFormat="1">
      <c r="A82" s="59" t="s">
        <v>288</v>
      </c>
      <c r="B82" s="59">
        <v>6042</v>
      </c>
      <c r="C82" s="59" t="s">
        <v>449</v>
      </c>
      <c r="D82" s="59">
        <v>61091</v>
      </c>
      <c r="E82" s="59">
        <v>2008</v>
      </c>
      <c r="F82" s="59">
        <v>3</v>
      </c>
      <c r="G82" s="30">
        <v>0</v>
      </c>
      <c r="I82" s="59" t="s">
        <v>78</v>
      </c>
      <c r="J82" s="59">
        <v>5</v>
      </c>
      <c r="K82" s="59">
        <f>E82+J82</f>
        <v>2013</v>
      </c>
      <c r="L82" s="34">
        <f t="shared" si="27"/>
        <v>2013.25</v>
      </c>
      <c r="M82" s="27">
        <f>+'Orig OTHER EQUIP 2183'!P91</f>
        <v>10247.040300000001</v>
      </c>
      <c r="N82" s="27">
        <f t="shared" si="35"/>
        <v>10247.040300000001</v>
      </c>
      <c r="O82" s="27">
        <f t="shared" si="36"/>
        <v>170.78400500000001</v>
      </c>
      <c r="P82" s="27">
        <f t="shared" si="37"/>
        <v>2049.4080600000002</v>
      </c>
      <c r="Q82" s="27">
        <f t="shared" si="38"/>
        <v>0</v>
      </c>
      <c r="R82" s="27">
        <f t="shared" si="39"/>
        <v>10247.040300000001</v>
      </c>
      <c r="S82" s="27">
        <f t="shared" si="40"/>
        <v>10247.040300000001</v>
      </c>
      <c r="T82" s="27">
        <f t="shared" si="41"/>
        <v>0</v>
      </c>
    </row>
    <row r="83" spans="1:20" s="135" customFormat="1">
      <c r="A83" s="130"/>
      <c r="B83" s="130"/>
      <c r="C83" s="130" t="s">
        <v>705</v>
      </c>
      <c r="D83" s="130"/>
      <c r="E83" s="130">
        <v>2019</v>
      </c>
      <c r="F83" s="130">
        <v>8</v>
      </c>
      <c r="G83" s="132">
        <v>0</v>
      </c>
      <c r="H83" s="130"/>
      <c r="I83" s="130" t="s">
        <v>78</v>
      </c>
      <c r="J83" s="130">
        <f>+IF(J82-$N$4&gt;=3,J82-$N$4,3)</f>
        <v>3</v>
      </c>
      <c r="K83" s="130">
        <f>E83+J83</f>
        <v>2022</v>
      </c>
      <c r="L83" s="138">
        <f t="shared" ref="L83" si="42">+K83+(F83/12)</f>
        <v>2022.6666666666667</v>
      </c>
      <c r="M83" s="139">
        <f>+'Orig OTHER EQUIP 2183'!N91-M82</f>
        <v>5047.0496999999996</v>
      </c>
      <c r="N83" s="139">
        <f t="shared" ref="N83" si="43">M83-M83*G83</f>
        <v>5047.0496999999996</v>
      </c>
      <c r="O83" s="139">
        <f t="shared" ref="O83" si="44">N83/J83/12</f>
        <v>140.19582499999999</v>
      </c>
      <c r="P83" s="139">
        <f t="shared" ref="P83" si="45">+O83*12</f>
        <v>1682.3498999999997</v>
      </c>
      <c r="Q83" s="470">
        <f>+IF(L83&lt;=$N$5,0,IF(K83&gt;$N$4,P83,(O83*F83)))/3</f>
        <v>373.85553333333331</v>
      </c>
      <c r="R83" s="139">
        <f t="shared" ref="R83" si="46">+IF(Q83=0,N83,IF($N$3-E83&lt;1,0,(($N$3-E83)*Q83)))</f>
        <v>747.71106666666662</v>
      </c>
      <c r="S83" s="139">
        <f t="shared" ref="S83" si="47">+IF(Q83=0,R83,R83+Q83)</f>
        <v>1121.5665999999999</v>
      </c>
      <c r="T83" s="139">
        <f t="shared" ref="T83" si="48">+M83-S83</f>
        <v>3925.4830999999995</v>
      </c>
    </row>
    <row r="84" spans="1:20" s="59" customFormat="1">
      <c r="B84" s="59">
        <v>6020</v>
      </c>
      <c r="C84" s="59" t="s">
        <v>433</v>
      </c>
      <c r="D84" s="59">
        <v>81814</v>
      </c>
      <c r="E84" s="59">
        <v>2008</v>
      </c>
      <c r="F84" s="59">
        <v>11</v>
      </c>
      <c r="G84" s="30">
        <v>0</v>
      </c>
      <c r="I84" s="59" t="s">
        <v>78</v>
      </c>
      <c r="J84" s="59">
        <v>5</v>
      </c>
      <c r="K84" s="59">
        <f>E84+J84</f>
        <v>2013</v>
      </c>
      <c r="L84" s="34">
        <f t="shared" si="27"/>
        <v>2013.9166666666667</v>
      </c>
      <c r="M84" s="27">
        <f>'Orig OTHER EQUIP 2183'!P92</f>
        <v>1675</v>
      </c>
      <c r="N84" s="27">
        <f t="shared" si="35"/>
        <v>1675</v>
      </c>
      <c r="O84" s="27">
        <f t="shared" si="36"/>
        <v>27.916666666666668</v>
      </c>
      <c r="P84" s="27">
        <f t="shared" si="37"/>
        <v>335</v>
      </c>
      <c r="Q84" s="27">
        <f t="shared" si="38"/>
        <v>0</v>
      </c>
      <c r="R84" s="27">
        <f t="shared" si="39"/>
        <v>1675</v>
      </c>
      <c r="S84" s="27">
        <f t="shared" si="40"/>
        <v>1675</v>
      </c>
      <c r="T84" s="27">
        <f t="shared" si="41"/>
        <v>0</v>
      </c>
    </row>
    <row r="85" spans="1:20" s="135" customFormat="1">
      <c r="A85" s="130"/>
      <c r="B85" s="130"/>
      <c r="C85" s="130" t="s">
        <v>705</v>
      </c>
      <c r="D85" s="130"/>
      <c r="E85" s="130">
        <v>2019</v>
      </c>
      <c r="F85" s="130">
        <v>8</v>
      </c>
      <c r="G85" s="132">
        <v>0</v>
      </c>
      <c r="H85" s="130"/>
      <c r="I85" s="130" t="s">
        <v>78</v>
      </c>
      <c r="J85" s="130">
        <f>+IF(J84-$N$4&gt;=3,J84-$N$4,3)</f>
        <v>3</v>
      </c>
      <c r="K85" s="130">
        <f>E85+J85</f>
        <v>2022</v>
      </c>
      <c r="L85" s="138">
        <f t="shared" si="27"/>
        <v>2022.6666666666667</v>
      </c>
      <c r="M85" s="139">
        <f>'Orig OTHER EQUIP 2183'!N92-'OTHER EQUIP 2183'!M84</f>
        <v>825</v>
      </c>
      <c r="N85" s="139">
        <f t="shared" si="35"/>
        <v>825</v>
      </c>
      <c r="O85" s="139">
        <f t="shared" si="36"/>
        <v>22.916666666666668</v>
      </c>
      <c r="P85" s="139">
        <f t="shared" si="37"/>
        <v>275</v>
      </c>
      <c r="Q85" s="470">
        <f>+IF(L85&lt;=$N$5,0,IF(K85&gt;$N$4,P85,(O85*F85)))/3</f>
        <v>61.111111111111114</v>
      </c>
      <c r="R85" s="139">
        <f t="shared" si="39"/>
        <v>122.22222222222223</v>
      </c>
      <c r="S85" s="139">
        <f t="shared" si="40"/>
        <v>183.33333333333334</v>
      </c>
      <c r="T85" s="139">
        <f t="shared" si="41"/>
        <v>641.66666666666663</v>
      </c>
    </row>
    <row r="86" spans="1:20" s="59" customFormat="1">
      <c r="C86" s="59" t="s">
        <v>361</v>
      </c>
      <c r="E86" s="59">
        <v>2009</v>
      </c>
      <c r="F86" s="59">
        <v>7</v>
      </c>
      <c r="G86" s="30">
        <v>0</v>
      </c>
      <c r="I86" s="59" t="s">
        <v>78</v>
      </c>
      <c r="J86" s="59">
        <v>5</v>
      </c>
      <c r="K86" s="59">
        <f t="shared" si="26"/>
        <v>2014</v>
      </c>
      <c r="L86" s="34">
        <f t="shared" si="27"/>
        <v>2014.5833333333333</v>
      </c>
      <c r="M86" s="27">
        <v>2347.9299999999998</v>
      </c>
      <c r="N86" s="27">
        <f t="shared" si="35"/>
        <v>2347.9299999999998</v>
      </c>
      <c r="O86" s="27">
        <f t="shared" si="36"/>
        <v>39.132166666666663</v>
      </c>
      <c r="P86" s="27">
        <f t="shared" si="37"/>
        <v>469.58599999999996</v>
      </c>
      <c r="Q86" s="27">
        <f t="shared" si="38"/>
        <v>0</v>
      </c>
      <c r="R86" s="27">
        <f t="shared" si="39"/>
        <v>2347.9299999999998</v>
      </c>
      <c r="S86" s="27">
        <f t="shared" si="40"/>
        <v>2347.9299999999998</v>
      </c>
      <c r="T86" s="27">
        <f t="shared" si="41"/>
        <v>0</v>
      </c>
    </row>
    <row r="87" spans="1:20" s="59" customFormat="1">
      <c r="C87" s="59" t="s">
        <v>362</v>
      </c>
      <c r="E87" s="59">
        <v>2009</v>
      </c>
      <c r="F87" s="59">
        <v>6</v>
      </c>
      <c r="G87" s="30">
        <v>0</v>
      </c>
      <c r="I87" s="59" t="s">
        <v>78</v>
      </c>
      <c r="J87" s="59">
        <v>5</v>
      </c>
      <c r="K87" s="59">
        <f t="shared" si="26"/>
        <v>2014</v>
      </c>
      <c r="L87" s="34">
        <f t="shared" si="27"/>
        <v>2014.5</v>
      </c>
      <c r="M87" s="27">
        <v>4147.3100000000004</v>
      </c>
      <c r="N87" s="27">
        <f t="shared" si="35"/>
        <v>4147.3100000000004</v>
      </c>
      <c r="O87" s="27">
        <f t="shared" si="36"/>
        <v>69.121833333333342</v>
      </c>
      <c r="P87" s="27">
        <f t="shared" si="37"/>
        <v>829.4620000000001</v>
      </c>
      <c r="Q87" s="27">
        <f t="shared" si="38"/>
        <v>0</v>
      </c>
      <c r="R87" s="27">
        <f t="shared" si="39"/>
        <v>4147.3100000000004</v>
      </c>
      <c r="S87" s="27">
        <f t="shared" si="40"/>
        <v>4147.3100000000004</v>
      </c>
      <c r="T87" s="27">
        <f t="shared" si="41"/>
        <v>0</v>
      </c>
    </row>
    <row r="88" spans="1:20" s="59" customFormat="1">
      <c r="C88" s="59" t="s">
        <v>363</v>
      </c>
      <c r="E88" s="59">
        <v>2009</v>
      </c>
      <c r="F88" s="59">
        <v>1</v>
      </c>
      <c r="G88" s="30">
        <v>0</v>
      </c>
      <c r="I88" s="59" t="s">
        <v>78</v>
      </c>
      <c r="J88" s="59">
        <v>4.916666666666667</v>
      </c>
      <c r="K88" s="59">
        <f t="shared" si="26"/>
        <v>2013.9166666666667</v>
      </c>
      <c r="L88" s="34">
        <f t="shared" si="27"/>
        <v>2014</v>
      </c>
      <c r="M88" s="27">
        <v>2847</v>
      </c>
      <c r="N88" s="27">
        <f t="shared" si="35"/>
        <v>2847</v>
      </c>
      <c r="O88" s="27">
        <f t="shared" si="36"/>
        <v>48.254237288135592</v>
      </c>
      <c r="P88" s="27">
        <f t="shared" si="37"/>
        <v>579.05084745762713</v>
      </c>
      <c r="Q88" s="27">
        <f t="shared" si="38"/>
        <v>0</v>
      </c>
      <c r="R88" s="27">
        <f t="shared" si="39"/>
        <v>2847</v>
      </c>
      <c r="S88" s="27">
        <f t="shared" si="40"/>
        <v>2847</v>
      </c>
      <c r="T88" s="27">
        <f t="shared" si="41"/>
        <v>0</v>
      </c>
    </row>
    <row r="89" spans="1:20" s="59" customFormat="1">
      <c r="C89" s="59" t="s">
        <v>420</v>
      </c>
      <c r="D89" s="59">
        <v>78790</v>
      </c>
      <c r="E89" s="59">
        <v>2010</v>
      </c>
      <c r="F89" s="59">
        <v>12</v>
      </c>
      <c r="G89" s="30">
        <v>0</v>
      </c>
      <c r="I89" s="59" t="s">
        <v>78</v>
      </c>
      <c r="J89" s="59">
        <v>5</v>
      </c>
      <c r="K89" s="59">
        <f t="shared" si="26"/>
        <v>2015</v>
      </c>
      <c r="L89" s="34">
        <f t="shared" si="27"/>
        <v>2016</v>
      </c>
      <c r="M89" s="27">
        <v>5900.24</v>
      </c>
      <c r="N89" s="27">
        <f t="shared" si="35"/>
        <v>5900.24</v>
      </c>
      <c r="O89" s="27">
        <f t="shared" si="36"/>
        <v>98.337333333333333</v>
      </c>
      <c r="P89" s="27">
        <f t="shared" si="37"/>
        <v>1180.048</v>
      </c>
      <c r="Q89" s="27">
        <f t="shared" si="38"/>
        <v>0</v>
      </c>
      <c r="R89" s="27">
        <f t="shared" si="39"/>
        <v>5900.24</v>
      </c>
      <c r="S89" s="27">
        <f t="shared" si="40"/>
        <v>5900.24</v>
      </c>
      <c r="T89" s="27">
        <f t="shared" si="41"/>
        <v>0</v>
      </c>
    </row>
    <row r="90" spans="1:20" s="59" customFormat="1">
      <c r="C90" s="59" t="s">
        <v>469</v>
      </c>
      <c r="D90" s="59" t="s">
        <v>478</v>
      </c>
      <c r="E90" s="59">
        <v>2012</v>
      </c>
      <c r="F90" s="59">
        <v>10</v>
      </c>
      <c r="G90" s="30">
        <v>0</v>
      </c>
      <c r="I90" s="59" t="s">
        <v>78</v>
      </c>
      <c r="J90" s="59">
        <v>10</v>
      </c>
      <c r="K90" s="59">
        <f t="shared" si="26"/>
        <v>2022</v>
      </c>
      <c r="L90" s="34">
        <f t="shared" si="27"/>
        <v>2022.8333333333333</v>
      </c>
      <c r="M90" s="27">
        <f>9479+48345.38</f>
        <v>57824.38</v>
      </c>
      <c r="N90" s="27">
        <f t="shared" si="35"/>
        <v>57824.38</v>
      </c>
      <c r="O90" s="27">
        <f t="shared" si="36"/>
        <v>481.86983333333336</v>
      </c>
      <c r="P90" s="27">
        <f t="shared" si="37"/>
        <v>5782.4380000000001</v>
      </c>
      <c r="Q90" s="27">
        <f t="shared" si="38"/>
        <v>4818.6983333333337</v>
      </c>
      <c r="R90" s="27">
        <f t="shared" si="39"/>
        <v>43368.285000000003</v>
      </c>
      <c r="S90" s="27">
        <f t="shared" si="40"/>
        <v>48186.983333333337</v>
      </c>
      <c r="T90" s="27">
        <f t="shared" si="41"/>
        <v>9637.3966666666602</v>
      </c>
    </row>
    <row r="91" spans="1:20" s="59" customFormat="1">
      <c r="C91" s="59" t="s">
        <v>481</v>
      </c>
      <c r="D91" s="59">
        <v>106016</v>
      </c>
      <c r="E91" s="59">
        <v>2013</v>
      </c>
      <c r="F91" s="59">
        <v>7</v>
      </c>
      <c r="G91" s="30">
        <v>0</v>
      </c>
      <c r="I91" s="59" t="s">
        <v>78</v>
      </c>
      <c r="J91" s="59">
        <v>5</v>
      </c>
      <c r="K91" s="59">
        <f t="shared" si="26"/>
        <v>2018</v>
      </c>
      <c r="L91" s="34">
        <f t="shared" si="27"/>
        <v>2018.5833333333333</v>
      </c>
      <c r="M91" s="27">
        <v>14451.45</v>
      </c>
      <c r="N91" s="27">
        <f t="shared" si="35"/>
        <v>14451.45</v>
      </c>
      <c r="O91" s="27">
        <f t="shared" si="36"/>
        <v>240.85749999999999</v>
      </c>
      <c r="P91" s="27">
        <f t="shared" si="37"/>
        <v>2890.29</v>
      </c>
      <c r="Q91" s="27">
        <f t="shared" si="38"/>
        <v>0</v>
      </c>
      <c r="R91" s="27">
        <f t="shared" si="39"/>
        <v>14451.45</v>
      </c>
      <c r="S91" s="27">
        <f t="shared" si="40"/>
        <v>14451.45</v>
      </c>
      <c r="T91" s="27">
        <f t="shared" si="41"/>
        <v>0</v>
      </c>
    </row>
    <row r="92" spans="1:20" s="59" customFormat="1">
      <c r="G92" s="30"/>
    </row>
    <row r="93" spans="1:20" s="59" customFormat="1">
      <c r="B93" s="59">
        <v>9228</v>
      </c>
      <c r="C93" s="59" t="s">
        <v>501</v>
      </c>
      <c r="D93" s="59">
        <v>110576</v>
      </c>
      <c r="E93" s="59">
        <v>2014</v>
      </c>
      <c r="F93" s="59">
        <v>1</v>
      </c>
      <c r="G93" s="30">
        <v>0</v>
      </c>
      <c r="I93" s="59" t="s">
        <v>78</v>
      </c>
      <c r="J93" s="59">
        <v>10</v>
      </c>
      <c r="K93" s="59">
        <f t="shared" si="26"/>
        <v>2024</v>
      </c>
      <c r="L93" s="34">
        <f t="shared" si="27"/>
        <v>2024.0833333333333</v>
      </c>
      <c r="M93" s="27">
        <v>98824.34</v>
      </c>
      <c r="N93" s="27">
        <f t="shared" si="35"/>
        <v>98824.34</v>
      </c>
      <c r="O93" s="27">
        <f t="shared" si="36"/>
        <v>823.53616666666665</v>
      </c>
      <c r="P93" s="27">
        <f t="shared" si="37"/>
        <v>9882.4339999999993</v>
      </c>
      <c r="Q93" s="27">
        <f t="shared" si="38"/>
        <v>9882.4339999999993</v>
      </c>
      <c r="R93" s="27">
        <f t="shared" si="39"/>
        <v>69177.038</v>
      </c>
      <c r="S93" s="27">
        <f t="shared" si="40"/>
        <v>79059.471999999994</v>
      </c>
      <c r="T93" s="27">
        <f t="shared" si="41"/>
        <v>19764.868000000002</v>
      </c>
    </row>
    <row r="94" spans="1:20" s="59" customFormat="1">
      <c r="C94" s="59" t="s">
        <v>518</v>
      </c>
      <c r="D94" s="59">
        <v>116108</v>
      </c>
      <c r="E94" s="59">
        <v>2014</v>
      </c>
      <c r="F94" s="59">
        <v>8</v>
      </c>
      <c r="G94" s="30">
        <v>0</v>
      </c>
      <c r="I94" s="59" t="s">
        <v>78</v>
      </c>
      <c r="J94" s="59">
        <v>2</v>
      </c>
      <c r="K94" s="59">
        <f t="shared" si="26"/>
        <v>2016</v>
      </c>
      <c r="L94" s="34">
        <f t="shared" si="27"/>
        <v>2016.6666666666667</v>
      </c>
      <c r="M94" s="27">
        <v>1817.83</v>
      </c>
      <c r="N94" s="27">
        <f t="shared" si="35"/>
        <v>1817.83</v>
      </c>
      <c r="O94" s="27">
        <f t="shared" si="36"/>
        <v>75.742916666666659</v>
      </c>
      <c r="P94" s="27">
        <f t="shared" si="37"/>
        <v>908.91499999999996</v>
      </c>
      <c r="Q94" s="27">
        <f t="shared" si="38"/>
        <v>0</v>
      </c>
      <c r="R94" s="27">
        <f t="shared" si="39"/>
        <v>1817.83</v>
      </c>
      <c r="S94" s="27">
        <f t="shared" si="40"/>
        <v>1817.83</v>
      </c>
      <c r="T94" s="27">
        <f t="shared" si="41"/>
        <v>0</v>
      </c>
    </row>
    <row r="95" spans="1:20" s="59" customFormat="1">
      <c r="C95" s="59" t="s">
        <v>519</v>
      </c>
      <c r="D95" s="59">
        <v>115427</v>
      </c>
      <c r="E95" s="59">
        <v>2014</v>
      </c>
      <c r="F95" s="59">
        <v>8</v>
      </c>
      <c r="G95" s="30">
        <v>0</v>
      </c>
      <c r="I95" s="59" t="s">
        <v>78</v>
      </c>
      <c r="J95" s="59">
        <v>3</v>
      </c>
      <c r="K95" s="59">
        <f t="shared" si="26"/>
        <v>2017</v>
      </c>
      <c r="L95" s="34">
        <f t="shared" si="27"/>
        <v>2017.6666666666667</v>
      </c>
      <c r="M95" s="27">
        <v>3198.54</v>
      </c>
      <c r="N95" s="27">
        <f t="shared" si="35"/>
        <v>3198.54</v>
      </c>
      <c r="O95" s="27">
        <f t="shared" si="36"/>
        <v>88.848333333333343</v>
      </c>
      <c r="P95" s="27">
        <f t="shared" si="37"/>
        <v>1066.18</v>
      </c>
      <c r="Q95" s="27">
        <f t="shared" si="38"/>
        <v>0</v>
      </c>
      <c r="R95" s="27">
        <f t="shared" si="39"/>
        <v>3198.54</v>
      </c>
      <c r="S95" s="27">
        <f t="shared" si="40"/>
        <v>3198.54</v>
      </c>
      <c r="T95" s="27">
        <f t="shared" si="41"/>
        <v>0</v>
      </c>
    </row>
    <row r="96" spans="1:20" s="59" customFormat="1">
      <c r="C96" s="59" t="s">
        <v>523</v>
      </c>
      <c r="D96" s="59">
        <v>118278</v>
      </c>
      <c r="E96" s="59">
        <v>2014</v>
      </c>
      <c r="F96" s="59">
        <v>12</v>
      </c>
      <c r="G96" s="30">
        <v>0</v>
      </c>
      <c r="I96" s="59" t="s">
        <v>78</v>
      </c>
      <c r="J96" s="59">
        <v>10</v>
      </c>
      <c r="K96" s="59">
        <f t="shared" si="26"/>
        <v>2024</v>
      </c>
      <c r="L96" s="34">
        <f t="shared" si="27"/>
        <v>2025</v>
      </c>
      <c r="M96" s="27">
        <f>7879.66+2760.98</f>
        <v>10640.64</v>
      </c>
      <c r="N96" s="27">
        <f t="shared" si="35"/>
        <v>10640.64</v>
      </c>
      <c r="O96" s="27">
        <f t="shared" si="36"/>
        <v>88.671999999999983</v>
      </c>
      <c r="P96" s="27">
        <f t="shared" si="37"/>
        <v>1064.0639999999999</v>
      </c>
      <c r="Q96" s="27">
        <f t="shared" si="38"/>
        <v>1064.0639999999999</v>
      </c>
      <c r="R96" s="27">
        <f t="shared" si="39"/>
        <v>7448.4479999999985</v>
      </c>
      <c r="S96" s="27">
        <f t="shared" si="40"/>
        <v>8512.5119999999988</v>
      </c>
      <c r="T96" s="27">
        <f t="shared" si="41"/>
        <v>2128.1280000000006</v>
      </c>
    </row>
    <row r="97" spans="1:20" s="59" customFormat="1">
      <c r="C97" s="59" t="s">
        <v>578</v>
      </c>
      <c r="D97" s="59" t="s">
        <v>577</v>
      </c>
      <c r="E97" s="59">
        <v>2015</v>
      </c>
      <c r="F97" s="59">
        <v>9</v>
      </c>
      <c r="G97" s="30">
        <v>0</v>
      </c>
      <c r="I97" s="59" t="s">
        <v>78</v>
      </c>
      <c r="J97" s="59">
        <v>5</v>
      </c>
      <c r="K97" s="59">
        <f t="shared" si="26"/>
        <v>2020</v>
      </c>
      <c r="L97" s="34">
        <f t="shared" si="27"/>
        <v>2020.75</v>
      </c>
      <c r="M97" s="27">
        <f>11499.37+1195.7</f>
        <v>12695.070000000002</v>
      </c>
      <c r="N97" s="27">
        <f t="shared" si="35"/>
        <v>12695.070000000002</v>
      </c>
      <c r="O97" s="27">
        <f t="shared" si="36"/>
        <v>211.58450000000002</v>
      </c>
      <c r="P97" s="27">
        <f t="shared" si="37"/>
        <v>2539.0140000000001</v>
      </c>
      <c r="Q97" s="27">
        <f t="shared" si="38"/>
        <v>0</v>
      </c>
      <c r="R97" s="27">
        <f t="shared" si="39"/>
        <v>12695.070000000002</v>
      </c>
      <c r="S97" s="27">
        <f t="shared" si="40"/>
        <v>12695.070000000002</v>
      </c>
      <c r="T97" s="27">
        <f t="shared" si="41"/>
        <v>0</v>
      </c>
    </row>
    <row r="98" spans="1:20" s="59" customFormat="1">
      <c r="C98" s="59" t="s">
        <v>605</v>
      </c>
      <c r="D98" s="59">
        <v>170171</v>
      </c>
      <c r="E98" s="59">
        <v>2016</v>
      </c>
      <c r="F98" s="59">
        <v>11</v>
      </c>
      <c r="G98" s="30">
        <v>0</v>
      </c>
      <c r="I98" s="59" t="s">
        <v>78</v>
      </c>
      <c r="J98" s="59">
        <v>5</v>
      </c>
      <c r="K98" s="59">
        <f>E98+J98</f>
        <v>2021</v>
      </c>
      <c r="L98" s="34">
        <f t="shared" si="27"/>
        <v>2021.9166666666667</v>
      </c>
      <c r="M98" s="27">
        <v>44611.57</v>
      </c>
      <c r="N98" s="27">
        <f t="shared" si="35"/>
        <v>44611.57</v>
      </c>
      <c r="O98" s="27">
        <f t="shared" si="36"/>
        <v>743.52616666666665</v>
      </c>
      <c r="P98" s="27">
        <f t="shared" si="37"/>
        <v>8922.3140000000003</v>
      </c>
      <c r="Q98" s="27">
        <f t="shared" si="38"/>
        <v>0</v>
      </c>
      <c r="R98" s="27">
        <f t="shared" si="39"/>
        <v>44611.57</v>
      </c>
      <c r="S98" s="27">
        <f t="shared" si="40"/>
        <v>44611.57</v>
      </c>
      <c r="T98" s="27">
        <f t="shared" si="41"/>
        <v>0</v>
      </c>
    </row>
    <row r="99" spans="1:20" s="59" customFormat="1">
      <c r="C99" s="59" t="s">
        <v>632</v>
      </c>
      <c r="D99" s="59">
        <v>185550</v>
      </c>
      <c r="E99" s="59">
        <v>2017</v>
      </c>
      <c r="F99" s="59">
        <v>8</v>
      </c>
      <c r="G99" s="30">
        <v>0</v>
      </c>
      <c r="I99" s="59" t="s">
        <v>78</v>
      </c>
      <c r="J99" s="59">
        <v>1</v>
      </c>
      <c r="K99" s="59">
        <f>E99+J99</f>
        <v>2018</v>
      </c>
      <c r="L99" s="34">
        <f t="shared" si="27"/>
        <v>2018.6666666666667</v>
      </c>
      <c r="M99" s="27">
        <v>1244.8</v>
      </c>
      <c r="N99" s="27">
        <f t="shared" si="35"/>
        <v>1244.8</v>
      </c>
      <c r="O99" s="27">
        <f t="shared" si="36"/>
        <v>103.73333333333333</v>
      </c>
      <c r="P99" s="27">
        <f t="shared" si="37"/>
        <v>1244.8</v>
      </c>
      <c r="Q99" s="27">
        <f t="shared" si="38"/>
        <v>0</v>
      </c>
      <c r="R99" s="27">
        <f t="shared" si="39"/>
        <v>1244.8</v>
      </c>
      <c r="S99" s="27">
        <f t="shared" si="40"/>
        <v>1244.8</v>
      </c>
      <c r="T99" s="27">
        <f t="shared" si="41"/>
        <v>0</v>
      </c>
    </row>
    <row r="100" spans="1:20" s="56" customFormat="1" ht="15">
      <c r="C100" s="36" t="s">
        <v>795</v>
      </c>
      <c r="D100" s="37">
        <v>198061</v>
      </c>
      <c r="E100" s="56">
        <v>1992</v>
      </c>
      <c r="F100" s="56">
        <v>3</v>
      </c>
      <c r="G100" s="38">
        <v>0</v>
      </c>
      <c r="I100" s="56" t="s">
        <v>78</v>
      </c>
      <c r="J100" s="56">
        <v>15</v>
      </c>
      <c r="K100" s="56">
        <f t="shared" ref="K100:K102" si="49">E100+J100</f>
        <v>2007</v>
      </c>
      <c r="L100" s="39">
        <f t="shared" ref="L100:L102" si="50">+K100+(F100/12)</f>
        <v>2007.25</v>
      </c>
      <c r="M100" s="40">
        <v>7710</v>
      </c>
      <c r="N100" s="41">
        <f t="shared" ref="N100:N102" si="51">M100-M100*G100</f>
        <v>7710</v>
      </c>
      <c r="O100" s="41">
        <f t="shared" ref="O100:O102" si="52">N100/J100/12</f>
        <v>42.833333333333336</v>
      </c>
      <c r="P100" s="41">
        <f t="shared" ref="P100:P102" si="53">+O100*12</f>
        <v>514</v>
      </c>
      <c r="Q100" s="41">
        <f t="shared" ref="Q100:Q102" si="54">+IF(L100&lt;=$N$5,0,IF(K100&gt;$N$4,P100,(O100*F100)))</f>
        <v>0</v>
      </c>
      <c r="R100" s="41">
        <f t="shared" ref="R100:R102" si="55">+IF(Q100=0,N100,IF($N$3-E100&lt;1,0,(($N$3-E100)*Q100)))</f>
        <v>7710</v>
      </c>
      <c r="S100" s="41">
        <f t="shared" ref="S100:S102" si="56">+IF(Q100=0,R100,R100+Q100)</f>
        <v>7710</v>
      </c>
      <c r="T100" s="41">
        <f t="shared" ref="T100:T102" si="57">+M100-S100</f>
        <v>0</v>
      </c>
    </row>
    <row r="101" spans="1:20" s="56" customFormat="1" ht="15">
      <c r="C101" s="36" t="s">
        <v>796</v>
      </c>
      <c r="D101" s="37">
        <v>198060</v>
      </c>
      <c r="E101" s="56">
        <v>1988</v>
      </c>
      <c r="F101" s="56">
        <v>2</v>
      </c>
      <c r="G101" s="38">
        <v>0</v>
      </c>
      <c r="I101" s="56" t="s">
        <v>78</v>
      </c>
      <c r="J101" s="56">
        <v>15</v>
      </c>
      <c r="K101" s="56">
        <f t="shared" si="49"/>
        <v>2003</v>
      </c>
      <c r="L101" s="39">
        <f t="shared" si="50"/>
        <v>2003.1666666666667</v>
      </c>
      <c r="M101" s="40">
        <v>22692</v>
      </c>
      <c r="N101" s="41">
        <f t="shared" si="51"/>
        <v>22692</v>
      </c>
      <c r="O101" s="41">
        <f t="shared" si="52"/>
        <v>126.06666666666666</v>
      </c>
      <c r="P101" s="41">
        <f t="shared" si="53"/>
        <v>1512.8</v>
      </c>
      <c r="Q101" s="41">
        <f t="shared" si="54"/>
        <v>0</v>
      </c>
      <c r="R101" s="41">
        <f t="shared" si="55"/>
        <v>22692</v>
      </c>
      <c r="S101" s="41">
        <f t="shared" si="56"/>
        <v>22692</v>
      </c>
      <c r="T101" s="41">
        <f t="shared" si="57"/>
        <v>0</v>
      </c>
    </row>
    <row r="102" spans="1:20" s="56" customFormat="1" ht="15">
      <c r="C102" s="36" t="s">
        <v>800</v>
      </c>
      <c r="D102" s="37" t="s">
        <v>838</v>
      </c>
      <c r="E102" s="56">
        <v>2019</v>
      </c>
      <c r="F102" s="56">
        <v>1</v>
      </c>
      <c r="G102" s="38">
        <v>0</v>
      </c>
      <c r="I102" s="56" t="s">
        <v>78</v>
      </c>
      <c r="J102" s="56">
        <v>3</v>
      </c>
      <c r="K102" s="56">
        <f t="shared" si="49"/>
        <v>2022</v>
      </c>
      <c r="L102" s="39">
        <f t="shared" si="50"/>
        <v>2022.0833333333333</v>
      </c>
      <c r="M102" s="40">
        <f>1555.07+983.7+1311.6</f>
        <v>3850.37</v>
      </c>
      <c r="N102" s="41">
        <f t="shared" si="51"/>
        <v>3850.37</v>
      </c>
      <c r="O102" s="41">
        <f t="shared" si="52"/>
        <v>106.95472222222223</v>
      </c>
      <c r="P102" s="41">
        <f t="shared" si="53"/>
        <v>1283.4566666666667</v>
      </c>
      <c r="Q102" s="41">
        <f t="shared" si="54"/>
        <v>0</v>
      </c>
      <c r="R102" s="41">
        <f t="shared" si="55"/>
        <v>3850.37</v>
      </c>
      <c r="S102" s="41">
        <f t="shared" si="56"/>
        <v>3850.37</v>
      </c>
      <c r="T102" s="41">
        <f t="shared" si="57"/>
        <v>0</v>
      </c>
    </row>
    <row r="103" spans="1:20" s="59" customFormat="1">
      <c r="G103" s="30"/>
    </row>
    <row r="104" spans="1:20" s="59" customFormat="1">
      <c r="C104" s="51" t="s">
        <v>266</v>
      </c>
      <c r="G104" s="30"/>
      <c r="M104" s="100">
        <f t="shared" ref="M104:T104" si="58">SUM(M54:M103)</f>
        <v>1607627.8700000006</v>
      </c>
      <c r="N104" s="100">
        <f t="shared" si="58"/>
        <v>1607627.8700000006</v>
      </c>
      <c r="O104" s="100">
        <f t="shared" si="58"/>
        <v>19221.158472050029</v>
      </c>
      <c r="P104" s="100">
        <f t="shared" si="58"/>
        <v>230653.90166460053</v>
      </c>
      <c r="Q104" s="100">
        <f t="shared" si="58"/>
        <v>16588.41482962963</v>
      </c>
      <c r="R104" s="100">
        <f t="shared" si="58"/>
        <v>1550865.2682925931</v>
      </c>
      <c r="S104" s="100">
        <f t="shared" si="58"/>
        <v>1567453.683122223</v>
      </c>
      <c r="T104" s="100">
        <f t="shared" si="58"/>
        <v>40174.186877777771</v>
      </c>
    </row>
    <row r="105" spans="1:20" s="59" customFormat="1">
      <c r="C105" s="59" t="s">
        <v>316</v>
      </c>
      <c r="G105" s="30"/>
    </row>
    <row r="106" spans="1:20" s="59" customFormat="1">
      <c r="C106" s="59" t="s">
        <v>316</v>
      </c>
      <c r="G106" s="30"/>
    </row>
    <row r="107" spans="1:20" s="59" customFormat="1">
      <c r="C107" s="51" t="s">
        <v>278</v>
      </c>
      <c r="G107" s="30"/>
    </row>
    <row r="108" spans="1:20" s="59" customFormat="1">
      <c r="B108" s="59">
        <v>6050</v>
      </c>
      <c r="C108" s="59" t="s">
        <v>454</v>
      </c>
      <c r="D108" s="59">
        <v>75671</v>
      </c>
      <c r="E108" s="59">
        <v>2010</v>
      </c>
      <c r="F108" s="59">
        <v>7</v>
      </c>
      <c r="G108" s="30">
        <v>0</v>
      </c>
      <c r="I108" s="59" t="s">
        <v>78</v>
      </c>
      <c r="J108" s="59">
        <v>5</v>
      </c>
      <c r="K108" s="59">
        <f t="shared" ref="K108:K115" si="59">E108+J108</f>
        <v>2015</v>
      </c>
      <c r="L108" s="34">
        <f t="shared" ref="L108:L115" si="60">+K108+(F108/12)</f>
        <v>2015.5833333333333</v>
      </c>
      <c r="M108" s="27">
        <f>'Orig OTHER EQUIP 2183'!P113</f>
        <v>10050</v>
      </c>
      <c r="N108" s="27">
        <f t="shared" ref="N108:N115" si="61">M108-M108*G108</f>
        <v>10050</v>
      </c>
      <c r="O108" s="27">
        <f t="shared" ref="O108:O115" si="62">N108/J108/12</f>
        <v>167.5</v>
      </c>
      <c r="P108" s="27">
        <f t="shared" ref="P108:P115" si="63">+O108*12</f>
        <v>2010</v>
      </c>
      <c r="Q108" s="27">
        <f t="shared" ref="Q108:Q115" si="64">+IF(L108&lt;=$N$5,0,IF(K108&gt;$N$4,P108,(O108*F108)))</f>
        <v>0</v>
      </c>
      <c r="R108" s="27">
        <f t="shared" ref="R108:R115" si="65">+IF(Q108=0,N108,IF($N$3-E108&lt;1,0,(($N$3-E108)*Q108)))</f>
        <v>10050</v>
      </c>
      <c r="S108" s="27">
        <f t="shared" ref="S108:S115" si="66">+IF(Q108=0,R108,R108+Q108)</f>
        <v>10050</v>
      </c>
      <c r="T108" s="27">
        <f t="shared" ref="T108:T115" si="67">+M108-S108</f>
        <v>0</v>
      </c>
    </row>
    <row r="109" spans="1:20" s="135" customFormat="1">
      <c r="A109" s="130"/>
      <c r="B109" s="130"/>
      <c r="C109" s="130" t="s">
        <v>707</v>
      </c>
      <c r="D109" s="130"/>
      <c r="E109" s="130">
        <v>2019</v>
      </c>
      <c r="F109" s="130">
        <v>8</v>
      </c>
      <c r="G109" s="132">
        <v>0</v>
      </c>
      <c r="H109" s="130"/>
      <c r="I109" s="130" t="s">
        <v>78</v>
      </c>
      <c r="J109" s="130">
        <f>+IF(J108-$N$4&gt;=3,J108-$N$4,3)</f>
        <v>3</v>
      </c>
      <c r="K109" s="130">
        <f>E109+J109</f>
        <v>2022</v>
      </c>
      <c r="L109" s="138">
        <f t="shared" si="60"/>
        <v>2022.6666666666667</v>
      </c>
      <c r="M109" s="139">
        <f>'Orig OTHER EQUIP 2183'!N113-'OTHER EQUIP 2183'!M108</f>
        <v>4950</v>
      </c>
      <c r="N109" s="139">
        <f t="shared" si="61"/>
        <v>4950</v>
      </c>
      <c r="O109" s="139">
        <f t="shared" si="62"/>
        <v>137.5</v>
      </c>
      <c r="P109" s="139">
        <f t="shared" si="63"/>
        <v>1650</v>
      </c>
      <c r="Q109" s="470">
        <f>+IF(L109&lt;=$N$5,0,IF(K109&gt;$N$4,P109,(O109*F109)))/3</f>
        <v>366.66666666666669</v>
      </c>
      <c r="R109" s="139">
        <f t="shared" si="65"/>
        <v>733.33333333333337</v>
      </c>
      <c r="S109" s="139">
        <f t="shared" si="66"/>
        <v>1100</v>
      </c>
      <c r="T109" s="139">
        <f t="shared" si="67"/>
        <v>3850</v>
      </c>
    </row>
    <row r="110" spans="1:20" s="59" customFormat="1">
      <c r="C110" s="59" t="s">
        <v>421</v>
      </c>
      <c r="D110" s="59">
        <v>79336</v>
      </c>
      <c r="E110" s="59">
        <v>2010</v>
      </c>
      <c r="F110" s="59">
        <v>12</v>
      </c>
      <c r="G110" s="30">
        <v>0</v>
      </c>
      <c r="I110" s="59" t="s">
        <v>78</v>
      </c>
      <c r="J110" s="59">
        <v>5</v>
      </c>
      <c r="K110" s="59">
        <f t="shared" si="59"/>
        <v>2015</v>
      </c>
      <c r="L110" s="34">
        <f t="shared" si="60"/>
        <v>2016</v>
      </c>
      <c r="M110" s="27">
        <f>'Orig OTHER EQUIP 2183'!P114</f>
        <v>26323.898000000001</v>
      </c>
      <c r="N110" s="27">
        <f t="shared" si="61"/>
        <v>26323.898000000001</v>
      </c>
      <c r="O110" s="27">
        <f t="shared" si="62"/>
        <v>438.73163333333332</v>
      </c>
      <c r="P110" s="27">
        <f t="shared" si="63"/>
        <v>5264.7795999999998</v>
      </c>
      <c r="Q110" s="27">
        <f t="shared" si="64"/>
        <v>0</v>
      </c>
      <c r="R110" s="27">
        <f t="shared" si="65"/>
        <v>26323.898000000001</v>
      </c>
      <c r="S110" s="27">
        <f t="shared" si="66"/>
        <v>26323.898000000001</v>
      </c>
      <c r="T110" s="27">
        <f t="shared" si="67"/>
        <v>0</v>
      </c>
    </row>
    <row r="111" spans="1:20" s="135" customFormat="1">
      <c r="A111" s="130"/>
      <c r="B111" s="130"/>
      <c r="C111" s="130" t="s">
        <v>708</v>
      </c>
      <c r="D111" s="130"/>
      <c r="E111" s="130">
        <v>2019</v>
      </c>
      <c r="F111" s="130">
        <v>8</v>
      </c>
      <c r="G111" s="132">
        <v>0</v>
      </c>
      <c r="H111" s="130"/>
      <c r="I111" s="130" t="s">
        <v>78</v>
      </c>
      <c r="J111" s="130">
        <f>+IF(J110-$N$4&gt;=3,J110-$N$4,3)</f>
        <v>3</v>
      </c>
      <c r="K111" s="130">
        <f>E111+J111</f>
        <v>2022</v>
      </c>
      <c r="L111" s="138">
        <f t="shared" si="60"/>
        <v>2022.6666666666667</v>
      </c>
      <c r="M111" s="139">
        <f>'Orig OTHER EQUIP 2183'!N114-'OTHER EQUIP 2183'!M110</f>
        <v>12965.502</v>
      </c>
      <c r="N111" s="139">
        <f t="shared" si="61"/>
        <v>12965.502</v>
      </c>
      <c r="O111" s="139">
        <f t="shared" si="62"/>
        <v>360.15283333333332</v>
      </c>
      <c r="P111" s="139">
        <f t="shared" si="63"/>
        <v>4321.8339999999998</v>
      </c>
      <c r="Q111" s="470">
        <f>+IF(L111&lt;=$N$5,0,IF(K111&gt;$N$4,P111,(O111*F111)))/3</f>
        <v>960.40755555555552</v>
      </c>
      <c r="R111" s="139">
        <f t="shared" si="65"/>
        <v>1920.815111111111</v>
      </c>
      <c r="S111" s="139">
        <f t="shared" si="66"/>
        <v>2881.2226666666666</v>
      </c>
      <c r="T111" s="139">
        <f t="shared" si="67"/>
        <v>10084.279333333334</v>
      </c>
    </row>
    <row r="112" spans="1:20" s="59" customFormat="1">
      <c r="A112" s="59" t="s">
        <v>556</v>
      </c>
      <c r="B112" s="59">
        <v>6047</v>
      </c>
      <c r="C112" s="59" t="s">
        <v>555</v>
      </c>
      <c r="D112" s="59">
        <v>114290</v>
      </c>
      <c r="E112" s="59">
        <v>2011</v>
      </c>
      <c r="F112" s="59">
        <v>5</v>
      </c>
      <c r="G112" s="30">
        <v>0</v>
      </c>
      <c r="I112" s="59" t="s">
        <v>78</v>
      </c>
      <c r="J112" s="59">
        <v>5</v>
      </c>
      <c r="K112" s="59">
        <f t="shared" si="59"/>
        <v>2016</v>
      </c>
      <c r="L112" s="34">
        <f t="shared" si="60"/>
        <v>2016.4166666666667</v>
      </c>
      <c r="M112" s="27">
        <f>'Orig OTHER EQUIP 2183'!P115</f>
        <v>14948.4303</v>
      </c>
      <c r="N112" s="27">
        <f t="shared" si="61"/>
        <v>14948.4303</v>
      </c>
      <c r="O112" s="27">
        <f t="shared" si="62"/>
        <v>249.14050499999999</v>
      </c>
      <c r="P112" s="27">
        <f t="shared" si="63"/>
        <v>2989.68606</v>
      </c>
      <c r="Q112" s="27">
        <f t="shared" si="64"/>
        <v>0</v>
      </c>
      <c r="R112" s="27">
        <f t="shared" si="65"/>
        <v>14948.4303</v>
      </c>
      <c r="S112" s="27">
        <f t="shared" si="66"/>
        <v>14948.4303</v>
      </c>
      <c r="T112" s="27">
        <f t="shared" si="67"/>
        <v>0</v>
      </c>
    </row>
    <row r="113" spans="1:20" s="135" customFormat="1">
      <c r="A113" s="130"/>
      <c r="B113" s="130"/>
      <c r="C113" s="130" t="s">
        <v>709</v>
      </c>
      <c r="D113" s="130"/>
      <c r="E113" s="130">
        <v>2019</v>
      </c>
      <c r="F113" s="130">
        <v>8</v>
      </c>
      <c r="G113" s="132">
        <v>0</v>
      </c>
      <c r="H113" s="130"/>
      <c r="I113" s="130" t="s">
        <v>78</v>
      </c>
      <c r="J113" s="130">
        <f>+IF(J112-$N$4&gt;=3,J112-$N$4,3)</f>
        <v>3</v>
      </c>
      <c r="K113" s="130">
        <f>E113+J113</f>
        <v>2022</v>
      </c>
      <c r="L113" s="138">
        <f t="shared" si="60"/>
        <v>2022.6666666666667</v>
      </c>
      <c r="M113" s="139">
        <f>'Orig OTHER EQUIP 2183'!N115-'OTHER EQUIP 2183'!M112</f>
        <v>7362.6597000000002</v>
      </c>
      <c r="N113" s="139">
        <f t="shared" si="61"/>
        <v>7362.6597000000002</v>
      </c>
      <c r="O113" s="139">
        <f t="shared" si="62"/>
        <v>204.518325</v>
      </c>
      <c r="P113" s="139">
        <f t="shared" si="63"/>
        <v>2454.2199000000001</v>
      </c>
      <c r="Q113" s="470">
        <f>+IF(L113&lt;=$N$5,0,IF(K113&gt;$N$4,P113,(O113*F113)))/3</f>
        <v>545.38220000000001</v>
      </c>
      <c r="R113" s="139">
        <f t="shared" si="65"/>
        <v>1090.7644</v>
      </c>
      <c r="S113" s="139">
        <f t="shared" si="66"/>
        <v>1636.1466</v>
      </c>
      <c r="T113" s="139">
        <f t="shared" si="67"/>
        <v>5726.5131000000001</v>
      </c>
    </row>
    <row r="114" spans="1:20" s="59" customFormat="1">
      <c r="B114" s="59">
        <v>7699</v>
      </c>
      <c r="C114" s="59" t="s">
        <v>582</v>
      </c>
      <c r="D114" s="59">
        <v>128432</v>
      </c>
      <c r="E114" s="59">
        <v>2015</v>
      </c>
      <c r="F114" s="59">
        <v>12</v>
      </c>
      <c r="G114" s="30">
        <v>0</v>
      </c>
      <c r="I114" s="59" t="s">
        <v>78</v>
      </c>
      <c r="J114" s="59">
        <v>9</v>
      </c>
      <c r="K114" s="59">
        <f t="shared" si="59"/>
        <v>2024</v>
      </c>
      <c r="L114" s="34">
        <f t="shared" si="60"/>
        <v>2025</v>
      </c>
      <c r="M114" s="27">
        <v>11848.3</v>
      </c>
      <c r="N114" s="27">
        <f t="shared" si="61"/>
        <v>11848.3</v>
      </c>
      <c r="O114" s="27">
        <f t="shared" si="62"/>
        <v>109.70648148148148</v>
      </c>
      <c r="P114" s="27">
        <f t="shared" si="63"/>
        <v>1316.4777777777776</v>
      </c>
      <c r="Q114" s="27">
        <f t="shared" si="64"/>
        <v>1316.4777777777776</v>
      </c>
      <c r="R114" s="27">
        <f t="shared" si="65"/>
        <v>7898.8666666666659</v>
      </c>
      <c r="S114" s="27">
        <f t="shared" si="66"/>
        <v>9215.3444444444431</v>
      </c>
      <c r="T114" s="27">
        <f t="shared" si="67"/>
        <v>2632.9555555555562</v>
      </c>
    </row>
    <row r="115" spans="1:20" s="59" customFormat="1">
      <c r="B115" s="59">
        <v>6056</v>
      </c>
      <c r="C115" s="59" t="s">
        <v>603</v>
      </c>
      <c r="D115" s="59" t="s">
        <v>604</v>
      </c>
      <c r="E115" s="59">
        <v>2016</v>
      </c>
      <c r="F115" s="59">
        <v>9</v>
      </c>
      <c r="G115" s="30">
        <v>0</v>
      </c>
      <c r="I115" s="59" t="s">
        <v>78</v>
      </c>
      <c r="J115" s="59">
        <v>4</v>
      </c>
      <c r="K115" s="59">
        <f t="shared" si="59"/>
        <v>2020</v>
      </c>
      <c r="L115" s="34">
        <f t="shared" si="60"/>
        <v>2020.75</v>
      </c>
      <c r="M115" s="27">
        <f>29202.25+2673.24</f>
        <v>31875.489999999998</v>
      </c>
      <c r="N115" s="27">
        <f t="shared" si="61"/>
        <v>31875.489999999998</v>
      </c>
      <c r="O115" s="27">
        <f t="shared" si="62"/>
        <v>664.07270833333325</v>
      </c>
      <c r="P115" s="27">
        <f t="shared" si="63"/>
        <v>7968.8724999999995</v>
      </c>
      <c r="Q115" s="27">
        <f t="shared" si="64"/>
        <v>0</v>
      </c>
      <c r="R115" s="27">
        <f t="shared" si="65"/>
        <v>31875.489999999998</v>
      </c>
      <c r="S115" s="27">
        <f t="shared" si="66"/>
        <v>31875.489999999998</v>
      </c>
      <c r="T115" s="27">
        <f t="shared" si="67"/>
        <v>0</v>
      </c>
    </row>
    <row r="116" spans="1:20" s="59" customFormat="1">
      <c r="B116" s="59">
        <v>6058</v>
      </c>
      <c r="C116" s="59" t="s">
        <v>734</v>
      </c>
      <c r="D116" s="59" t="s">
        <v>789</v>
      </c>
      <c r="E116" s="59">
        <v>2018</v>
      </c>
      <c r="F116" s="59">
        <v>10</v>
      </c>
      <c r="G116" s="30">
        <v>0</v>
      </c>
      <c r="I116" s="59" t="s">
        <v>78</v>
      </c>
      <c r="J116" s="59">
        <v>5</v>
      </c>
      <c r="K116" s="59">
        <f t="shared" ref="K116:K122" si="68">E116+J116</f>
        <v>2023</v>
      </c>
      <c r="L116" s="34">
        <f t="shared" ref="L116:L122" si="69">+K116+(F116/12)</f>
        <v>2023.8333333333333</v>
      </c>
      <c r="M116" s="27">
        <f>30633.03+2798.55</f>
        <v>33431.58</v>
      </c>
      <c r="N116" s="27">
        <f t="shared" ref="N116:N121" si="70">M116-M116*G116</f>
        <v>33431.58</v>
      </c>
      <c r="O116" s="27">
        <f t="shared" ref="O116:O121" si="71">N116/J116/12</f>
        <v>557.1930000000001</v>
      </c>
      <c r="P116" s="27">
        <f t="shared" ref="P116:P121" si="72">+O116*12</f>
        <v>6686.3160000000007</v>
      </c>
      <c r="Q116" s="27">
        <f t="shared" ref="Q116:Q121" si="73">+IF(L116&lt;=$N$5,0,IF(K116&gt;$N$4,P116,(O116*F116)))</f>
        <v>6686.3160000000007</v>
      </c>
      <c r="R116" s="27">
        <f t="shared" ref="R116:R121" si="74">+IF(Q116=0,N116,IF($N$3-E116&lt;1,0,(($N$3-E116)*Q116)))</f>
        <v>20058.948000000004</v>
      </c>
      <c r="S116" s="27">
        <f t="shared" ref="S116:S121" si="75">+IF(Q116=0,R116,R116+Q116)</f>
        <v>26745.264000000003</v>
      </c>
      <c r="T116" s="27">
        <f t="shared" ref="T116:T121" si="76">+M116-S116</f>
        <v>6686.3159999999989</v>
      </c>
    </row>
    <row r="117" spans="1:20" s="59" customFormat="1">
      <c r="C117" s="59" t="s">
        <v>790</v>
      </c>
      <c r="D117" s="59">
        <v>204941</v>
      </c>
      <c r="E117" s="59">
        <v>2018</v>
      </c>
      <c r="F117" s="59">
        <v>10</v>
      </c>
      <c r="G117" s="30">
        <v>0</v>
      </c>
      <c r="I117" s="59" t="s">
        <v>78</v>
      </c>
      <c r="J117" s="59">
        <v>5</v>
      </c>
      <c r="K117" s="59">
        <f t="shared" si="68"/>
        <v>2023</v>
      </c>
      <c r="L117" s="34">
        <f t="shared" si="69"/>
        <v>2023.8333333333333</v>
      </c>
      <c r="M117" s="27">
        <v>519.47</v>
      </c>
      <c r="N117" s="27">
        <f t="shared" si="70"/>
        <v>519.47</v>
      </c>
      <c r="O117" s="27">
        <f t="shared" si="71"/>
        <v>8.6578333333333344</v>
      </c>
      <c r="P117" s="27">
        <f t="shared" si="72"/>
        <v>103.89400000000001</v>
      </c>
      <c r="Q117" s="27">
        <f t="shared" si="73"/>
        <v>103.89400000000001</v>
      </c>
      <c r="R117" s="27">
        <f t="shared" si="74"/>
        <v>311.68200000000002</v>
      </c>
      <c r="S117" s="27">
        <f t="shared" si="75"/>
        <v>415.57600000000002</v>
      </c>
      <c r="T117" s="27">
        <f t="shared" si="76"/>
        <v>103.89400000000001</v>
      </c>
    </row>
    <row r="118" spans="1:20" s="59" customFormat="1">
      <c r="C118" s="59" t="s">
        <v>731</v>
      </c>
      <c r="D118" s="59">
        <v>205639</v>
      </c>
      <c r="E118" s="59">
        <v>2018</v>
      </c>
      <c r="F118" s="59">
        <v>11</v>
      </c>
      <c r="G118" s="30">
        <v>0</v>
      </c>
      <c r="I118" s="59" t="s">
        <v>78</v>
      </c>
      <c r="J118" s="59">
        <v>5</v>
      </c>
      <c r="K118" s="59">
        <f t="shared" si="68"/>
        <v>2023</v>
      </c>
      <c r="L118" s="34">
        <f t="shared" si="69"/>
        <v>2023.9166666666667</v>
      </c>
      <c r="M118" s="27">
        <v>796.28</v>
      </c>
      <c r="N118" s="27">
        <f t="shared" si="70"/>
        <v>796.28</v>
      </c>
      <c r="O118" s="27">
        <f t="shared" si="71"/>
        <v>13.271333333333333</v>
      </c>
      <c r="P118" s="27">
        <f t="shared" si="72"/>
        <v>159.256</v>
      </c>
      <c r="Q118" s="27">
        <f t="shared" si="73"/>
        <v>159.256</v>
      </c>
      <c r="R118" s="27">
        <f t="shared" si="74"/>
        <v>477.76800000000003</v>
      </c>
      <c r="S118" s="27">
        <f t="shared" si="75"/>
        <v>637.024</v>
      </c>
      <c r="T118" s="27">
        <f t="shared" si="76"/>
        <v>159.25599999999997</v>
      </c>
    </row>
    <row r="119" spans="1:20" s="56" customFormat="1" ht="15">
      <c r="C119" s="42" t="s">
        <v>794</v>
      </c>
      <c r="D119" s="43">
        <v>193628</v>
      </c>
      <c r="E119" s="56">
        <v>2018</v>
      </c>
      <c r="F119" s="56">
        <v>11</v>
      </c>
      <c r="G119" s="38">
        <v>0</v>
      </c>
      <c r="I119" s="56" t="s">
        <v>78</v>
      </c>
      <c r="J119" s="56">
        <v>3</v>
      </c>
      <c r="K119" s="56">
        <f t="shared" si="68"/>
        <v>2021</v>
      </c>
      <c r="L119" s="39">
        <f t="shared" si="69"/>
        <v>2021.9166666666667</v>
      </c>
      <c r="M119" s="40">
        <v>5500</v>
      </c>
      <c r="N119" s="41">
        <f t="shared" si="70"/>
        <v>5500</v>
      </c>
      <c r="O119" s="41">
        <f t="shared" si="71"/>
        <v>152.77777777777777</v>
      </c>
      <c r="P119" s="41">
        <f t="shared" si="72"/>
        <v>1833.3333333333333</v>
      </c>
      <c r="Q119" s="41">
        <f t="shared" si="73"/>
        <v>0</v>
      </c>
      <c r="R119" s="41">
        <f t="shared" si="74"/>
        <v>5500</v>
      </c>
      <c r="S119" s="41">
        <f t="shared" si="75"/>
        <v>5500</v>
      </c>
      <c r="T119" s="41">
        <f t="shared" si="76"/>
        <v>0</v>
      </c>
    </row>
    <row r="120" spans="1:20" s="56" customFormat="1" ht="15">
      <c r="B120" s="56">
        <v>6060</v>
      </c>
      <c r="C120" s="70" t="s">
        <v>832</v>
      </c>
      <c r="D120" s="43" t="s">
        <v>833</v>
      </c>
      <c r="E120" s="56">
        <v>2019</v>
      </c>
      <c r="F120" s="56">
        <v>9</v>
      </c>
      <c r="G120" s="38">
        <v>0</v>
      </c>
      <c r="I120" s="56" t="s">
        <v>78</v>
      </c>
      <c r="J120" s="56">
        <v>5</v>
      </c>
      <c r="K120" s="56">
        <f t="shared" si="68"/>
        <v>2024</v>
      </c>
      <c r="L120" s="39">
        <f t="shared" si="69"/>
        <v>2024.75</v>
      </c>
      <c r="M120" s="40">
        <f>24177.57+2471.54</f>
        <v>26649.11</v>
      </c>
      <c r="N120" s="41">
        <f t="shared" si="70"/>
        <v>26649.11</v>
      </c>
      <c r="O120" s="41">
        <f t="shared" si="71"/>
        <v>444.15183333333334</v>
      </c>
      <c r="P120" s="41">
        <f t="shared" si="72"/>
        <v>5329.8220000000001</v>
      </c>
      <c r="Q120" s="41">
        <f t="shared" si="73"/>
        <v>5329.8220000000001</v>
      </c>
      <c r="R120" s="41">
        <f t="shared" si="74"/>
        <v>10659.644</v>
      </c>
      <c r="S120" s="41">
        <f t="shared" si="75"/>
        <v>15989.466</v>
      </c>
      <c r="T120" s="41">
        <f t="shared" si="76"/>
        <v>10659.644</v>
      </c>
    </row>
    <row r="121" spans="1:20" s="56" customFormat="1" ht="15">
      <c r="B121" s="56">
        <v>6063</v>
      </c>
      <c r="C121" s="42" t="s">
        <v>847</v>
      </c>
      <c r="D121" s="56" t="s">
        <v>848</v>
      </c>
      <c r="E121" s="56">
        <v>2020</v>
      </c>
      <c r="F121" s="56">
        <v>5</v>
      </c>
      <c r="G121" s="38">
        <v>0</v>
      </c>
      <c r="I121" s="56" t="s">
        <v>78</v>
      </c>
      <c r="J121" s="56">
        <v>5</v>
      </c>
      <c r="K121" s="56">
        <f t="shared" si="68"/>
        <v>2025</v>
      </c>
      <c r="L121" s="39">
        <f t="shared" si="69"/>
        <v>2025.4166666666667</v>
      </c>
      <c r="M121" s="41">
        <f>2570.7+24681.4</f>
        <v>27252.100000000002</v>
      </c>
      <c r="N121" s="41">
        <f t="shared" si="70"/>
        <v>27252.100000000002</v>
      </c>
      <c r="O121" s="41">
        <f t="shared" si="71"/>
        <v>454.20166666666665</v>
      </c>
      <c r="P121" s="41">
        <f t="shared" si="72"/>
        <v>5450.42</v>
      </c>
      <c r="Q121" s="41">
        <f t="shared" si="73"/>
        <v>5450.42</v>
      </c>
      <c r="R121" s="41">
        <f t="shared" si="74"/>
        <v>5450.42</v>
      </c>
      <c r="S121" s="41">
        <f t="shared" si="75"/>
        <v>10900.84</v>
      </c>
      <c r="T121" s="41">
        <f t="shared" si="76"/>
        <v>16351.260000000002</v>
      </c>
    </row>
    <row r="122" spans="1:20" s="56" customFormat="1" ht="15">
      <c r="C122" s="42" t="s">
        <v>871</v>
      </c>
      <c r="D122" s="56">
        <v>240613</v>
      </c>
      <c r="E122" s="56">
        <v>2020</v>
      </c>
      <c r="F122" s="56">
        <v>10</v>
      </c>
      <c r="G122" s="38">
        <v>0</v>
      </c>
      <c r="I122" s="56" t="s">
        <v>78</v>
      </c>
      <c r="J122" s="56">
        <v>5</v>
      </c>
      <c r="K122" s="56">
        <f t="shared" si="68"/>
        <v>2025</v>
      </c>
      <c r="L122" s="39">
        <f t="shared" si="69"/>
        <v>2025.8333333333333</v>
      </c>
      <c r="M122" s="41">
        <v>99074.29</v>
      </c>
      <c r="N122" s="41">
        <f t="shared" ref="N122:N124" si="77">M122-M122*G122</f>
        <v>99074.29</v>
      </c>
      <c r="O122" s="41">
        <f t="shared" ref="O122:O124" si="78">N122/J122/12</f>
        <v>1651.2381666666668</v>
      </c>
      <c r="P122" s="41">
        <f t="shared" ref="P122:P124" si="79">+O122*12</f>
        <v>19814.858</v>
      </c>
      <c r="Q122" s="41">
        <f t="shared" ref="Q122:Q124" si="80">+IF(L122&lt;=$N$5,0,IF(K122&gt;$N$4,P122,(O122*F122)))</f>
        <v>19814.858</v>
      </c>
      <c r="R122" s="41">
        <f t="shared" ref="R122:R124" si="81">+IF(Q122=0,N122,IF($N$3-E122&lt;1,0,(($N$3-E122)*Q122)))</f>
        <v>19814.858</v>
      </c>
      <c r="S122" s="41">
        <f t="shared" ref="S122:S124" si="82">+IF(Q122=0,R122,R122+Q122)</f>
        <v>39629.716</v>
      </c>
      <c r="T122" s="41">
        <f t="shared" ref="T122:T124" si="83">+M122-S122</f>
        <v>59444.573999999993</v>
      </c>
    </row>
    <row r="123" spans="1:20" s="56" customFormat="1" ht="15">
      <c r="C123" s="42" t="s">
        <v>872</v>
      </c>
      <c r="D123" s="56" t="s">
        <v>873</v>
      </c>
      <c r="E123" s="56">
        <v>2020</v>
      </c>
      <c r="F123" s="56">
        <v>10</v>
      </c>
      <c r="G123" s="38">
        <v>0</v>
      </c>
      <c r="I123" s="56" t="s">
        <v>78</v>
      </c>
      <c r="J123" s="56">
        <v>5</v>
      </c>
      <c r="K123" s="56">
        <f t="shared" ref="K123:K124" si="84">E123+J123</f>
        <v>2025</v>
      </c>
      <c r="L123" s="39">
        <f t="shared" ref="L123:L124" si="85">+K123+(F123/12)</f>
        <v>2025.8333333333333</v>
      </c>
      <c r="M123" s="41">
        <v>1148.7</v>
      </c>
      <c r="N123" s="41">
        <f t="shared" si="77"/>
        <v>1148.7</v>
      </c>
      <c r="O123" s="41">
        <f t="shared" si="78"/>
        <v>19.145</v>
      </c>
      <c r="P123" s="41">
        <f t="shared" si="79"/>
        <v>229.74</v>
      </c>
      <c r="Q123" s="41">
        <f t="shared" si="80"/>
        <v>229.74</v>
      </c>
      <c r="R123" s="41">
        <f t="shared" si="81"/>
        <v>229.74</v>
      </c>
      <c r="S123" s="41">
        <f t="shared" si="82"/>
        <v>459.48</v>
      </c>
      <c r="T123" s="41">
        <f t="shared" si="83"/>
        <v>689.22</v>
      </c>
    </row>
    <row r="124" spans="1:20" s="56" customFormat="1" ht="15">
      <c r="C124" s="42" t="s">
        <v>874</v>
      </c>
      <c r="D124" s="56">
        <v>244706</v>
      </c>
      <c r="E124" s="56">
        <v>2020</v>
      </c>
      <c r="F124" s="56">
        <v>12</v>
      </c>
      <c r="G124" s="38">
        <v>0</v>
      </c>
      <c r="I124" s="56" t="s">
        <v>78</v>
      </c>
      <c r="J124" s="56">
        <v>5</v>
      </c>
      <c r="K124" s="56">
        <f t="shared" si="84"/>
        <v>2025</v>
      </c>
      <c r="L124" s="39">
        <f t="shared" si="85"/>
        <v>2026</v>
      </c>
      <c r="M124" s="41">
        <v>675.01</v>
      </c>
      <c r="N124" s="41">
        <f t="shared" si="77"/>
        <v>675.01</v>
      </c>
      <c r="O124" s="41">
        <f t="shared" si="78"/>
        <v>11.250166666666667</v>
      </c>
      <c r="P124" s="41">
        <f t="shared" si="79"/>
        <v>135.00200000000001</v>
      </c>
      <c r="Q124" s="41">
        <f t="shared" si="80"/>
        <v>135.00200000000001</v>
      </c>
      <c r="R124" s="41">
        <f t="shared" si="81"/>
        <v>135.00200000000001</v>
      </c>
      <c r="S124" s="41">
        <f t="shared" si="82"/>
        <v>270.00400000000002</v>
      </c>
      <c r="T124" s="41">
        <f t="shared" si="83"/>
        <v>405.00599999999997</v>
      </c>
    </row>
    <row r="125" spans="1:20" s="59" customFormat="1" ht="15">
      <c r="C125" s="60"/>
      <c r="E125" s="56"/>
      <c r="F125" s="56"/>
      <c r="G125" s="30"/>
      <c r="H125" s="56"/>
      <c r="I125" s="56"/>
      <c r="J125" s="56"/>
      <c r="K125" s="56"/>
      <c r="L125" s="39"/>
      <c r="M125" s="27"/>
      <c r="N125" s="41"/>
      <c r="O125" s="41"/>
      <c r="P125" s="41"/>
      <c r="Q125" s="41"/>
      <c r="R125" s="41"/>
      <c r="S125" s="41"/>
      <c r="T125" s="41"/>
    </row>
    <row r="126" spans="1:20" s="59" customFormat="1">
      <c r="C126" s="51" t="s">
        <v>2</v>
      </c>
      <c r="G126" s="30"/>
      <c r="M126" s="100">
        <f t="shared" ref="M126" si="86">SUM(M108:M125)</f>
        <v>315370.82</v>
      </c>
      <c r="N126" s="100">
        <f t="shared" ref="N126" si="87">SUM(N108:N125)</f>
        <v>315370.82</v>
      </c>
      <c r="O126" s="100">
        <f t="shared" ref="O126" si="88">SUM(O108:O125)</f>
        <v>5643.2092642592597</v>
      </c>
      <c r="P126" s="100">
        <f t="shared" ref="P126" si="89">SUM(P108:P125)</f>
        <v>67718.511171111109</v>
      </c>
      <c r="Q126" s="100">
        <f t="shared" ref="Q126" si="90">SUM(Q108:Q125)</f>
        <v>41098.242200000001</v>
      </c>
      <c r="R126" s="100">
        <f t="shared" ref="R126" si="91">SUM(R108:R125)</f>
        <v>157479.65981111114</v>
      </c>
      <c r="S126" s="100">
        <f t="shared" ref="S126" si="92">SUM(S108:S125)</f>
        <v>198577.90201111109</v>
      </c>
      <c r="T126" s="100">
        <f t="shared" ref="T126" si="93">SUM(T108:T125)</f>
        <v>116792.91798888889</v>
      </c>
    </row>
    <row r="127" spans="1:20" s="59" customFormat="1">
      <c r="C127" s="59" t="s">
        <v>316</v>
      </c>
      <c r="G127" s="30"/>
    </row>
    <row r="128" spans="1:20" s="59" customFormat="1">
      <c r="C128" s="59" t="s">
        <v>316</v>
      </c>
      <c r="G128" s="30"/>
    </row>
    <row r="129" spans="2:20" s="59" customFormat="1">
      <c r="C129" s="51" t="s">
        <v>409</v>
      </c>
      <c r="G129" s="30"/>
    </row>
    <row r="130" spans="2:20" s="59" customFormat="1">
      <c r="C130" s="59" t="s">
        <v>418</v>
      </c>
      <c r="D130" s="59">
        <v>78978</v>
      </c>
      <c r="E130" s="59">
        <v>2010</v>
      </c>
      <c r="F130" s="59">
        <v>12</v>
      </c>
      <c r="G130" s="30">
        <v>0</v>
      </c>
      <c r="I130" s="59" t="s">
        <v>78</v>
      </c>
      <c r="J130" s="59">
        <v>5</v>
      </c>
      <c r="K130" s="59">
        <f t="shared" ref="K130:K142" si="94">E130+J130</f>
        <v>2015</v>
      </c>
      <c r="L130" s="34">
        <f t="shared" ref="L130:L152" si="95">+K130+(F130/12)</f>
        <v>2016</v>
      </c>
      <c r="M130" s="27">
        <v>92323.91</v>
      </c>
      <c r="N130" s="27">
        <f t="shared" ref="N130:N152" si="96">M130-M130*G130</f>
        <v>92323.91</v>
      </c>
      <c r="O130" s="27">
        <f t="shared" ref="O130:O152" si="97">N130/J130/12</f>
        <v>1538.7318333333333</v>
      </c>
      <c r="P130" s="27">
        <f t="shared" ref="P130:P152" si="98">+O130*12</f>
        <v>18464.781999999999</v>
      </c>
      <c r="Q130" s="27">
        <f t="shared" ref="Q130:Q152" si="99">+IF(L130&lt;=$N$5,0,IF(K130&gt;$N$4,P130,(O130*F130)))</f>
        <v>0</v>
      </c>
      <c r="R130" s="27">
        <f t="shared" ref="R130:R152" si="100">+IF(Q130=0,N130,IF($N$3-E130&lt;1,0,(($N$3-E130)*Q130)))</f>
        <v>92323.91</v>
      </c>
      <c r="S130" s="27">
        <f t="shared" ref="S130:S152" si="101">+IF(Q130=0,R130,R130+Q130)</f>
        <v>92323.91</v>
      </c>
      <c r="T130" s="27">
        <f t="shared" ref="T130:T152" si="102">+M130-S130</f>
        <v>0</v>
      </c>
    </row>
    <row r="131" spans="2:20" s="59" customFormat="1">
      <c r="B131" s="59">
        <v>26</v>
      </c>
      <c r="C131" s="59" t="s">
        <v>419</v>
      </c>
      <c r="D131" s="59">
        <v>79676</v>
      </c>
      <c r="E131" s="59">
        <v>2010</v>
      </c>
      <c r="F131" s="59">
        <v>12</v>
      </c>
      <c r="G131" s="30">
        <v>0</v>
      </c>
      <c r="I131" s="59" t="s">
        <v>78</v>
      </c>
      <c r="J131" s="59">
        <v>5</v>
      </c>
      <c r="K131" s="59">
        <f t="shared" si="94"/>
        <v>2015</v>
      </c>
      <c r="L131" s="34">
        <f t="shared" si="95"/>
        <v>2016</v>
      </c>
      <c r="M131" s="27">
        <v>6347.25</v>
      </c>
      <c r="N131" s="27">
        <f t="shared" si="96"/>
        <v>6347.25</v>
      </c>
      <c r="O131" s="27">
        <f t="shared" si="97"/>
        <v>105.78750000000001</v>
      </c>
      <c r="P131" s="27">
        <f t="shared" si="98"/>
        <v>1269.45</v>
      </c>
      <c r="Q131" s="27">
        <f t="shared" si="99"/>
        <v>0</v>
      </c>
      <c r="R131" s="27">
        <f t="shared" si="100"/>
        <v>6347.25</v>
      </c>
      <c r="S131" s="27">
        <f t="shared" si="101"/>
        <v>6347.25</v>
      </c>
      <c r="T131" s="27">
        <f t="shared" si="102"/>
        <v>0</v>
      </c>
    </row>
    <row r="132" spans="2:20" s="59" customFormat="1">
      <c r="C132" s="59" t="s">
        <v>422</v>
      </c>
      <c r="D132" s="59">
        <v>77561</v>
      </c>
      <c r="E132" s="59">
        <v>2010</v>
      </c>
      <c r="F132" s="59">
        <v>10</v>
      </c>
      <c r="G132" s="30">
        <v>0</v>
      </c>
      <c r="I132" s="59" t="s">
        <v>78</v>
      </c>
      <c r="J132" s="59">
        <v>5</v>
      </c>
      <c r="K132" s="59">
        <f t="shared" si="94"/>
        <v>2015</v>
      </c>
      <c r="L132" s="34">
        <f t="shared" si="95"/>
        <v>2015.8333333333333</v>
      </c>
      <c r="M132" s="27">
        <v>20775</v>
      </c>
      <c r="N132" s="27">
        <f t="shared" si="96"/>
        <v>20775</v>
      </c>
      <c r="O132" s="27">
        <f t="shared" si="97"/>
        <v>346.25</v>
      </c>
      <c r="P132" s="27">
        <f t="shared" si="98"/>
        <v>4155</v>
      </c>
      <c r="Q132" s="27">
        <f t="shared" si="99"/>
        <v>0</v>
      </c>
      <c r="R132" s="27">
        <f t="shared" si="100"/>
        <v>20775</v>
      </c>
      <c r="S132" s="27">
        <f t="shared" si="101"/>
        <v>20775</v>
      </c>
      <c r="T132" s="27">
        <f t="shared" si="102"/>
        <v>0</v>
      </c>
    </row>
    <row r="133" spans="2:20" s="59" customFormat="1">
      <c r="B133" s="59">
        <v>3</v>
      </c>
      <c r="C133" s="59" t="s">
        <v>427</v>
      </c>
      <c r="D133" s="59">
        <v>80385</v>
      </c>
      <c r="E133" s="59">
        <v>2011</v>
      </c>
      <c r="F133" s="59">
        <v>3</v>
      </c>
      <c r="G133" s="30">
        <v>0</v>
      </c>
      <c r="I133" s="59" t="s">
        <v>78</v>
      </c>
      <c r="J133" s="59">
        <v>5</v>
      </c>
      <c r="K133" s="59">
        <f t="shared" si="94"/>
        <v>2016</v>
      </c>
      <c r="L133" s="34">
        <f t="shared" si="95"/>
        <v>2016.25</v>
      </c>
      <c r="M133" s="27">
        <v>2625</v>
      </c>
      <c r="N133" s="27">
        <f t="shared" si="96"/>
        <v>2625</v>
      </c>
      <c r="O133" s="27">
        <f t="shared" si="97"/>
        <v>43.75</v>
      </c>
      <c r="P133" s="27">
        <f t="shared" si="98"/>
        <v>525</v>
      </c>
      <c r="Q133" s="27">
        <f t="shared" si="99"/>
        <v>0</v>
      </c>
      <c r="R133" s="27">
        <f t="shared" si="100"/>
        <v>2625</v>
      </c>
      <c r="S133" s="27">
        <f t="shared" si="101"/>
        <v>2625</v>
      </c>
      <c r="T133" s="27">
        <f t="shared" si="102"/>
        <v>0</v>
      </c>
    </row>
    <row r="134" spans="2:20">
      <c r="B134">
        <v>2</v>
      </c>
      <c r="C134" t="s">
        <v>427</v>
      </c>
      <c r="D134">
        <v>85655</v>
      </c>
      <c r="E134">
        <v>2011</v>
      </c>
      <c r="F134">
        <v>8</v>
      </c>
      <c r="G134" s="7">
        <v>0</v>
      </c>
      <c r="I134" t="s">
        <v>78</v>
      </c>
      <c r="J134">
        <v>5</v>
      </c>
      <c r="K134">
        <f t="shared" si="94"/>
        <v>2016</v>
      </c>
      <c r="L134" s="4">
        <f t="shared" si="95"/>
        <v>2016.6666666666667</v>
      </c>
      <c r="M134" s="1">
        <v>1750</v>
      </c>
      <c r="N134" s="1">
        <f t="shared" si="96"/>
        <v>1750</v>
      </c>
      <c r="O134" s="1">
        <f t="shared" si="97"/>
        <v>29.166666666666668</v>
      </c>
      <c r="P134" s="1">
        <f t="shared" si="98"/>
        <v>350</v>
      </c>
      <c r="Q134" s="1">
        <f t="shared" si="99"/>
        <v>0</v>
      </c>
      <c r="R134" s="1">
        <f t="shared" si="100"/>
        <v>1750</v>
      </c>
      <c r="S134" s="1">
        <f t="shared" si="101"/>
        <v>1750</v>
      </c>
      <c r="T134" s="1">
        <f t="shared" si="102"/>
        <v>0</v>
      </c>
    </row>
    <row r="135" spans="2:20">
      <c r="B135">
        <v>3</v>
      </c>
      <c r="C135" t="s">
        <v>427</v>
      </c>
      <c r="D135">
        <v>88651</v>
      </c>
      <c r="E135">
        <v>2011</v>
      </c>
      <c r="F135">
        <v>12</v>
      </c>
      <c r="G135" s="7">
        <v>0</v>
      </c>
      <c r="I135" t="s">
        <v>78</v>
      </c>
      <c r="J135">
        <v>5</v>
      </c>
      <c r="K135">
        <f>E135+J135</f>
        <v>2016</v>
      </c>
      <c r="L135" s="4">
        <f t="shared" si="95"/>
        <v>2017</v>
      </c>
      <c r="M135" s="1">
        <v>2625</v>
      </c>
      <c r="N135" s="1">
        <f t="shared" si="96"/>
        <v>2625</v>
      </c>
      <c r="O135" s="1">
        <f t="shared" si="97"/>
        <v>43.75</v>
      </c>
      <c r="P135" s="1">
        <f t="shared" si="98"/>
        <v>525</v>
      </c>
      <c r="Q135" s="1">
        <f t="shared" si="99"/>
        <v>0</v>
      </c>
      <c r="R135" s="1">
        <f t="shared" si="100"/>
        <v>2625</v>
      </c>
      <c r="S135" s="1">
        <f t="shared" si="101"/>
        <v>2625</v>
      </c>
      <c r="T135" s="1">
        <f t="shared" si="102"/>
        <v>0</v>
      </c>
    </row>
    <row r="136" spans="2:20">
      <c r="B136">
        <v>12</v>
      </c>
      <c r="C136" t="s">
        <v>434</v>
      </c>
      <c r="D136" t="s">
        <v>435</v>
      </c>
      <c r="E136">
        <v>2011</v>
      </c>
      <c r="F136">
        <v>12</v>
      </c>
      <c r="G136" s="7">
        <v>0</v>
      </c>
      <c r="I136" t="s">
        <v>78</v>
      </c>
      <c r="J136">
        <v>5</v>
      </c>
      <c r="K136">
        <f t="shared" si="94"/>
        <v>2016</v>
      </c>
      <c r="L136" s="4">
        <f t="shared" si="95"/>
        <v>2017</v>
      </c>
      <c r="M136" s="1">
        <f>(487.65*12)+61493.04</f>
        <v>67344.84</v>
      </c>
      <c r="N136" s="1">
        <f t="shared" si="96"/>
        <v>67344.84</v>
      </c>
      <c r="O136" s="1">
        <f t="shared" si="97"/>
        <v>1122.414</v>
      </c>
      <c r="P136" s="1">
        <f t="shared" si="98"/>
        <v>13468.968000000001</v>
      </c>
      <c r="Q136" s="1">
        <f t="shared" si="99"/>
        <v>0</v>
      </c>
      <c r="R136" s="1">
        <f t="shared" si="100"/>
        <v>67344.84</v>
      </c>
      <c r="S136" s="1">
        <f t="shared" si="101"/>
        <v>67344.84</v>
      </c>
      <c r="T136" s="1">
        <f t="shared" si="102"/>
        <v>0</v>
      </c>
    </row>
    <row r="137" spans="2:20">
      <c r="C137" t="s">
        <v>442</v>
      </c>
      <c r="D137">
        <v>90470</v>
      </c>
      <c r="E137">
        <v>2012</v>
      </c>
      <c r="F137">
        <v>1</v>
      </c>
      <c r="G137" s="7">
        <v>0</v>
      </c>
      <c r="I137" t="s">
        <v>78</v>
      </c>
      <c r="J137">
        <v>5</v>
      </c>
      <c r="K137">
        <f t="shared" si="94"/>
        <v>2017</v>
      </c>
      <c r="L137" s="4">
        <f t="shared" si="95"/>
        <v>2017.0833333333333</v>
      </c>
      <c r="M137" s="1">
        <v>561.34</v>
      </c>
      <c r="N137" s="1">
        <f t="shared" si="96"/>
        <v>561.34</v>
      </c>
      <c r="O137" s="1">
        <f t="shared" si="97"/>
        <v>9.3556666666666661</v>
      </c>
      <c r="P137" s="1">
        <f t="shared" si="98"/>
        <v>112.268</v>
      </c>
      <c r="Q137" s="1">
        <f t="shared" si="99"/>
        <v>0</v>
      </c>
      <c r="R137" s="1">
        <f t="shared" si="100"/>
        <v>561.34</v>
      </c>
      <c r="S137" s="1">
        <f t="shared" si="101"/>
        <v>561.34</v>
      </c>
      <c r="T137" s="1">
        <f t="shared" si="102"/>
        <v>0</v>
      </c>
    </row>
    <row r="138" spans="2:20">
      <c r="B138">
        <v>3</v>
      </c>
      <c r="C138" t="s">
        <v>471</v>
      </c>
      <c r="D138">
        <v>98282</v>
      </c>
      <c r="E138">
        <v>2012</v>
      </c>
      <c r="F138">
        <v>10</v>
      </c>
      <c r="G138" s="7">
        <v>0</v>
      </c>
      <c r="I138" t="s">
        <v>78</v>
      </c>
      <c r="J138">
        <v>3</v>
      </c>
      <c r="K138">
        <f t="shared" si="94"/>
        <v>2015</v>
      </c>
      <c r="L138" s="4">
        <f t="shared" si="95"/>
        <v>2015.8333333333333</v>
      </c>
      <c r="M138" s="1">
        <v>2625</v>
      </c>
      <c r="N138" s="1">
        <f t="shared" si="96"/>
        <v>2625</v>
      </c>
      <c r="O138" s="1">
        <f t="shared" si="97"/>
        <v>72.916666666666671</v>
      </c>
      <c r="P138" s="1">
        <f t="shared" si="98"/>
        <v>875</v>
      </c>
      <c r="Q138" s="1">
        <f t="shared" si="99"/>
        <v>0</v>
      </c>
      <c r="R138" s="1">
        <f t="shared" si="100"/>
        <v>2625</v>
      </c>
      <c r="S138" s="1">
        <f t="shared" si="101"/>
        <v>2625</v>
      </c>
      <c r="T138" s="1">
        <f t="shared" si="102"/>
        <v>0</v>
      </c>
    </row>
    <row r="139" spans="2:20">
      <c r="C139" t="s">
        <v>472</v>
      </c>
      <c r="D139">
        <v>99673</v>
      </c>
      <c r="E139">
        <v>2012</v>
      </c>
      <c r="F139">
        <v>12</v>
      </c>
      <c r="G139" s="7">
        <v>0</v>
      </c>
      <c r="I139" t="s">
        <v>78</v>
      </c>
      <c r="J139">
        <v>10</v>
      </c>
      <c r="K139">
        <f t="shared" si="94"/>
        <v>2022</v>
      </c>
      <c r="L139" s="4">
        <f t="shared" si="95"/>
        <v>2023</v>
      </c>
      <c r="M139" s="1">
        <v>9416</v>
      </c>
      <c r="N139" s="1">
        <f t="shared" si="96"/>
        <v>9416</v>
      </c>
      <c r="O139" s="1">
        <f t="shared" si="97"/>
        <v>78.466666666666669</v>
      </c>
      <c r="P139" s="1">
        <f t="shared" si="98"/>
        <v>941.6</v>
      </c>
      <c r="Q139" s="1">
        <f t="shared" si="99"/>
        <v>941.6</v>
      </c>
      <c r="R139" s="1">
        <f t="shared" si="100"/>
        <v>8474.4</v>
      </c>
      <c r="S139" s="1">
        <f t="shared" si="101"/>
        <v>9416</v>
      </c>
      <c r="T139" s="1">
        <f t="shared" si="102"/>
        <v>0</v>
      </c>
    </row>
    <row r="140" spans="2:20">
      <c r="C140" t="s">
        <v>486</v>
      </c>
      <c r="D140">
        <v>108250</v>
      </c>
      <c r="E140">
        <v>2013</v>
      </c>
      <c r="F140">
        <v>10</v>
      </c>
      <c r="G140" s="7">
        <v>0</v>
      </c>
      <c r="I140" t="s">
        <v>78</v>
      </c>
      <c r="J140">
        <v>3</v>
      </c>
      <c r="K140">
        <f t="shared" si="94"/>
        <v>2016</v>
      </c>
      <c r="L140" s="4">
        <f t="shared" si="95"/>
        <v>2016.8333333333333</v>
      </c>
      <c r="M140" s="1">
        <v>743.47</v>
      </c>
      <c r="N140" s="1">
        <f t="shared" si="96"/>
        <v>743.47</v>
      </c>
      <c r="O140" s="1">
        <f t="shared" si="97"/>
        <v>20.651944444444446</v>
      </c>
      <c r="P140" s="1">
        <f t="shared" si="98"/>
        <v>247.82333333333335</v>
      </c>
      <c r="Q140" s="1">
        <f t="shared" si="99"/>
        <v>0</v>
      </c>
      <c r="R140" s="1">
        <f t="shared" si="100"/>
        <v>743.47</v>
      </c>
      <c r="S140" s="1">
        <f t="shared" si="101"/>
        <v>743.47</v>
      </c>
      <c r="T140" s="1">
        <f t="shared" si="102"/>
        <v>0</v>
      </c>
    </row>
    <row r="141" spans="2:20">
      <c r="B141">
        <v>3</v>
      </c>
      <c r="C141" t="s">
        <v>489</v>
      </c>
      <c r="D141">
        <v>109582</v>
      </c>
      <c r="E141">
        <v>2013</v>
      </c>
      <c r="F141">
        <v>12</v>
      </c>
      <c r="G141" s="7">
        <v>0</v>
      </c>
      <c r="I141" t="s">
        <v>78</v>
      </c>
      <c r="J141">
        <v>3</v>
      </c>
      <c r="K141">
        <f t="shared" si="94"/>
        <v>2016</v>
      </c>
      <c r="L141" s="4">
        <f t="shared" si="95"/>
        <v>2017</v>
      </c>
      <c r="M141" s="1">
        <v>134875</v>
      </c>
      <c r="N141" s="1">
        <f t="shared" si="96"/>
        <v>134875</v>
      </c>
      <c r="O141" s="1">
        <f t="shared" si="97"/>
        <v>3746.5277777777778</v>
      </c>
      <c r="P141" s="1">
        <f t="shared" si="98"/>
        <v>44958.333333333336</v>
      </c>
      <c r="Q141" s="1">
        <f t="shared" si="99"/>
        <v>0</v>
      </c>
      <c r="R141" s="1">
        <f t="shared" si="100"/>
        <v>134875</v>
      </c>
      <c r="S141" s="1">
        <f t="shared" si="101"/>
        <v>134875</v>
      </c>
      <c r="T141" s="1">
        <f t="shared" si="102"/>
        <v>0</v>
      </c>
    </row>
    <row r="142" spans="2:20">
      <c r="C142" t="s">
        <v>502</v>
      </c>
      <c r="D142">
        <v>113272</v>
      </c>
      <c r="E142">
        <v>2014</v>
      </c>
      <c r="F142">
        <v>4</v>
      </c>
      <c r="G142" s="7">
        <v>0</v>
      </c>
      <c r="I142" t="s">
        <v>78</v>
      </c>
      <c r="J142">
        <v>3</v>
      </c>
      <c r="K142">
        <f t="shared" si="94"/>
        <v>2017</v>
      </c>
      <c r="L142" s="4">
        <f t="shared" si="95"/>
        <v>2017.3333333333333</v>
      </c>
      <c r="M142" s="1">
        <v>656.58</v>
      </c>
      <c r="N142" s="1">
        <f t="shared" si="96"/>
        <v>656.58</v>
      </c>
      <c r="O142" s="1">
        <f t="shared" si="97"/>
        <v>18.238333333333333</v>
      </c>
      <c r="P142" s="1">
        <f t="shared" si="98"/>
        <v>218.86</v>
      </c>
      <c r="Q142" s="1">
        <f t="shared" si="99"/>
        <v>0</v>
      </c>
      <c r="R142" s="1">
        <f t="shared" si="100"/>
        <v>656.58</v>
      </c>
      <c r="S142" s="1">
        <f t="shared" si="101"/>
        <v>656.58</v>
      </c>
      <c r="T142" s="1">
        <f t="shared" si="102"/>
        <v>0</v>
      </c>
    </row>
    <row r="143" spans="2:20">
      <c r="C143" t="s">
        <v>572</v>
      </c>
      <c r="D143">
        <v>121103</v>
      </c>
      <c r="E143">
        <v>2015</v>
      </c>
      <c r="F143">
        <v>3</v>
      </c>
      <c r="G143" s="7">
        <v>0</v>
      </c>
      <c r="I143" t="s">
        <v>78</v>
      </c>
      <c r="J143">
        <v>3</v>
      </c>
      <c r="K143">
        <f t="shared" ref="K143:K152" si="103">E143+J143</f>
        <v>2018</v>
      </c>
      <c r="L143" s="4">
        <f t="shared" si="95"/>
        <v>2018.25</v>
      </c>
      <c r="M143" s="1">
        <v>1077.07</v>
      </c>
      <c r="N143" s="1">
        <f t="shared" si="96"/>
        <v>1077.07</v>
      </c>
      <c r="O143" s="1">
        <f t="shared" si="97"/>
        <v>29.918611111111108</v>
      </c>
      <c r="P143" s="1">
        <f t="shared" si="98"/>
        <v>359.02333333333331</v>
      </c>
      <c r="Q143" s="1">
        <f t="shared" si="99"/>
        <v>0</v>
      </c>
      <c r="R143" s="1">
        <f t="shared" si="100"/>
        <v>1077.07</v>
      </c>
      <c r="S143" s="1">
        <f t="shared" si="101"/>
        <v>1077.07</v>
      </c>
      <c r="T143" s="1">
        <f t="shared" si="102"/>
        <v>0</v>
      </c>
    </row>
    <row r="144" spans="2:20">
      <c r="C144" t="s">
        <v>573</v>
      </c>
      <c r="D144">
        <v>121057</v>
      </c>
      <c r="E144">
        <v>2015</v>
      </c>
      <c r="F144">
        <v>3</v>
      </c>
      <c r="G144" s="7">
        <v>0</v>
      </c>
      <c r="I144" t="s">
        <v>78</v>
      </c>
      <c r="J144">
        <v>3</v>
      </c>
      <c r="K144">
        <f t="shared" si="103"/>
        <v>2018</v>
      </c>
      <c r="L144" s="4">
        <f t="shared" si="95"/>
        <v>2018.25</v>
      </c>
      <c r="M144" s="1">
        <v>1088.46</v>
      </c>
      <c r="N144" s="1">
        <f t="shared" si="96"/>
        <v>1088.46</v>
      </c>
      <c r="O144" s="1">
        <f t="shared" si="97"/>
        <v>30.234999999999999</v>
      </c>
      <c r="P144" s="1">
        <f t="shared" si="98"/>
        <v>362.82</v>
      </c>
      <c r="Q144" s="1">
        <f t="shared" si="99"/>
        <v>0</v>
      </c>
      <c r="R144" s="1">
        <f t="shared" si="100"/>
        <v>1088.46</v>
      </c>
      <c r="S144" s="1">
        <f t="shared" si="101"/>
        <v>1088.46</v>
      </c>
      <c r="T144" s="1">
        <f t="shared" si="102"/>
        <v>0</v>
      </c>
    </row>
    <row r="145" spans="1:20">
      <c r="C145" t="s">
        <v>574</v>
      </c>
      <c r="D145">
        <v>121056</v>
      </c>
      <c r="E145">
        <v>2015</v>
      </c>
      <c r="F145">
        <v>3</v>
      </c>
      <c r="G145" s="7">
        <v>0</v>
      </c>
      <c r="I145" t="s">
        <v>78</v>
      </c>
      <c r="J145">
        <v>3</v>
      </c>
      <c r="K145">
        <f t="shared" si="103"/>
        <v>2018</v>
      </c>
      <c r="L145" s="4">
        <f t="shared" si="95"/>
        <v>2018.25</v>
      </c>
      <c r="M145" s="1">
        <v>2903.73</v>
      </c>
      <c r="N145" s="1">
        <f t="shared" si="96"/>
        <v>2903.73</v>
      </c>
      <c r="O145" s="1">
        <f t="shared" si="97"/>
        <v>80.659166666666664</v>
      </c>
      <c r="P145" s="1">
        <f t="shared" si="98"/>
        <v>967.91</v>
      </c>
      <c r="Q145" s="1">
        <f t="shared" si="99"/>
        <v>0</v>
      </c>
      <c r="R145" s="1">
        <f t="shared" si="100"/>
        <v>2903.73</v>
      </c>
      <c r="S145" s="1">
        <f t="shared" si="101"/>
        <v>2903.73</v>
      </c>
      <c r="T145" s="1">
        <f t="shared" si="102"/>
        <v>0</v>
      </c>
    </row>
    <row r="146" spans="1:20">
      <c r="B146">
        <v>17</v>
      </c>
      <c r="C146" t="s">
        <v>575</v>
      </c>
      <c r="D146">
        <v>121055</v>
      </c>
      <c r="E146">
        <v>2015</v>
      </c>
      <c r="F146">
        <v>3</v>
      </c>
      <c r="G146" s="7">
        <v>0</v>
      </c>
      <c r="I146" t="s">
        <v>78</v>
      </c>
      <c r="J146">
        <v>3</v>
      </c>
      <c r="K146">
        <f t="shared" si="103"/>
        <v>2018</v>
      </c>
      <c r="L146" s="4">
        <f t="shared" si="95"/>
        <v>2018.25</v>
      </c>
      <c r="M146" s="1">
        <v>6120.34</v>
      </c>
      <c r="N146" s="1">
        <f t="shared" si="96"/>
        <v>6120.34</v>
      </c>
      <c r="O146" s="1">
        <f t="shared" si="97"/>
        <v>170.00944444444445</v>
      </c>
      <c r="P146" s="1">
        <f t="shared" si="98"/>
        <v>2040.1133333333335</v>
      </c>
      <c r="Q146" s="1">
        <f t="shared" si="99"/>
        <v>0</v>
      </c>
      <c r="R146" s="1">
        <f t="shared" si="100"/>
        <v>6120.34</v>
      </c>
      <c r="S146" s="1">
        <f t="shared" si="101"/>
        <v>6120.34</v>
      </c>
      <c r="T146" s="1">
        <f t="shared" si="102"/>
        <v>0</v>
      </c>
    </row>
    <row r="147" spans="1:20">
      <c r="C147" t="s">
        <v>576</v>
      </c>
      <c r="D147">
        <v>120388</v>
      </c>
      <c r="E147">
        <v>2015</v>
      </c>
      <c r="F147">
        <v>2</v>
      </c>
      <c r="G147" s="7">
        <v>0</v>
      </c>
      <c r="I147" t="s">
        <v>78</v>
      </c>
      <c r="J147">
        <v>3</v>
      </c>
      <c r="K147">
        <f t="shared" si="103"/>
        <v>2018</v>
      </c>
      <c r="L147" s="4">
        <f t="shared" si="95"/>
        <v>2018.1666666666667</v>
      </c>
      <c r="M147" s="1">
        <v>1090.0999999999999</v>
      </c>
      <c r="N147" s="1">
        <f t="shared" si="96"/>
        <v>1090.0999999999999</v>
      </c>
      <c r="O147" s="1">
        <f t="shared" si="97"/>
        <v>30.280555555555551</v>
      </c>
      <c r="P147" s="1">
        <f t="shared" si="98"/>
        <v>363.36666666666662</v>
      </c>
      <c r="Q147" s="1">
        <f t="shared" si="99"/>
        <v>0</v>
      </c>
      <c r="R147" s="1">
        <f t="shared" si="100"/>
        <v>1090.0999999999999</v>
      </c>
      <c r="S147" s="1">
        <f t="shared" si="101"/>
        <v>1090.0999999999999</v>
      </c>
      <c r="T147" s="1">
        <f t="shared" si="102"/>
        <v>0</v>
      </c>
    </row>
    <row r="148" spans="1:20">
      <c r="C148" t="s">
        <v>585</v>
      </c>
      <c r="D148">
        <v>128910</v>
      </c>
      <c r="E148">
        <v>2015</v>
      </c>
      <c r="F148">
        <v>12</v>
      </c>
      <c r="G148" s="7">
        <v>0</v>
      </c>
      <c r="I148" t="s">
        <v>78</v>
      </c>
      <c r="J148">
        <v>3</v>
      </c>
      <c r="K148">
        <f t="shared" si="103"/>
        <v>2018</v>
      </c>
      <c r="L148" s="4">
        <f t="shared" si="95"/>
        <v>2019</v>
      </c>
      <c r="M148" s="1">
        <v>1087.92</v>
      </c>
      <c r="N148" s="1">
        <f t="shared" si="96"/>
        <v>1087.92</v>
      </c>
      <c r="O148" s="1">
        <f t="shared" si="97"/>
        <v>30.220000000000002</v>
      </c>
      <c r="P148" s="1">
        <f t="shared" si="98"/>
        <v>362.64000000000004</v>
      </c>
      <c r="Q148" s="1">
        <f t="shared" si="99"/>
        <v>0</v>
      </c>
      <c r="R148" s="1">
        <f t="shared" si="100"/>
        <v>1087.92</v>
      </c>
      <c r="S148" s="1">
        <f t="shared" si="101"/>
        <v>1087.92</v>
      </c>
      <c r="T148" s="1">
        <f t="shared" si="102"/>
        <v>0</v>
      </c>
    </row>
    <row r="149" spans="1:20">
      <c r="C149" t="s">
        <v>594</v>
      </c>
      <c r="D149">
        <v>133138</v>
      </c>
      <c r="E149">
        <v>2016</v>
      </c>
      <c r="F149">
        <v>2</v>
      </c>
      <c r="G149" s="7">
        <v>0</v>
      </c>
      <c r="I149" t="s">
        <v>78</v>
      </c>
      <c r="J149">
        <v>3</v>
      </c>
      <c r="K149">
        <f t="shared" si="103"/>
        <v>2019</v>
      </c>
      <c r="L149" s="4">
        <f t="shared" si="95"/>
        <v>2019.1666666666667</v>
      </c>
      <c r="M149" s="1">
        <v>1045.18</v>
      </c>
      <c r="N149" s="1">
        <f t="shared" si="96"/>
        <v>1045.18</v>
      </c>
      <c r="O149" s="1">
        <f t="shared" si="97"/>
        <v>29.032777777777781</v>
      </c>
      <c r="P149" s="1">
        <f t="shared" si="98"/>
        <v>348.39333333333337</v>
      </c>
      <c r="Q149" s="1">
        <f t="shared" si="99"/>
        <v>0</v>
      </c>
      <c r="R149" s="1">
        <f t="shared" si="100"/>
        <v>1045.18</v>
      </c>
      <c r="S149" s="1">
        <f t="shared" si="101"/>
        <v>1045.18</v>
      </c>
      <c r="T149" s="1">
        <f t="shared" si="102"/>
        <v>0</v>
      </c>
    </row>
    <row r="150" spans="1:20">
      <c r="B150">
        <v>1</v>
      </c>
      <c r="C150" t="s">
        <v>646</v>
      </c>
      <c r="D150">
        <v>191901</v>
      </c>
      <c r="E150">
        <v>2018</v>
      </c>
      <c r="F150">
        <v>1</v>
      </c>
      <c r="G150" s="7">
        <v>0</v>
      </c>
      <c r="I150" t="s">
        <v>78</v>
      </c>
      <c r="J150">
        <v>3</v>
      </c>
      <c r="K150">
        <f t="shared" si="103"/>
        <v>2021</v>
      </c>
      <c r="L150" s="4">
        <f t="shared" si="95"/>
        <v>2021.0833333333333</v>
      </c>
      <c r="M150" s="1">
        <v>1306.96</v>
      </c>
      <c r="N150" s="1">
        <f t="shared" si="96"/>
        <v>1306.96</v>
      </c>
      <c r="O150" s="1">
        <f t="shared" si="97"/>
        <v>36.304444444444449</v>
      </c>
      <c r="P150" s="1">
        <f t="shared" si="98"/>
        <v>435.65333333333342</v>
      </c>
      <c r="Q150" s="1">
        <f t="shared" si="99"/>
        <v>0</v>
      </c>
      <c r="R150" s="1">
        <f t="shared" si="100"/>
        <v>1306.96</v>
      </c>
      <c r="S150" s="1">
        <f t="shared" si="101"/>
        <v>1306.96</v>
      </c>
      <c r="T150" s="1">
        <f t="shared" si="102"/>
        <v>0</v>
      </c>
    </row>
    <row r="151" spans="1:20" s="59" customFormat="1">
      <c r="C151" s="56" t="s">
        <v>799</v>
      </c>
      <c r="D151" s="59">
        <v>211617</v>
      </c>
      <c r="E151" s="59">
        <v>2019</v>
      </c>
      <c r="F151" s="59">
        <v>2</v>
      </c>
      <c r="G151" s="30">
        <v>0</v>
      </c>
      <c r="I151" s="56" t="s">
        <v>78</v>
      </c>
      <c r="J151" s="56">
        <v>3</v>
      </c>
      <c r="K151" s="59">
        <f t="shared" si="103"/>
        <v>2022</v>
      </c>
      <c r="L151" s="34">
        <f t="shared" si="95"/>
        <v>2022.1666666666667</v>
      </c>
      <c r="M151" s="27">
        <v>1365.69</v>
      </c>
      <c r="N151" s="27">
        <f t="shared" si="96"/>
        <v>1365.69</v>
      </c>
      <c r="O151" s="27">
        <f t="shared" si="97"/>
        <v>37.935833333333335</v>
      </c>
      <c r="P151" s="27">
        <f t="shared" si="98"/>
        <v>455.23</v>
      </c>
      <c r="Q151" s="27">
        <f t="shared" si="99"/>
        <v>0</v>
      </c>
      <c r="R151" s="27">
        <f t="shared" si="100"/>
        <v>1365.69</v>
      </c>
      <c r="S151" s="27">
        <f t="shared" si="101"/>
        <v>1365.69</v>
      </c>
      <c r="T151" s="27">
        <f t="shared" si="102"/>
        <v>0</v>
      </c>
    </row>
    <row r="152" spans="1:20" s="59" customFormat="1">
      <c r="C152" s="56" t="s">
        <v>870</v>
      </c>
      <c r="D152" s="59">
        <v>229180</v>
      </c>
      <c r="E152" s="59">
        <v>2020</v>
      </c>
      <c r="F152" s="59">
        <v>2</v>
      </c>
      <c r="G152" s="30">
        <v>0</v>
      </c>
      <c r="I152" s="56" t="s">
        <v>78</v>
      </c>
      <c r="J152" s="56">
        <v>3</v>
      </c>
      <c r="K152" s="59">
        <f t="shared" si="103"/>
        <v>2023</v>
      </c>
      <c r="L152" s="34">
        <f t="shared" si="95"/>
        <v>2023.1666666666667</v>
      </c>
      <c r="M152" s="27">
        <v>893.55</v>
      </c>
      <c r="N152" s="27">
        <f t="shared" si="96"/>
        <v>893.55</v>
      </c>
      <c r="O152" s="27">
        <f t="shared" si="97"/>
        <v>24.820833333333329</v>
      </c>
      <c r="P152" s="27">
        <f t="shared" si="98"/>
        <v>297.84999999999997</v>
      </c>
      <c r="Q152" s="27">
        <f t="shared" si="99"/>
        <v>297.84999999999997</v>
      </c>
      <c r="R152" s="27">
        <f t="shared" si="100"/>
        <v>297.84999999999997</v>
      </c>
      <c r="S152" s="27">
        <f t="shared" si="101"/>
        <v>595.69999999999993</v>
      </c>
      <c r="T152" s="27">
        <f t="shared" si="102"/>
        <v>297.85000000000002</v>
      </c>
    </row>
    <row r="154" spans="1:20">
      <c r="C154" s="2" t="s">
        <v>410</v>
      </c>
      <c r="M154" s="6">
        <f t="shared" ref="M154:T154" si="104">SUM(M130:M153)</f>
        <v>360647.39</v>
      </c>
      <c r="N154" s="6">
        <f t="shared" si="104"/>
        <v>360647.39</v>
      </c>
      <c r="O154" s="6">
        <f t="shared" si="104"/>
        <v>7675.42372222222</v>
      </c>
      <c r="P154" s="6">
        <f t="shared" si="104"/>
        <v>92105.084666666662</v>
      </c>
      <c r="Q154" s="6">
        <f t="shared" si="104"/>
        <v>1239.45</v>
      </c>
      <c r="R154" s="6">
        <f t="shared" si="104"/>
        <v>359110.08999999997</v>
      </c>
      <c r="S154" s="6">
        <f t="shared" si="104"/>
        <v>360349.54000000004</v>
      </c>
      <c r="T154" s="6">
        <f t="shared" si="104"/>
        <v>297.85000000000002</v>
      </c>
    </row>
    <row r="155" spans="1:20">
      <c r="A155" s="44"/>
      <c r="B155" s="44"/>
      <c r="C155" s="2"/>
      <c r="D155" s="44"/>
      <c r="E155" s="44"/>
      <c r="F155" s="44"/>
      <c r="H155" s="44"/>
      <c r="I155" s="44"/>
      <c r="J155" s="44"/>
      <c r="K155" s="44"/>
      <c r="L155" s="44"/>
      <c r="M155" s="21"/>
      <c r="N155" s="21"/>
      <c r="O155" s="21"/>
      <c r="P155" s="21"/>
      <c r="Q155" s="21"/>
      <c r="R155" s="21"/>
      <c r="S155" s="21"/>
      <c r="T155" s="21"/>
    </row>
    <row r="156" spans="1:20">
      <c r="A156" s="44"/>
      <c r="B156" s="44"/>
      <c r="C156" s="2" t="s">
        <v>805</v>
      </c>
      <c r="D156" s="44"/>
      <c r="E156" s="44"/>
      <c r="F156" s="44"/>
      <c r="H156" s="44"/>
      <c r="I156" s="44"/>
      <c r="J156" s="44"/>
      <c r="K156" s="44"/>
      <c r="L156" s="44"/>
      <c r="M156" s="21"/>
      <c r="N156" s="21"/>
      <c r="O156" s="21"/>
      <c r="P156" s="21"/>
      <c r="Q156" s="21"/>
      <c r="R156" s="21"/>
      <c r="S156" s="21"/>
      <c r="T156" s="21"/>
    </row>
    <row r="157" spans="1:20">
      <c r="C157" t="s">
        <v>19</v>
      </c>
      <c r="E157">
        <v>2000</v>
      </c>
      <c r="F157">
        <v>7</v>
      </c>
      <c r="G157" s="7">
        <v>0</v>
      </c>
      <c r="I157" t="s">
        <v>78</v>
      </c>
      <c r="J157" t="s">
        <v>10</v>
      </c>
      <c r="K157">
        <f>E157+J157</f>
        <v>2039</v>
      </c>
      <c r="L157" s="4">
        <f>+K157+(F157/12)</f>
        <v>2039.5833333333333</v>
      </c>
      <c r="M157" s="1">
        <v>1278030.99</v>
      </c>
      <c r="N157" s="1">
        <f>M157-M157*G157</f>
        <v>1278030.99</v>
      </c>
      <c r="O157" s="1">
        <f>N157/J157/12</f>
        <v>2730.835448717949</v>
      </c>
      <c r="P157" s="1">
        <f>+O157*12</f>
        <v>32770.025384615386</v>
      </c>
      <c r="Q157" s="1">
        <f>+IF(L157&lt;=$N$5,0,IF(K157&gt;$N$4,P157,(O157*F157)))</f>
        <v>32770.025384615386</v>
      </c>
      <c r="R157" s="1">
        <f>+IF(Q157=0,N157,IF($N$3-E157&lt;1,0,(($N$3-E157)*Q157)))</f>
        <v>688170.53307692311</v>
      </c>
      <c r="S157" s="1">
        <f>+IF(Q157=0,R157,R157+Q157)</f>
        <v>720940.55846153852</v>
      </c>
      <c r="T157" s="1">
        <f>+M157-S157</f>
        <v>557090.43153846147</v>
      </c>
    </row>
    <row r="158" spans="1:20">
      <c r="C158" t="s">
        <v>14</v>
      </c>
      <c r="E158">
        <v>2004</v>
      </c>
      <c r="F158">
        <v>7</v>
      </c>
      <c r="G158" s="7">
        <v>0</v>
      </c>
      <c r="I158" t="s">
        <v>78</v>
      </c>
      <c r="J158" t="s">
        <v>102</v>
      </c>
      <c r="K158">
        <f>E158+J158</f>
        <v>2019</v>
      </c>
      <c r="L158" s="4">
        <f>+K158+(F158/12)</f>
        <v>2019.5833333333333</v>
      </c>
      <c r="M158" s="1">
        <v>4936.42</v>
      </c>
      <c r="N158" s="1">
        <f>M158-M158*G158</f>
        <v>4936.42</v>
      </c>
      <c r="O158" s="1">
        <f>N158/J158/12</f>
        <v>27.424555555555557</v>
      </c>
      <c r="P158" s="1">
        <f>+O158*12</f>
        <v>329.09466666666668</v>
      </c>
      <c r="Q158" s="1">
        <f>+IF(L158&lt;=$N$5,0,IF(K158&gt;$N$4,P158,(O158*F158)))</f>
        <v>0</v>
      </c>
      <c r="R158" s="1">
        <f>+IF(Q158=0,N158,IF($N$3-E158&lt;1,0,(($N$3-E158)*Q158)))</f>
        <v>4936.42</v>
      </c>
      <c r="S158" s="1">
        <f>+IF(Q158=0,R158,R158+Q158)</f>
        <v>4936.42</v>
      </c>
      <c r="T158" s="1">
        <f>+M158-S158</f>
        <v>0</v>
      </c>
    </row>
    <row r="159" spans="1:20">
      <c r="A159" s="44"/>
      <c r="B159" s="44"/>
      <c r="C159" s="2"/>
      <c r="D159" s="44"/>
      <c r="E159" s="44"/>
      <c r="F159" s="44"/>
      <c r="H159" s="44"/>
      <c r="I159" s="44"/>
      <c r="J159" s="44"/>
      <c r="K159" s="44"/>
      <c r="L159" s="44"/>
      <c r="M159" s="21"/>
      <c r="N159" s="21"/>
      <c r="O159" s="21"/>
      <c r="P159" s="21"/>
      <c r="Q159" s="21"/>
      <c r="R159" s="21"/>
      <c r="S159" s="21"/>
      <c r="T159" s="21"/>
    </row>
    <row r="160" spans="1:20">
      <c r="C160" s="2" t="s">
        <v>806</v>
      </c>
      <c r="D160" s="44"/>
      <c r="E160" s="44"/>
      <c r="F160" s="44"/>
      <c r="H160" s="44"/>
      <c r="I160" s="44"/>
      <c r="J160" s="44"/>
      <c r="K160" s="44"/>
      <c r="L160" s="44"/>
      <c r="M160" s="6">
        <f t="shared" ref="M160:T160" si="105">+SUM(M157:M159)</f>
        <v>1282967.4099999999</v>
      </c>
      <c r="N160" s="6">
        <f t="shared" si="105"/>
        <v>1282967.4099999999</v>
      </c>
      <c r="O160" s="6">
        <f t="shared" si="105"/>
        <v>2758.2600042735044</v>
      </c>
      <c r="P160" s="6">
        <f t="shared" si="105"/>
        <v>33099.120051282051</v>
      </c>
      <c r="Q160" s="6">
        <f t="shared" si="105"/>
        <v>32770.025384615386</v>
      </c>
      <c r="R160" s="6">
        <f t="shared" si="105"/>
        <v>693106.95307692315</v>
      </c>
      <c r="S160" s="6">
        <f t="shared" si="105"/>
        <v>725876.97846153856</v>
      </c>
      <c r="T160" s="6">
        <f t="shared" si="105"/>
        <v>557090.43153846147</v>
      </c>
    </row>
    <row r="162" spans="1:20" ht="13.5" thickBot="1">
      <c r="C162" s="2" t="s">
        <v>83</v>
      </c>
      <c r="M162" s="3">
        <f>SUM(M154,M126,M104,M50,M25,M160,M15)</f>
        <v>7224554.2800000003</v>
      </c>
      <c r="N162" s="3">
        <f t="shared" ref="N162:T162" si="106">SUM(N154,N126,N104,N50,N25,N160,N15)</f>
        <v>7224554.2800000003</v>
      </c>
      <c r="O162" s="3">
        <f t="shared" si="106"/>
        <v>50962.488717078522</v>
      </c>
      <c r="P162" s="3">
        <f t="shared" si="106"/>
        <v>611549.8646049425</v>
      </c>
      <c r="Q162" s="3">
        <f t="shared" si="106"/>
        <v>121409.44013219372</v>
      </c>
      <c r="R162" s="3">
        <f t="shared" si="106"/>
        <v>5921350.3654113971</v>
      </c>
      <c r="S162" s="3">
        <f t="shared" si="106"/>
        <v>6042759.8055435894</v>
      </c>
      <c r="T162" s="3">
        <f t="shared" si="106"/>
        <v>1181794.4744564102</v>
      </c>
    </row>
    <row r="163" spans="1:20" ht="13.5" thickTop="1"/>
    <row r="164" spans="1:20" hidden="1"/>
    <row r="165" spans="1:20" hidden="1">
      <c r="C165" s="91" t="s">
        <v>913</v>
      </c>
    </row>
    <row r="166" spans="1:20" s="105" customFormat="1" hidden="1">
      <c r="B166" s="105">
        <v>6029</v>
      </c>
      <c r="C166" s="105" t="s">
        <v>493</v>
      </c>
      <c r="D166" s="105">
        <v>105497</v>
      </c>
      <c r="E166" s="105">
        <v>2003</v>
      </c>
      <c r="F166" s="105">
        <v>3</v>
      </c>
      <c r="G166" s="107">
        <v>0</v>
      </c>
      <c r="I166" s="105" t="s">
        <v>78</v>
      </c>
      <c r="J166" s="105">
        <v>5</v>
      </c>
      <c r="K166" s="105">
        <f>E166+J166</f>
        <v>2008</v>
      </c>
      <c r="L166" s="125">
        <f>+K166+(F166/12)</f>
        <v>2008.25</v>
      </c>
      <c r="M166" s="126">
        <f>'Orig OTHER EQUIP 2183'!P112</f>
        <v>12886.896000000001</v>
      </c>
      <c r="N166" s="126">
        <f t="shared" ref="N166" si="107">M166-M166*G166</f>
        <v>12886.896000000001</v>
      </c>
      <c r="O166" s="126">
        <f t="shared" ref="O166" si="108">N166/J166/12</f>
        <v>214.78160000000003</v>
      </c>
      <c r="P166" s="126">
        <f t="shared" ref="P166" si="109">+O166*12</f>
        <v>2577.3792000000003</v>
      </c>
      <c r="Q166" s="126">
        <f t="shared" ref="Q166" si="110">+IF(L166&lt;=$N$5,0,IF(K166&gt;$N$4,P166,(O166*F166)))</f>
        <v>0</v>
      </c>
      <c r="R166" s="126">
        <f t="shared" ref="R166" si="111">+IF(Q166=0,N166,IF($N$3-E166&lt;1,0,(($N$3-E166)*Q166)))</f>
        <v>12886.896000000001</v>
      </c>
      <c r="S166" s="126">
        <f t="shared" ref="S166" si="112">+IF(Q166=0,R166,R166+Q166)</f>
        <v>12886.896000000001</v>
      </c>
      <c r="T166" s="126">
        <f t="shared" ref="T166" si="113">+M166-S166</f>
        <v>0</v>
      </c>
    </row>
    <row r="167" spans="1:20" s="105" customFormat="1" hidden="1">
      <c r="A167" s="110"/>
      <c r="B167" s="110"/>
      <c r="C167" s="110" t="s">
        <v>706</v>
      </c>
      <c r="D167" s="110"/>
      <c r="E167" s="110">
        <v>2019</v>
      </c>
      <c r="F167" s="110">
        <v>8</v>
      </c>
      <c r="G167" s="112">
        <v>0</v>
      </c>
      <c r="H167" s="110"/>
      <c r="I167" s="110" t="s">
        <v>78</v>
      </c>
      <c r="J167" s="110">
        <f>+IF(J166-$N$4&gt;=3,J166-$N$4,3)</f>
        <v>3</v>
      </c>
      <c r="K167" s="110">
        <f>E167+J167</f>
        <v>2022</v>
      </c>
      <c r="L167" s="127">
        <f>+K167+(F167/12)</f>
        <v>2022.6666666666667</v>
      </c>
      <c r="M167" s="128">
        <f>'Orig OTHER EQUIP 2183'!N112-'OTHER EQUIP 2183'!M166</f>
        <v>3221.7240000000002</v>
      </c>
      <c r="N167" s="128">
        <f>M167-M167*G167</f>
        <v>3221.7240000000002</v>
      </c>
      <c r="O167" s="128">
        <f>N167/J167/12</f>
        <v>89.492333333333349</v>
      </c>
      <c r="P167" s="128">
        <f>+O167*12</f>
        <v>1073.9080000000001</v>
      </c>
      <c r="Q167" s="128">
        <f>+IF(L167&lt;=$N$5,0,IF(K167&gt;$N$4,P167,(O167*F167)))</f>
        <v>715.93866666666679</v>
      </c>
      <c r="R167" s="128">
        <f>+IF(Q167=0,N167,IF($N$3-E167&lt;1,0,(($N$3-E167)*Q167)))</f>
        <v>1431.8773333333336</v>
      </c>
      <c r="S167" s="128">
        <f>+IF(Q167=0,R167,R167+Q167)</f>
        <v>2147.8160000000003</v>
      </c>
      <c r="T167" s="128">
        <f>+M167-S167</f>
        <v>1073.9079999999999</v>
      </c>
    </row>
    <row r="168" spans="1:20" hidden="1"/>
    <row r="169" spans="1:20" hidden="1"/>
    <row r="170" spans="1:20" hidden="1"/>
  </sheetData>
  <phoneticPr fontId="12" type="noConversion"/>
  <pageMargins left="0.25" right="0.25" top="0.25" bottom="0.25" header="0.5" footer="0.5"/>
  <pageSetup scale="55" fitToHeight="2" orientation="landscape" horizontalDpi="300"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2022-01-14T08:00:00+00:00</OpenedDate>
    <SignificantOrder xmlns="dc463f71-b30c-4ab2-9473-d307f9d35888">false</SignificantOrder>
    <Date1 xmlns="dc463f71-b30c-4ab2-9473-d307f9d35888">2022-01-14T08:00:00+00:00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220039</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E1F2AA778B6734FB45D0CE3687A78A4" ma:contentTypeVersion="20" ma:contentTypeDescription="" ma:contentTypeScope="" ma:versionID="bc94b8c27a1292b95be56a2a3fc01b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965800-F6DF-4D15-AE4C-72D7D3CE6EA1}">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dc463f71-b30c-4ab2-9473-d307f9d35888"/>
    <ds:schemaRef ds:uri="http://www.w3.org/XML/1998/namespace"/>
  </ds:schemaRefs>
</ds:datastoreItem>
</file>

<file path=customXml/itemProps2.xml><?xml version="1.0" encoding="utf-8"?>
<ds:datastoreItem xmlns:ds="http://schemas.openxmlformats.org/officeDocument/2006/customXml" ds:itemID="{87FB1805-A67E-47DC-9838-4210F599BA28}"/>
</file>

<file path=customXml/itemProps3.xml><?xml version="1.0" encoding="utf-8"?>
<ds:datastoreItem xmlns:ds="http://schemas.openxmlformats.org/officeDocument/2006/customXml" ds:itemID="{C2EA1DA6-5162-4024-B5FA-1C733310E65C}"/>
</file>

<file path=customXml/itemProps4.xml><?xml version="1.0" encoding="utf-8"?>
<ds:datastoreItem xmlns:ds="http://schemas.openxmlformats.org/officeDocument/2006/customXml" ds:itemID="{208E3409-A2AC-4770-8EA4-03966BCD2E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Summary 2183</vt:lpstr>
      <vt:lpstr>Depreciation Pivot 2021</vt:lpstr>
      <vt:lpstr>Assets 2021</vt:lpstr>
      <vt:lpstr>2022 Bud Capital Input 2183</vt:lpstr>
      <vt:lpstr>2021 Bud Capital Input 2183</vt:lpstr>
      <vt:lpstr>2022 Bud Capital Input 2184</vt:lpstr>
      <vt:lpstr>Trucks 2183</vt:lpstr>
      <vt:lpstr>Containers 2183</vt:lpstr>
      <vt:lpstr>OTHER EQUIP 2183</vt:lpstr>
      <vt:lpstr>Orig Trucks 2183</vt:lpstr>
      <vt:lpstr>Orig OTHER EQUIP 2183</vt:lpstr>
      <vt:lpstr>'2021 Bud Capital Input 2183'!DetailBudYear</vt:lpstr>
      <vt:lpstr>'2022 Bud Capital Input 2184'!DetailBudYear</vt:lpstr>
      <vt:lpstr>DetailBudYear</vt:lpstr>
      <vt:lpstr>'2021 Bud Capital Input 2183'!DetailDistrict</vt:lpstr>
      <vt:lpstr>'2022 Bud Capital Input 2184'!DetailDistrict</vt:lpstr>
      <vt:lpstr>DetailDistrict</vt:lpstr>
      <vt:lpstr>'2021 Bud Capital Input 2183'!Print_Area</vt:lpstr>
      <vt:lpstr>'2022 Bud Capital Input 2183'!Print_Area</vt:lpstr>
      <vt:lpstr>'2022 Bud Capital Input 2184'!Print_Area</vt:lpstr>
      <vt:lpstr>'Assets 2021'!Print_Area</vt:lpstr>
      <vt:lpstr>'Containers 2183'!Print_Area</vt:lpstr>
      <vt:lpstr>'Orig OTHER EQUIP 2183'!Print_Area</vt:lpstr>
      <vt:lpstr>'Orig Trucks 2183'!Print_Area</vt:lpstr>
      <vt:lpstr>'OTHER EQUIP 2183'!Print_Area</vt:lpstr>
      <vt:lpstr>'Summary 2183'!Print_Area</vt:lpstr>
      <vt:lpstr>'Trucks 2183'!Print_Area</vt:lpstr>
      <vt:lpstr>'Orig Trucks 2183'!Print_Area_MI</vt:lpstr>
      <vt:lpstr>'Trucks 2183'!Print_Area_MI</vt:lpstr>
      <vt:lpstr>'Assets 2021'!Print_Titles</vt:lpstr>
      <vt:lpstr>'Containers 2183'!Print_Titles</vt:lpstr>
      <vt:lpstr>'Orig OTHER EQUIP 2183'!Print_Titles</vt:lpstr>
      <vt:lpstr>'Orig Trucks 2183'!Print_Titles</vt:lpstr>
      <vt:lpstr>'OTHER EQUIP 2183'!Print_Titles</vt:lpstr>
      <vt:lpstr>'Trucks 2183'!Print_Titles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Thompson</dc:creator>
  <cp:lastModifiedBy>Akasha Leffler</cp:lastModifiedBy>
  <cp:lastPrinted>2022-01-14T22:32:46Z</cp:lastPrinted>
  <dcterms:created xsi:type="dcterms:W3CDTF">2009-02-17T19:30:09Z</dcterms:created>
  <dcterms:modified xsi:type="dcterms:W3CDTF">2022-01-14T22:32:50Z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0x0101006E56B4D1795A2E4DB2F0B01679ED314A003E1F2AA778B6734FB45D0CE3687A78A4</vt:lpwstr>
  </property>
  <property fmtid="{D5CDD505-2E9C-101B-9397-08002B2CF9AE}" pid="3" name="_docset_NoMedatataSyncRequired">
    <vt:lpwstr>False</vt:lpwstr>
  </property>
  <property fmtid="{D5CDD505-2E9C-101B-9397-08002B2CF9AE}" pid="4" name="IsEFSEC">
    <vt:bool>false</vt:bool>
  </property>
</Properties>
</file>