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wyer 1\Documents\MyFiles\Washington Water\2021 Rate Case\"/>
    </mc:Choice>
  </mc:AlternateContent>
  <xr:revisionPtr revIDLastSave="0" documentId="8_{F5EB90C6-CD4B-42DB-A841-B1426985998B}" xr6:coauthVersionLast="46" xr6:coauthVersionMax="46" xr10:uidLastSave="{00000000-0000-0000-0000-000000000000}"/>
  <bookViews>
    <workbookView xWindow="-120" yWindow="-120" windowWidth="29040" windowHeight="15840" xr2:uid="{441962E2-BD1C-4257-9C09-8DD5E38E32BD}"/>
  </bookViews>
  <sheets>
    <sheet name="Contents" sheetId="17" r:id="rId1"/>
    <sheet name="WWSCo Inputs" sheetId="32" r:id="rId2"/>
    <sheet name="EP Inputs" sheetId="31" r:id="rId3"/>
    <sheet name="Deferred Taxes" sheetId="60" r:id="rId4"/>
    <sheet name="WWSCo IS Restatements" sheetId="9" r:id="rId5"/>
    <sheet name="WWSCo IS Pro Forma" sheetId="10" r:id="rId6"/>
    <sheet name="EP IS Restatements" sheetId="1" r:id="rId7"/>
    <sheet name="EP IS Pro Forma" sheetId="3" r:id="rId8"/>
    <sheet name="WP RA3" sheetId="5" r:id="rId9"/>
    <sheet name="WP RA4" sheetId="34" r:id="rId10"/>
    <sheet name="WP RA4.1" sheetId="35" r:id="rId11"/>
    <sheet name="WP RA5" sheetId="48" r:id="rId12"/>
    <sheet name="WP RA5.1" sheetId="56" r:id="rId13"/>
    <sheet name="WP PF1" sheetId="23" r:id="rId14"/>
    <sheet name="WP PF2" sheetId="4" r:id="rId15"/>
    <sheet name="WP PF3" sheetId="58" r:id="rId16"/>
    <sheet name="WP PF4" sheetId="61" r:id="rId17"/>
    <sheet name="WP PF6" sheetId="18" r:id="rId18"/>
    <sheet name="WP PF7" sheetId="11" r:id="rId19"/>
    <sheet name="WP PF8" sheetId="21" r:id="rId20"/>
    <sheet name="WP PF9" sheetId="36" r:id="rId21"/>
    <sheet name="WP PF10" sheetId="22" r:id="rId22"/>
    <sheet name="WP PF11" sheetId="7" r:id="rId23"/>
    <sheet name="WP PF12" sheetId="8" r:id="rId24"/>
    <sheet name="WP 4-Factor" sheetId="19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9" hidden="1">'WP RA4'!$C$9:$D$9</definedName>
    <definedName name="_xlnm._FilterDatabase" localSheetId="10" hidden="1">'WP RA4.1'!$B$6:$P$331</definedName>
    <definedName name="_xlnm._FilterDatabase" localSheetId="11" hidden="1">'WP RA5'!$C$9:$D$9</definedName>
    <definedName name="_xlnm._FilterDatabase" localSheetId="12" hidden="1">'WP RA5.1'!$B$6:$P$298</definedName>
    <definedName name="Annual_Average">'[1]Rate Design'!$C$33</definedName>
    <definedName name="ASD" localSheetId="16">#REF!</definedName>
    <definedName name="ASD" localSheetId="8">'[2]6'!#REF!</definedName>
    <definedName name="ASD" localSheetId="9">'[2]6'!#REF!</definedName>
    <definedName name="ASD" localSheetId="11">'[2]6'!#REF!</definedName>
    <definedName name="ASD">'[3]WWSCO TB'!#REF!</definedName>
    <definedName name="Bad_Debt_Percent">'[1]Int Sync, NTG, Rev Req'!$D$43</definedName>
    <definedName name="BaseRate_Percent">'[1]Rate Design'!$E$24</definedName>
    <definedName name="Block1_Percent">'[1]Rate Design'!$G$24</definedName>
    <definedName name="Block2_Percent">'[1]Rate Design'!$I$24</definedName>
    <definedName name="Block3_Percent">'[1]Rate Design'!$K$24</definedName>
    <definedName name="BO_Tax_Rate">'[1]Int Sync, NTG, Rev Req'!$D$44</definedName>
    <definedName name="Current_Allowance">'[1]Rate Design'!$E$20</definedName>
    <definedName name="Current_Block1_UsageMax">'[1]Rate Design'!$G$20</definedName>
    <definedName name="Current_Block2_UsageMax">'[1]Rate Design'!$I$20</definedName>
    <definedName name="Current_Block3_UsageMin">'[1]Rate Design'!$K$20</definedName>
    <definedName name="CustomerCount_Total">'[1]Rate Design'!$AA$20</definedName>
    <definedName name="Endof_TestYear">#REF!</definedName>
    <definedName name="FIT_Rate">'[1]Int Sync, NTG, Rev Req'!$D$50</definedName>
    <definedName name="Most_Common_Meter_Size">'[1]Rate Design'!$J$27</definedName>
    <definedName name="NvsASD" localSheetId="16">"V2020-11-30"</definedName>
    <definedName name="NvsASD" localSheetId="8">"V2020-06-30"</definedName>
    <definedName name="NvsASD" localSheetId="9">"V2020-06-30"</definedName>
    <definedName name="NvsASD" localSheetId="11">"V2020-06-30"</definedName>
    <definedName name="NvsASD">"V2020-12-31"</definedName>
    <definedName name="NvsAutoDrillOk" localSheetId="16">"VY"</definedName>
    <definedName name="NvsAutoDrillOk">"VN"</definedName>
    <definedName name="NvsElapsedTime" localSheetId="16">0.0000578703693463467</definedName>
    <definedName name="NvsElapsedTime" localSheetId="8">0.0000347222230629995</definedName>
    <definedName name="NvsElapsedTime" localSheetId="9">0.0000347222230629995</definedName>
    <definedName name="NvsElapsedTime" localSheetId="11">0.0000347222230629995</definedName>
    <definedName name="NvsElapsedTime">0.000104166669188999</definedName>
    <definedName name="NvsEndTime" localSheetId="16">44182.6000347222</definedName>
    <definedName name="NvsEndTime" localSheetId="8">44272.4318634259</definedName>
    <definedName name="NvsEndTime" localSheetId="9">44272.4318634259</definedName>
    <definedName name="NvsEndTime" localSheetId="11">44272.4318634259</definedName>
    <definedName name="NvsEndTime">44253.6753587963</definedName>
    <definedName name="NvsInstLang">"VENG"</definedName>
    <definedName name="NvsInstSpec" localSheetId="8">"%,FDEPTID,V515"</definedName>
    <definedName name="NvsInstSpec" localSheetId="9">"%,FDEPTID,V515"</definedName>
    <definedName name="NvsInstSpec" localSheetId="11">"%,FDEPTID,V515"</definedName>
    <definedName name="NvsInstSpec">"%,FBUSINESS_UNIT,VWWSCO"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"V1993-01-01"</definedName>
    <definedName name="NvsPanelSetid">"VCWSCO"</definedName>
    <definedName name="NvsReqBU">"VWWSCO"</definedName>
    <definedName name="NvsReqBUOnly" localSheetId="16">"VN"</definedName>
    <definedName name="NvsReqBUOnly">"VY"</definedName>
    <definedName name="NvsTransLed">"VN"</definedName>
    <definedName name="NvsTreeASD" localSheetId="16">"V2020-11-30"</definedName>
    <definedName name="NvsTreeASD" localSheetId="8">"V2020-06-30"</definedName>
    <definedName name="NvsTreeASD" localSheetId="9">"V2020-06-30"</definedName>
    <definedName name="NvsTreeASD" localSheetId="11">"V2020-06-30"</definedName>
    <definedName name="NvsTreeASD">"V2020-12-31"</definedName>
    <definedName name="NvsValTbl.ACCOUNT">"GL_ACCOUNT_TBL"</definedName>
    <definedName name="NvsValTbl.BUSINESS_UNIT">"BUS_UNIT_TBL_GL"</definedName>
    <definedName name="NvsValTbl.CURRENCY_CD">"CURRENCY_CD_TBL"</definedName>
    <definedName name="Prof_Int_Exp_Adj">'[1]Int Sync, NTG, Rev Req'!$D$13</definedName>
    <definedName name="Proforma_Interest_Expense">'[1]Int Sync, NTG, Rev Req'!$D$11</definedName>
    <definedName name="Proposed_Allowance">'[1]Rate Design'!$E$21</definedName>
    <definedName name="Proposed_Block1_UsageMax">'[1]Rate Design'!$G$21</definedName>
    <definedName name="Proposed_Block2_UsageMax">'[1]Rate Design'!$I$21</definedName>
    <definedName name="Proposed_Block3_UsageMin">'[1]Rate Design'!$K$21</definedName>
    <definedName name="RateDesign_Unmetered">'[1]Rate Design'!$F$19</definedName>
    <definedName name="RevenueRequirement_10.1">'[1]Rate Design'!$C$8</definedName>
    <definedName name="Revised_Allowance">'[1]Rate Design'!$E$22</definedName>
    <definedName name="Revised_Block1_UsageMax">'[1]Rate Design'!$G$22</definedName>
    <definedName name="Revised_Block2_UsageMax">'[1]Rate Design'!$I$22</definedName>
    <definedName name="Revised_Block3_Rate">'[1]Rate Design'!$L$22</definedName>
    <definedName name="Revised_Block3_UsageMin">'[1]Rate Design'!$K$22</definedName>
    <definedName name="RTS_Count">'[1]Rate Design'!$AA$18</definedName>
    <definedName name="TestEOY">#REF!</definedName>
    <definedName name="Unmetered_Count">'[1]Rate Design'!$AA$19</definedName>
    <definedName name="Unmetered_Rate_10.1">'[1]Rate Design'!$S$19</definedName>
    <definedName name="Usage_Unit_10.1">'[1]Rate Design'!$E$27</definedName>
    <definedName name="UTC_Reg_Fee_Tier1">'[1]Int Sync, NTG, Rev Req'!#REF!</definedName>
    <definedName name="UTC_Reg_Fee_Tier2">'[1]Int Sync, NTG, Rev Req'!#REF!</definedName>
    <definedName name="Year">'[3]WWSCO BS'!$AA$8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60" l="1"/>
  <c r="E26" i="60"/>
  <c r="P126" i="10"/>
  <c r="Q126" i="10" s="1"/>
  <c r="J134" i="3"/>
  <c r="J129" i="3"/>
  <c r="J111" i="3"/>
  <c r="J107" i="3"/>
  <c r="J103" i="3"/>
  <c r="J91" i="3"/>
  <c r="J83" i="3"/>
  <c r="J76" i="3"/>
  <c r="J59" i="3"/>
  <c r="J53" i="3"/>
  <c r="J36" i="3"/>
  <c r="H135" i="10"/>
  <c r="H130" i="10"/>
  <c r="H111" i="10"/>
  <c r="H107" i="10"/>
  <c r="H103" i="10"/>
  <c r="H91" i="10"/>
  <c r="H88" i="10"/>
  <c r="H81" i="10"/>
  <c r="H76" i="10"/>
  <c r="H70" i="10"/>
  <c r="H69" i="10"/>
  <c r="H54" i="10"/>
  <c r="H55" i="10"/>
  <c r="H56" i="10"/>
  <c r="H57" i="10"/>
  <c r="H58" i="10"/>
  <c r="H59" i="10"/>
  <c r="H53" i="10"/>
  <c r="H36" i="10"/>
  <c r="M126" i="10"/>
  <c r="P13" i="10"/>
  <c r="Q13" i="10" s="1"/>
  <c r="D25" i="17"/>
  <c r="J10" i="61"/>
  <c r="A1" i="61" l="1" a="1"/>
  <c r="A1" i="61" s="1"/>
  <c r="J23" i="61"/>
  <c r="M23" i="61" s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M10" i="61"/>
  <c r="J11" i="61"/>
  <c r="J12" i="61"/>
  <c r="J13" i="61"/>
  <c r="J14" i="61"/>
  <c r="J15" i="61"/>
  <c r="M15" i="61" s="1"/>
  <c r="J16" i="61"/>
  <c r="M16" i="61" s="1"/>
  <c r="J17" i="61"/>
  <c r="M17" i="61" s="1"/>
  <c r="J18" i="61"/>
  <c r="M18" i="61" s="1"/>
  <c r="J19" i="61"/>
  <c r="J20" i="61"/>
  <c r="J21" i="61"/>
  <c r="J22" i="61"/>
  <c r="C25" i="17" l="1"/>
  <c r="M24" i="61"/>
  <c r="F20" i="60" l="1"/>
  <c r="E23" i="60" l="1"/>
  <c r="F21" i="60"/>
  <c r="E21" i="60"/>
  <c r="F23" i="60"/>
  <c r="G19" i="60"/>
  <c r="G18" i="60"/>
  <c r="G17" i="60"/>
  <c r="F14" i="60"/>
  <c r="E14" i="60"/>
  <c r="G13" i="60"/>
  <c r="G12" i="60"/>
  <c r="G11" i="60"/>
  <c r="G10" i="60"/>
  <c r="G14" i="60" l="1"/>
  <c r="G23" i="60"/>
  <c r="G20" i="60"/>
  <c r="G21" i="60" s="1"/>
  <c r="L191" i="1"/>
  <c r="L191" i="9"/>
  <c r="G73" i="10" l="1"/>
  <c r="G74" i="10"/>
  <c r="G126" i="10"/>
  <c r="G137" i="10"/>
  <c r="G99" i="10"/>
  <c r="G156" i="10"/>
  <c r="D29" i="17" l="1"/>
  <c r="D24" i="17"/>
  <c r="D21" i="17"/>
  <c r="F12" i="58" l="1"/>
  <c r="G12" i="58"/>
  <c r="E12" i="58"/>
  <c r="B10" i="58"/>
  <c r="A1" i="58" a="1"/>
  <c r="A1" i="58" s="1"/>
  <c r="C24" i="17" s="1"/>
  <c r="B11" i="58" l="1"/>
  <c r="B12" i="58"/>
  <c r="B13" i="58" l="1"/>
  <c r="B14" i="58" l="1"/>
  <c r="B16" i="58" l="1"/>
  <c r="E10" i="48" l="1"/>
  <c r="G40" i="56"/>
  <c r="G300" i="56" s="1"/>
  <c r="A1" i="56" a="1"/>
  <c r="A1" i="56" s="1"/>
  <c r="C21" i="17" s="1"/>
  <c r="E126" i="10" l="1"/>
  <c r="J126" i="9"/>
  <c r="L126" i="9" s="1"/>
  <c r="M126" i="9" l="1"/>
  <c r="F126" i="10" s="1"/>
  <c r="K59" i="3" l="1"/>
  <c r="K36" i="3"/>
  <c r="I59" i="10"/>
  <c r="I36" i="10"/>
  <c r="N34" i="18" l="1"/>
  <c r="N33" i="18"/>
  <c r="N32" i="18"/>
  <c r="M34" i="18"/>
  <c r="M33" i="18"/>
  <c r="M32" i="18"/>
  <c r="J95" i="1" l="1"/>
  <c r="D20" i="17"/>
  <c r="B10" i="48"/>
  <c r="A1" i="48" a="1"/>
  <c r="A1" i="48" s="1"/>
  <c r="C20" i="17" s="1"/>
  <c r="F10" i="48" l="1"/>
  <c r="K95" i="9" s="1"/>
  <c r="M95" i="3"/>
  <c r="M95" i="10"/>
  <c r="K95" i="10"/>
  <c r="L12" i="21"/>
  <c r="L13" i="21"/>
  <c r="G13" i="21"/>
  <c r="G12" i="21"/>
  <c r="B11" i="21"/>
  <c r="B10" i="21"/>
  <c r="G11" i="21"/>
  <c r="L11" i="21" s="1"/>
  <c r="P196" i="10"/>
  <c r="P193" i="10"/>
  <c r="P192" i="10"/>
  <c r="P191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58" i="10"/>
  <c r="P157" i="10"/>
  <c r="P156" i="10"/>
  <c r="P154" i="10"/>
  <c r="P153" i="10"/>
  <c r="P152" i="10"/>
  <c r="P151" i="10"/>
  <c r="P148" i="10"/>
  <c r="P145" i="10"/>
  <c r="P144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K87" i="10"/>
  <c r="L10" i="21"/>
  <c r="H10" i="21"/>
  <c r="G10" i="48" l="1"/>
  <c r="B12" i="21"/>
  <c r="B13" i="21"/>
  <c r="G10" i="21"/>
  <c r="M10" i="3" l="1"/>
  <c r="H15" i="36"/>
  <c r="K15" i="36" s="1"/>
  <c r="H11" i="36"/>
  <c r="K11" i="36" s="1"/>
  <c r="G17" i="36"/>
  <c r="H17" i="36" s="1"/>
  <c r="K17" i="36" s="1"/>
  <c r="G16" i="36"/>
  <c r="H16" i="36" s="1"/>
  <c r="G15" i="36"/>
  <c r="G13" i="36"/>
  <c r="H13" i="36" s="1"/>
  <c r="J13" i="36" s="1"/>
  <c r="M13" i="36" s="1"/>
  <c r="G11" i="36"/>
  <c r="F21" i="36"/>
  <c r="G12" i="36"/>
  <c r="G14" i="36"/>
  <c r="L18" i="36"/>
  <c r="G18" i="36"/>
  <c r="G19" i="36"/>
  <c r="L19" i="36"/>
  <c r="L17" i="36"/>
  <c r="L15" i="36"/>
  <c r="B10" i="36"/>
  <c r="B11" i="36" s="1"/>
  <c r="H19" i="36" l="1"/>
  <c r="K19" i="36" s="1"/>
  <c r="H12" i="36"/>
  <c r="J12" i="36" s="1"/>
  <c r="M12" i="36" s="1"/>
  <c r="G10" i="36"/>
  <c r="G21" i="36" s="1"/>
  <c r="J11" i="36"/>
  <c r="H14" i="36"/>
  <c r="J14" i="36" s="1"/>
  <c r="M14" i="36" s="1"/>
  <c r="H18" i="36"/>
  <c r="K18" i="36" s="1"/>
  <c r="K21" i="36" s="1"/>
  <c r="N34" i="3" s="1"/>
  <c r="I21" i="36"/>
  <c r="J17" i="36"/>
  <c r="M17" i="36" s="1"/>
  <c r="J16" i="36"/>
  <c r="M16" i="36" s="1"/>
  <c r="J19" i="36"/>
  <c r="M19" i="36" s="1"/>
  <c r="J15" i="36"/>
  <c r="M15" i="36" s="1"/>
  <c r="L11" i="36"/>
  <c r="B12" i="36"/>
  <c r="B13" i="36" s="1"/>
  <c r="E21" i="36"/>
  <c r="A1" i="36" a="1"/>
  <c r="A1" i="36" s="1"/>
  <c r="D19" i="17"/>
  <c r="J158" i="9"/>
  <c r="J157" i="9"/>
  <c r="J156" i="9"/>
  <c r="J155" i="9"/>
  <c r="J154" i="9"/>
  <c r="J153" i="9"/>
  <c r="J152" i="9"/>
  <c r="J151" i="9"/>
  <c r="J148" i="9"/>
  <c r="J145" i="9"/>
  <c r="J144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G19" i="34"/>
  <c r="G18" i="34"/>
  <c r="G17" i="34"/>
  <c r="G16" i="34"/>
  <c r="G15" i="34"/>
  <c r="G14" i="34"/>
  <c r="G13" i="34"/>
  <c r="G12" i="34"/>
  <c r="G11" i="34"/>
  <c r="G10" i="34"/>
  <c r="F21" i="34"/>
  <c r="G21" i="34"/>
  <c r="F19" i="34"/>
  <c r="F18" i="34"/>
  <c r="F17" i="34"/>
  <c r="F16" i="34"/>
  <c r="F15" i="34"/>
  <c r="F14" i="34"/>
  <c r="F13" i="34"/>
  <c r="F12" i="34"/>
  <c r="F11" i="34"/>
  <c r="F10" i="34"/>
  <c r="E11" i="34"/>
  <c r="E12" i="34"/>
  <c r="E13" i="34"/>
  <c r="E14" i="34"/>
  <c r="E15" i="34"/>
  <c r="E16" i="34"/>
  <c r="E17" i="34"/>
  <c r="E18" i="34"/>
  <c r="E19" i="34"/>
  <c r="E10" i="34"/>
  <c r="A1" i="35" a="1"/>
  <c r="A1" i="35" s="1"/>
  <c r="C19" i="17" s="1"/>
  <c r="G333" i="35"/>
  <c r="D18" i="17"/>
  <c r="B10" i="34"/>
  <c r="A1" i="34" a="1"/>
  <c r="A1" i="34" s="1"/>
  <c r="H10" i="36" l="1"/>
  <c r="J10" i="36" s="1"/>
  <c r="M10" i="36" s="1"/>
  <c r="C29" i="17"/>
  <c r="N10" i="3"/>
  <c r="J18" i="36"/>
  <c r="J21" i="36" s="1"/>
  <c r="L5" i="10"/>
  <c r="C18" i="17"/>
  <c r="J5" i="9"/>
  <c r="N5" i="3"/>
  <c r="M11" i="36"/>
  <c r="L21" i="36"/>
  <c r="L34" i="10" s="1"/>
  <c r="M18" i="36"/>
  <c r="B14" i="36"/>
  <c r="E21" i="34"/>
  <c r="B11" i="34"/>
  <c r="B12" i="34" s="1"/>
  <c r="D35" i="32"/>
  <c r="L10" i="10" l="1"/>
  <c r="M21" i="36"/>
  <c r="B15" i="36"/>
  <c r="B16" i="36"/>
  <c r="B13" i="34"/>
  <c r="G95" i="32"/>
  <c r="G91" i="32"/>
  <c r="G90" i="32"/>
  <c r="G89" i="32"/>
  <c r="G88" i="32"/>
  <c r="G65" i="32"/>
  <c r="G63" i="32"/>
  <c r="G62" i="32"/>
  <c r="G57" i="32"/>
  <c r="G91" i="31"/>
  <c r="G105" i="32"/>
  <c r="B51" i="32"/>
  <c r="B101" i="31"/>
  <c r="B98" i="31"/>
  <c r="B99" i="31" s="1"/>
  <c r="B94" i="31"/>
  <c r="B87" i="31"/>
  <c r="B83" i="31"/>
  <c r="B82" i="31"/>
  <c r="B68" i="31"/>
  <c r="B56" i="31"/>
  <c r="B57" i="31"/>
  <c r="B52" i="31"/>
  <c r="B51" i="31"/>
  <c r="D33" i="17"/>
  <c r="D10" i="17"/>
  <c r="E39" i="32"/>
  <c r="E21" i="32"/>
  <c r="D39" i="32"/>
  <c r="D21" i="32"/>
  <c r="B10" i="32"/>
  <c r="A1" i="32" a="1"/>
  <c r="A1" i="32" s="1"/>
  <c r="C10" i="17" s="1"/>
  <c r="E39" i="31"/>
  <c r="D39" i="31"/>
  <c r="D35" i="31"/>
  <c r="E21" i="31"/>
  <c r="D21" i="31"/>
  <c r="D11" i="17"/>
  <c r="B47" i="31"/>
  <c r="B48" i="31" s="1"/>
  <c r="B49" i="31" s="1"/>
  <c r="B20" i="31"/>
  <c r="B19" i="31"/>
  <c r="B11" i="31"/>
  <c r="B10" i="31"/>
  <c r="G103" i="31" l="1"/>
  <c r="G106" i="32"/>
  <c r="G62" i="31"/>
  <c r="G79" i="31"/>
  <c r="G90" i="31"/>
  <c r="G63" i="31"/>
  <c r="G70" i="31"/>
  <c r="G78" i="31"/>
  <c r="G99" i="31"/>
  <c r="G106" i="31"/>
  <c r="G79" i="32"/>
  <c r="G74" i="32"/>
  <c r="G103" i="32"/>
  <c r="G83" i="32"/>
  <c r="G83" i="31"/>
  <c r="G74" i="31"/>
  <c r="B17" i="36"/>
  <c r="B18" i="36" s="1"/>
  <c r="B19" i="36" s="1"/>
  <c r="B21" i="36" s="1"/>
  <c r="B14" i="34"/>
  <c r="G57" i="31"/>
  <c r="G65" i="31"/>
  <c r="G77" i="31"/>
  <c r="G88" i="31"/>
  <c r="G95" i="31"/>
  <c r="G105" i="31"/>
  <c r="G59" i="31"/>
  <c r="G89" i="31"/>
  <c r="G73" i="31"/>
  <c r="G55" i="31"/>
  <c r="G104" i="31"/>
  <c r="G59" i="32"/>
  <c r="G70" i="32"/>
  <c r="G78" i="32"/>
  <c r="G73" i="32"/>
  <c r="G99" i="32"/>
  <c r="G55" i="32"/>
  <c r="G104" i="32"/>
  <c r="B52" i="32"/>
  <c r="B102" i="31"/>
  <c r="B103" i="31"/>
  <c r="B95" i="31"/>
  <c r="B96" i="31" s="1"/>
  <c r="B88" i="31"/>
  <c r="B84" i="31"/>
  <c r="B69" i="31"/>
  <c r="B58" i="31"/>
  <c r="B53" i="31"/>
  <c r="B55" i="31" s="1"/>
  <c r="B54" i="31"/>
  <c r="B11" i="32"/>
  <c r="B21" i="31"/>
  <c r="B12" i="31"/>
  <c r="B13" i="31"/>
  <c r="B14" i="31" s="1"/>
  <c r="A1" i="31" a="1"/>
  <c r="A1" i="31" s="1"/>
  <c r="C11" i="17" s="1"/>
  <c r="B15" i="34" l="1"/>
  <c r="B53" i="32"/>
  <c r="B104" i="31"/>
  <c r="B106" i="31" s="1"/>
  <c r="B107" i="31" s="1"/>
  <c r="B105" i="31"/>
  <c r="B97" i="31"/>
  <c r="B89" i="31"/>
  <c r="B85" i="31"/>
  <c r="B86" i="31" s="1"/>
  <c r="B70" i="31"/>
  <c r="B59" i="31"/>
  <c r="B12" i="32"/>
  <c r="B13" i="32"/>
  <c r="B24" i="31"/>
  <c r="B23" i="31"/>
  <c r="B22" i="31"/>
  <c r="B16" i="31"/>
  <c r="B17" i="31" s="1"/>
  <c r="B15" i="31"/>
  <c r="B54" i="32" l="1"/>
  <c r="B91" i="31"/>
  <c r="B90" i="31"/>
  <c r="B92" i="31" s="1"/>
  <c r="B71" i="31"/>
  <c r="B61" i="31"/>
  <c r="B60" i="31"/>
  <c r="B15" i="32"/>
  <c r="B14" i="32"/>
  <c r="B16" i="32"/>
  <c r="B25" i="31"/>
  <c r="B55" i="32" l="1"/>
  <c r="B72" i="31"/>
  <c r="B73" i="31" s="1"/>
  <c r="B62" i="31"/>
  <c r="B63" i="31"/>
  <c r="B17" i="32"/>
  <c r="B26" i="31"/>
  <c r="B16" i="34" l="1"/>
  <c r="B56" i="32"/>
  <c r="B75" i="31"/>
  <c r="B76" i="31" s="1"/>
  <c r="B74" i="31"/>
  <c r="B77" i="31" s="1"/>
  <c r="B64" i="31"/>
  <c r="B66" i="31" s="1"/>
  <c r="B65" i="31"/>
  <c r="B19" i="32"/>
  <c r="B20" i="32"/>
  <c r="B21" i="32" s="1"/>
  <c r="B28" i="31"/>
  <c r="B27" i="31"/>
  <c r="B29" i="31"/>
  <c r="B17" i="34" l="1"/>
  <c r="B18" i="34" s="1"/>
  <c r="B19" i="34" s="1"/>
  <c r="B21" i="34" s="1"/>
  <c r="B57" i="32"/>
  <c r="B78" i="31"/>
  <c r="B79" i="31" s="1"/>
  <c r="B80" i="31" s="1"/>
  <c r="B22" i="32"/>
  <c r="B30" i="31"/>
  <c r="B31" i="31" s="1"/>
  <c r="B32" i="31" s="1"/>
  <c r="B58" i="32" l="1"/>
  <c r="B59" i="32" s="1"/>
  <c r="B60" i="32" s="1"/>
  <c r="B61" i="32"/>
  <c r="B62" i="32" s="1"/>
  <c r="B63" i="32" s="1"/>
  <c r="B64" i="32" s="1"/>
  <c r="B65" i="32" s="1"/>
  <c r="B66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4" i="32" s="1"/>
  <c r="B95" i="32" s="1"/>
  <c r="B96" i="32" s="1"/>
  <c r="B97" i="32" s="1"/>
  <c r="B98" i="32" s="1"/>
  <c r="B99" i="32" s="1"/>
  <c r="B101" i="32" s="1"/>
  <c r="B102" i="32" s="1"/>
  <c r="B103" i="32" s="1"/>
  <c r="B104" i="32" s="1"/>
  <c r="B105" i="32" s="1"/>
  <c r="B106" i="32" s="1"/>
  <c r="B107" i="32" s="1"/>
  <c r="B23" i="32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7" i="32" s="1"/>
  <c r="B48" i="32" s="1"/>
  <c r="B49" i="32" s="1"/>
  <c r="B33" i="3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10" i="5" l="1"/>
  <c r="B11" i="5" s="1"/>
  <c r="D28" i="17"/>
  <c r="B12" i="5" l="1"/>
  <c r="B13" i="5" s="1"/>
  <c r="B14" i="5" l="1"/>
  <c r="B15" i="5" l="1"/>
  <c r="B16" i="5" l="1"/>
  <c r="B17" i="5" l="1"/>
  <c r="B18" i="5" s="1"/>
  <c r="G33" i="3"/>
  <c r="E127" i="23"/>
  <c r="F127" i="23" s="1"/>
  <c r="G157" i="3" s="1"/>
  <c r="E126" i="23"/>
  <c r="F126" i="23" s="1"/>
  <c r="G156" i="3" s="1"/>
  <c r="E125" i="23"/>
  <c r="F125" i="23" s="1"/>
  <c r="G155" i="3" s="1"/>
  <c r="E124" i="23"/>
  <c r="F124" i="23" s="1"/>
  <c r="G154" i="3" s="1"/>
  <c r="E119" i="23"/>
  <c r="F119" i="23" s="1"/>
  <c r="G147" i="3" s="1"/>
  <c r="E118" i="23"/>
  <c r="F118" i="23" s="1"/>
  <c r="G144" i="3" s="1"/>
  <c r="E117" i="23"/>
  <c r="F117" i="23" s="1"/>
  <c r="G143" i="3" s="1"/>
  <c r="D22" i="17"/>
  <c r="B10" i="23"/>
  <c r="B11" i="23" s="1"/>
  <c r="A1" i="23" a="1"/>
  <c r="A1" i="23" s="1"/>
  <c r="D30" i="17"/>
  <c r="A1" i="22" a="1"/>
  <c r="A1" i="22" s="1"/>
  <c r="A1" i="21" a="1"/>
  <c r="A1" i="21" s="1"/>
  <c r="B12" i="4"/>
  <c r="D11" i="19"/>
  <c r="B11" i="19"/>
  <c r="A1" i="19" a="1"/>
  <c r="A1" i="19" s="1"/>
  <c r="C33" i="17" s="1"/>
  <c r="B11" i="18"/>
  <c r="B12" i="18" s="1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29" i="18" s="1"/>
  <c r="G12" i="18"/>
  <c r="G11" i="18"/>
  <c r="G10" i="18"/>
  <c r="M5" i="10" l="1"/>
  <c r="M5" i="3"/>
  <c r="K5" i="10"/>
  <c r="O5" i="3"/>
  <c r="C30" i="17"/>
  <c r="C28" i="17"/>
  <c r="C22" i="17"/>
  <c r="G5" i="3"/>
  <c r="B19" i="5"/>
  <c r="B20" i="5" s="1"/>
  <c r="B21" i="5" s="1"/>
  <c r="B12" i="23"/>
  <c r="B13" i="4"/>
  <c r="B13" i="18"/>
  <c r="B22" i="5" l="1"/>
  <c r="B23" i="5" s="1"/>
  <c r="B13" i="23"/>
  <c r="B14" i="4"/>
  <c r="B14" i="18"/>
  <c r="B24" i="5" l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4" i="23"/>
  <c r="B15" i="4"/>
  <c r="B15" i="18"/>
  <c r="B15" i="23" l="1"/>
  <c r="B16" i="4"/>
  <c r="B17" i="4"/>
  <c r="B18" i="4" s="1"/>
  <c r="B19" i="4"/>
  <c r="B20" i="4" s="1"/>
  <c r="B22" i="4" s="1"/>
  <c r="B16" i="18"/>
  <c r="B16" i="23" l="1"/>
  <c r="B17" i="23"/>
  <c r="B24" i="4"/>
  <c r="B25" i="4" s="1"/>
  <c r="B17" i="18"/>
  <c r="B18" i="18"/>
  <c r="B18" i="23" l="1"/>
  <c r="B19" i="23" s="1"/>
  <c r="B26" i="4"/>
  <c r="B28" i="4" s="1"/>
  <c r="B29" i="4" s="1"/>
  <c r="B19" i="18"/>
  <c r="B20" i="23" l="1"/>
  <c r="B20" i="18"/>
  <c r="B21" i="18"/>
  <c r="B22" i="18" s="1"/>
  <c r="B23" i="18" s="1"/>
  <c r="B24" i="18" s="1"/>
  <c r="B25" i="18" s="1"/>
  <c r="B26" i="18" s="1"/>
  <c r="B27" i="18" s="1"/>
  <c r="B29" i="18" s="1"/>
  <c r="B21" i="23" l="1"/>
  <c r="B22" i="23" l="1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D26" i="17"/>
  <c r="A1" i="18" a="1"/>
  <c r="A1" i="18" s="1"/>
  <c r="D17" i="17"/>
  <c r="A1" i="5" a="1"/>
  <c r="A1" i="5" s="1"/>
  <c r="D32" i="17"/>
  <c r="A1" i="8" a="1"/>
  <c r="A1" i="8" s="1"/>
  <c r="D31" i="17"/>
  <c r="A1" i="7" a="1"/>
  <c r="A1" i="7" s="1"/>
  <c r="D27" i="17"/>
  <c r="D23" i="17"/>
  <c r="D16" i="17"/>
  <c r="D15" i="17"/>
  <c r="D14" i="17"/>
  <c r="D13" i="17"/>
  <c r="A1" i="3" a="1"/>
  <c r="A1" i="3" s="1"/>
  <c r="C16" i="17" s="1"/>
  <c r="A1" i="1" a="1"/>
  <c r="A1" i="1" s="1"/>
  <c r="A1" i="10" a="1"/>
  <c r="A1" i="10" s="1"/>
  <c r="C14" i="17" s="1"/>
  <c r="A1" i="9" a="1"/>
  <c r="A1" i="9" s="1"/>
  <c r="C13" i="17" s="1"/>
  <c r="A1" i="11" a="1"/>
  <c r="A1" i="11" s="1"/>
  <c r="A1" i="4" a="1"/>
  <c r="A1" i="4" s="1"/>
  <c r="E193" i="10"/>
  <c r="E192" i="10"/>
  <c r="E191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58" i="10"/>
  <c r="E157" i="10"/>
  <c r="E156" i="10"/>
  <c r="E155" i="10"/>
  <c r="E154" i="10"/>
  <c r="E153" i="10"/>
  <c r="E152" i="10"/>
  <c r="E151" i="10"/>
  <c r="E148" i="10"/>
  <c r="E145" i="10"/>
  <c r="E144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3" i="10"/>
  <c r="E101" i="10"/>
  <c r="E100" i="10"/>
  <c r="E99" i="10"/>
  <c r="E98" i="10"/>
  <c r="E96" i="10"/>
  <c r="E95" i="10"/>
  <c r="E94" i="10"/>
  <c r="E93" i="10"/>
  <c r="E92" i="10"/>
  <c r="E91" i="10"/>
  <c r="E89" i="10"/>
  <c r="E88" i="10"/>
  <c r="E87" i="10"/>
  <c r="E86" i="10"/>
  <c r="E85" i="10"/>
  <c r="E84" i="10"/>
  <c r="E83" i="10"/>
  <c r="E82" i="10"/>
  <c r="E81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B13" i="10"/>
  <c r="K10" i="10"/>
  <c r="L196" i="9"/>
  <c r="L193" i="9"/>
  <c r="L192" i="9"/>
  <c r="E48" i="32" s="1"/>
  <c r="L158" i="9"/>
  <c r="L157" i="9"/>
  <c r="L156" i="9"/>
  <c r="L155" i="9"/>
  <c r="E42" i="32" s="1"/>
  <c r="L154" i="9"/>
  <c r="L153" i="9"/>
  <c r="L152" i="9"/>
  <c r="L151" i="9"/>
  <c r="L148" i="9"/>
  <c r="L145" i="9"/>
  <c r="L144" i="9"/>
  <c r="E40" i="32" s="1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E32" i="32" s="1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E26" i="32" s="1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E28" i="32" s="1"/>
  <c r="L63" i="9"/>
  <c r="E35" i="32" s="1"/>
  <c r="L62" i="9"/>
  <c r="E34" i="32" s="1"/>
  <c r="L61" i="9"/>
  <c r="L60" i="9"/>
  <c r="L59" i="9"/>
  <c r="L58" i="9"/>
  <c r="L57" i="9"/>
  <c r="L56" i="9"/>
  <c r="L55" i="9"/>
  <c r="L54" i="9"/>
  <c r="L53" i="9"/>
  <c r="L52" i="9"/>
  <c r="L51" i="9"/>
  <c r="L50" i="9"/>
  <c r="E33" i="32" s="1"/>
  <c r="L49" i="9"/>
  <c r="E25" i="32" s="1"/>
  <c r="L48" i="9"/>
  <c r="L47" i="9"/>
  <c r="L46" i="9"/>
  <c r="L45" i="9"/>
  <c r="L44" i="9"/>
  <c r="L43" i="9"/>
  <c r="L42" i="9"/>
  <c r="E27" i="32" s="1"/>
  <c r="L41" i="9"/>
  <c r="L40" i="9"/>
  <c r="L39" i="9"/>
  <c r="L38" i="9"/>
  <c r="L37" i="9"/>
  <c r="L36" i="9"/>
  <c r="L35" i="9"/>
  <c r="L34" i="9"/>
  <c r="L33" i="9"/>
  <c r="L30" i="9"/>
  <c r="E14" i="32" s="1"/>
  <c r="L28" i="9"/>
  <c r="L27" i="9"/>
  <c r="L26" i="9"/>
  <c r="E15" i="32" s="1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B13" i="9"/>
  <c r="K10" i="9"/>
  <c r="J10" i="9"/>
  <c r="E63" i="3"/>
  <c r="L63" i="1"/>
  <c r="E35" i="31" s="1"/>
  <c r="J10" i="1"/>
  <c r="K10" i="1"/>
  <c r="D11" i="8"/>
  <c r="D14" i="8" s="1"/>
  <c r="E9" i="7"/>
  <c r="G8" i="7"/>
  <c r="N155" i="10" s="1"/>
  <c r="P155" i="10" s="1"/>
  <c r="R195" i="3"/>
  <c r="R192" i="3"/>
  <c r="R191" i="3"/>
  <c r="R190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30" i="3"/>
  <c r="R29" i="3"/>
  <c r="R28" i="3"/>
  <c r="R27" i="3"/>
  <c r="R26" i="3"/>
  <c r="R25" i="3"/>
  <c r="R23" i="3"/>
  <c r="R22" i="3"/>
  <c r="R20" i="3"/>
  <c r="R19" i="3"/>
  <c r="R17" i="3"/>
  <c r="R16" i="3"/>
  <c r="R15" i="3"/>
  <c r="R14" i="3"/>
  <c r="E192" i="3"/>
  <c r="E191" i="3"/>
  <c r="E190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7" i="3"/>
  <c r="E156" i="3"/>
  <c r="E155" i="3"/>
  <c r="E154" i="3"/>
  <c r="E153" i="3"/>
  <c r="E152" i="3"/>
  <c r="E151" i="3"/>
  <c r="E150" i="3"/>
  <c r="E147" i="3"/>
  <c r="E144" i="3"/>
  <c r="E143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3" i="3"/>
  <c r="E101" i="3"/>
  <c r="E100" i="3"/>
  <c r="E99" i="3"/>
  <c r="E98" i="3"/>
  <c r="E96" i="3"/>
  <c r="E95" i="3"/>
  <c r="E94" i="3"/>
  <c r="E93" i="3"/>
  <c r="E92" i="3"/>
  <c r="E91" i="3"/>
  <c r="E89" i="3"/>
  <c r="E88" i="3"/>
  <c r="E87" i="3"/>
  <c r="E86" i="3"/>
  <c r="E85" i="3"/>
  <c r="E84" i="3"/>
  <c r="E83" i="3"/>
  <c r="E82" i="3"/>
  <c r="E81" i="3"/>
  <c r="E79" i="3"/>
  <c r="E78" i="3"/>
  <c r="E77" i="3"/>
  <c r="E76" i="3"/>
  <c r="E74" i="3"/>
  <c r="E73" i="3"/>
  <c r="E72" i="3"/>
  <c r="E71" i="3"/>
  <c r="E70" i="3"/>
  <c r="E69" i="3"/>
  <c r="E68" i="3"/>
  <c r="E67" i="3"/>
  <c r="E66" i="3"/>
  <c r="E65" i="3"/>
  <c r="E64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L155" i="1"/>
  <c r="E42" i="31" s="1"/>
  <c r="L151" i="1"/>
  <c r="L145" i="1"/>
  <c r="O22" i="4"/>
  <c r="N22" i="4"/>
  <c r="M22" i="4"/>
  <c r="L22" i="4"/>
  <c r="K22" i="4"/>
  <c r="J22" i="4"/>
  <c r="I22" i="4"/>
  <c r="H22" i="4"/>
  <c r="G22" i="4"/>
  <c r="F22" i="4"/>
  <c r="E22" i="4"/>
  <c r="B13" i="3"/>
  <c r="L196" i="1"/>
  <c r="L193" i="1"/>
  <c r="L192" i="1"/>
  <c r="L158" i="1"/>
  <c r="L157" i="1"/>
  <c r="L156" i="1"/>
  <c r="E41" i="31" s="1"/>
  <c r="L154" i="1"/>
  <c r="L153" i="1"/>
  <c r="L152" i="1"/>
  <c r="E43" i="31" s="1"/>
  <c r="L148" i="1"/>
  <c r="L144" i="1"/>
  <c r="E40" i="31" s="1"/>
  <c r="L100" i="1"/>
  <c r="L96" i="1"/>
  <c r="L84" i="1"/>
  <c r="L80" i="1"/>
  <c r="L59" i="1"/>
  <c r="L36" i="1"/>
  <c r="L14" i="1"/>
  <c r="L15" i="1"/>
  <c r="L16" i="1"/>
  <c r="L17" i="1"/>
  <c r="L18" i="1"/>
  <c r="E13" i="31" s="1"/>
  <c r="L19" i="1"/>
  <c r="L20" i="1"/>
  <c r="L21" i="1"/>
  <c r="L22" i="1"/>
  <c r="E17" i="31" s="1"/>
  <c r="L23" i="1"/>
  <c r="L24" i="1"/>
  <c r="L25" i="1"/>
  <c r="L26" i="1"/>
  <c r="E15" i="31" s="1"/>
  <c r="L27" i="1"/>
  <c r="L28" i="1"/>
  <c r="L29" i="1"/>
  <c r="L30" i="1"/>
  <c r="E14" i="31" s="1"/>
  <c r="L13" i="1"/>
  <c r="B13" i="1"/>
  <c r="G188" i="1"/>
  <c r="G183" i="1"/>
  <c r="L183" i="1" s="1"/>
  <c r="G180" i="1"/>
  <c r="L180" i="1" s="1"/>
  <c r="M180" i="1" s="1"/>
  <c r="G179" i="1"/>
  <c r="L179" i="1" s="1"/>
  <c r="M179" i="1" s="1"/>
  <c r="F178" i="3" s="1"/>
  <c r="G177" i="1"/>
  <c r="L177" i="1" s="1"/>
  <c r="M177" i="1" s="1"/>
  <c r="G176" i="1"/>
  <c r="L176" i="1" s="1"/>
  <c r="G172" i="1"/>
  <c r="L172" i="1" s="1"/>
  <c r="M172" i="1" s="1"/>
  <c r="F171" i="3" s="1"/>
  <c r="G165" i="1"/>
  <c r="L165" i="1" s="1"/>
  <c r="M165" i="1" s="1"/>
  <c r="G164" i="1"/>
  <c r="L164" i="1" s="1"/>
  <c r="M164" i="1" s="1"/>
  <c r="G163" i="1"/>
  <c r="L163" i="1" s="1"/>
  <c r="M163" i="1" s="1"/>
  <c r="F162" i="3" s="1"/>
  <c r="D42" i="31"/>
  <c r="D49" i="31"/>
  <c r="D38" i="31"/>
  <c r="D28" i="31"/>
  <c r="D34" i="31"/>
  <c r="L35" i="1" l="1"/>
  <c r="M104" i="5"/>
  <c r="N104" i="5" s="1"/>
  <c r="G80" i="31"/>
  <c r="L188" i="1"/>
  <c r="M188" i="1" s="1"/>
  <c r="F187" i="3" s="1"/>
  <c r="S187" i="3" s="1"/>
  <c r="L134" i="1"/>
  <c r="B14" i="1"/>
  <c r="L92" i="1"/>
  <c r="M92" i="1" s="1"/>
  <c r="L137" i="1"/>
  <c r="E12" i="31"/>
  <c r="E48" i="31"/>
  <c r="M63" i="1"/>
  <c r="F63" i="3" s="1"/>
  <c r="F43" i="32"/>
  <c r="F30" i="32"/>
  <c r="F39" i="32"/>
  <c r="F41" i="32"/>
  <c r="F21" i="32"/>
  <c r="F40" i="32"/>
  <c r="F42" i="32"/>
  <c r="E12" i="32"/>
  <c r="E31" i="32"/>
  <c r="E43" i="32"/>
  <c r="E41" i="32"/>
  <c r="E22" i="32"/>
  <c r="D32" i="31"/>
  <c r="L44" i="1"/>
  <c r="L88" i="1"/>
  <c r="L104" i="1"/>
  <c r="M104" i="1" s="1"/>
  <c r="L108" i="1"/>
  <c r="L112" i="1"/>
  <c r="L116" i="1"/>
  <c r="M116" i="1" s="1"/>
  <c r="L124" i="1"/>
  <c r="M124" i="1" s="1"/>
  <c r="L133" i="1"/>
  <c r="L120" i="1"/>
  <c r="E29" i="32"/>
  <c r="L140" i="1"/>
  <c r="M140" i="1" s="1"/>
  <c r="L136" i="1"/>
  <c r="L132" i="1"/>
  <c r="M132" i="1" s="1"/>
  <c r="L128" i="1"/>
  <c r="M128" i="1" s="1"/>
  <c r="L123" i="1"/>
  <c r="L119" i="1"/>
  <c r="L110" i="1"/>
  <c r="M110" i="1" s="1"/>
  <c r="L106" i="1"/>
  <c r="L102" i="1"/>
  <c r="L98" i="1"/>
  <c r="M98" i="1" s="1"/>
  <c r="L94" i="1"/>
  <c r="L90" i="1"/>
  <c r="L86" i="1"/>
  <c r="L82" i="1"/>
  <c r="M82" i="1" s="1"/>
  <c r="L77" i="1"/>
  <c r="L69" i="1"/>
  <c r="L60" i="1"/>
  <c r="L56" i="1"/>
  <c r="L51" i="1"/>
  <c r="L47" i="1"/>
  <c r="M47" i="1" s="1"/>
  <c r="L39" i="1"/>
  <c r="L34" i="1"/>
  <c r="L139" i="1"/>
  <c r="L135" i="1"/>
  <c r="M135" i="1" s="1"/>
  <c r="L131" i="1"/>
  <c r="L127" i="1"/>
  <c r="L122" i="1"/>
  <c r="M122" i="1" s="1"/>
  <c r="L117" i="1"/>
  <c r="L113" i="1"/>
  <c r="L109" i="1"/>
  <c r="L105" i="1"/>
  <c r="M105" i="1" s="1"/>
  <c r="L101" i="1"/>
  <c r="L97" i="1"/>
  <c r="L93" i="1"/>
  <c r="L89" i="1"/>
  <c r="M89" i="1" s="1"/>
  <c r="L81" i="1"/>
  <c r="M81" i="1" s="1"/>
  <c r="L76" i="1"/>
  <c r="L72" i="1"/>
  <c r="M72" i="1" s="1"/>
  <c r="L68" i="1"/>
  <c r="M68" i="1" s="1"/>
  <c r="L64" i="1"/>
  <c r="E28" i="31" s="1"/>
  <c r="L55" i="1"/>
  <c r="L46" i="1"/>
  <c r="L138" i="1"/>
  <c r="M138" i="1" s="1"/>
  <c r="L130" i="1"/>
  <c r="L121" i="1"/>
  <c r="L75" i="1"/>
  <c r="L71" i="1"/>
  <c r="M71" i="1" s="1"/>
  <c r="L67" i="1"/>
  <c r="L62" i="1"/>
  <c r="E34" i="31" s="1"/>
  <c r="L58" i="1"/>
  <c r="L54" i="1"/>
  <c r="L49" i="1"/>
  <c r="L45" i="1"/>
  <c r="L41" i="1"/>
  <c r="L141" i="1"/>
  <c r="M141" i="1" s="1"/>
  <c r="L115" i="1"/>
  <c r="L111" i="1"/>
  <c r="L107" i="1"/>
  <c r="L103" i="1"/>
  <c r="L99" i="1"/>
  <c r="L95" i="1"/>
  <c r="L91" i="1"/>
  <c r="L87" i="1"/>
  <c r="L83" i="1"/>
  <c r="L78" i="1"/>
  <c r="E26" i="31" s="1"/>
  <c r="L74" i="1"/>
  <c r="L70" i="1"/>
  <c r="L66" i="1"/>
  <c r="L61" i="1"/>
  <c r="L57" i="1"/>
  <c r="L53" i="1"/>
  <c r="L48" i="1"/>
  <c r="L40" i="1"/>
  <c r="O5" i="10"/>
  <c r="N5" i="10"/>
  <c r="J5" i="10"/>
  <c r="I5" i="10"/>
  <c r="I5" i="9"/>
  <c r="C17" i="17"/>
  <c r="I5" i="1"/>
  <c r="C32" i="17"/>
  <c r="Q5" i="3"/>
  <c r="C31" i="17"/>
  <c r="P5" i="3"/>
  <c r="C27" i="17"/>
  <c r="L5" i="3"/>
  <c r="C26" i="17"/>
  <c r="K5" i="3"/>
  <c r="C23" i="17"/>
  <c r="H5" i="3"/>
  <c r="F48" i="31"/>
  <c r="F30" i="31"/>
  <c r="F16" i="31"/>
  <c r="F21" i="31"/>
  <c r="F14" i="31"/>
  <c r="F39" i="31"/>
  <c r="F13" i="32"/>
  <c r="F48" i="32"/>
  <c r="F15" i="32"/>
  <c r="F14" i="32"/>
  <c r="F16" i="32"/>
  <c r="F12" i="32"/>
  <c r="I10" i="10"/>
  <c r="E44" i="32"/>
  <c r="E37" i="32"/>
  <c r="E20" i="32"/>
  <c r="E36" i="32"/>
  <c r="E24" i="32"/>
  <c r="E23" i="32"/>
  <c r="E13" i="32"/>
  <c r="G75" i="31"/>
  <c r="G76" i="31"/>
  <c r="G58" i="31"/>
  <c r="G97" i="31"/>
  <c r="G96" i="31"/>
  <c r="G98" i="31"/>
  <c r="D31" i="31"/>
  <c r="D41" i="31"/>
  <c r="R147" i="3"/>
  <c r="F49" i="31" s="1"/>
  <c r="R157" i="3"/>
  <c r="D13" i="31"/>
  <c r="H33" i="11"/>
  <c r="K33" i="11" s="1"/>
  <c r="R143" i="3"/>
  <c r="R155" i="3"/>
  <c r="G167" i="9"/>
  <c r="L167" i="9" s="1"/>
  <c r="M167" i="9" s="1"/>
  <c r="F167" i="10" s="1"/>
  <c r="M183" i="1"/>
  <c r="F182" i="3" s="1"/>
  <c r="S182" i="3" s="1"/>
  <c r="R144" i="3"/>
  <c r="R156" i="3"/>
  <c r="M61" i="9"/>
  <c r="F61" i="10" s="1"/>
  <c r="M13" i="5"/>
  <c r="M30" i="5"/>
  <c r="M34" i="5"/>
  <c r="M38" i="5"/>
  <c r="M42" i="5"/>
  <c r="M46" i="5"/>
  <c r="M50" i="5"/>
  <c r="M59" i="5"/>
  <c r="M74" i="5"/>
  <c r="M79" i="5"/>
  <c r="M80" i="5"/>
  <c r="M89" i="5"/>
  <c r="M98" i="5"/>
  <c r="M103" i="5"/>
  <c r="M105" i="5"/>
  <c r="M106" i="5"/>
  <c r="M112" i="5"/>
  <c r="M113" i="5"/>
  <c r="M114" i="5"/>
  <c r="K10" i="3"/>
  <c r="J10" i="18"/>
  <c r="K10" i="18" s="1"/>
  <c r="I29" i="18"/>
  <c r="J14" i="18"/>
  <c r="K14" i="18" s="1"/>
  <c r="J18" i="18"/>
  <c r="K18" i="18" s="1"/>
  <c r="J22" i="18"/>
  <c r="K22" i="18" s="1"/>
  <c r="J26" i="18"/>
  <c r="K26" i="18" s="1"/>
  <c r="J11" i="18"/>
  <c r="K11" i="18" s="1"/>
  <c r="J15" i="18"/>
  <c r="K15" i="18" s="1"/>
  <c r="J19" i="18"/>
  <c r="K19" i="18" s="1"/>
  <c r="J23" i="18"/>
  <c r="K23" i="18" s="1"/>
  <c r="J27" i="18"/>
  <c r="K27" i="18" s="1"/>
  <c r="J12" i="18"/>
  <c r="K12" i="18" s="1"/>
  <c r="J16" i="18"/>
  <c r="K16" i="18" s="1"/>
  <c r="J20" i="18"/>
  <c r="K20" i="18" s="1"/>
  <c r="J24" i="18"/>
  <c r="K24" i="18" s="1"/>
  <c r="J13" i="18"/>
  <c r="K13" i="18" s="1"/>
  <c r="J17" i="18"/>
  <c r="K17" i="18" s="1"/>
  <c r="J21" i="18"/>
  <c r="K21" i="18" s="1"/>
  <c r="J25" i="18"/>
  <c r="K25" i="18" s="1"/>
  <c r="B23" i="23"/>
  <c r="M115" i="5"/>
  <c r="M116" i="5"/>
  <c r="E116" i="23" s="1"/>
  <c r="F116" i="23" s="1"/>
  <c r="M121" i="5"/>
  <c r="M123" i="5"/>
  <c r="D22" i="4"/>
  <c r="M12" i="5"/>
  <c r="M31" i="5"/>
  <c r="M32" i="5"/>
  <c r="M35" i="5"/>
  <c r="M36" i="5"/>
  <c r="M40" i="5"/>
  <c r="M44" i="5"/>
  <c r="M48" i="5"/>
  <c r="M52" i="5"/>
  <c r="M75" i="5"/>
  <c r="M10" i="5"/>
  <c r="N10" i="5" s="1"/>
  <c r="M14" i="5"/>
  <c r="N14" i="5" s="1"/>
  <c r="M15" i="5"/>
  <c r="N15" i="5" s="1"/>
  <c r="M19" i="5"/>
  <c r="N19" i="5" s="1"/>
  <c r="M23" i="5"/>
  <c r="M27" i="5"/>
  <c r="M51" i="5"/>
  <c r="E51" i="23" s="1"/>
  <c r="F51" i="23" s="1"/>
  <c r="M55" i="5"/>
  <c r="N55" i="5" s="1"/>
  <c r="M58" i="5"/>
  <c r="M65" i="5"/>
  <c r="M77" i="5"/>
  <c r="M86" i="5"/>
  <c r="M93" i="5"/>
  <c r="M95" i="5"/>
  <c r="M102" i="5"/>
  <c r="M108" i="5"/>
  <c r="M109" i="5"/>
  <c r="M11" i="5"/>
  <c r="M16" i="5"/>
  <c r="M20" i="5"/>
  <c r="N20" i="5" s="1"/>
  <c r="M39" i="5"/>
  <c r="M43" i="5"/>
  <c r="M47" i="5"/>
  <c r="M60" i="5"/>
  <c r="M67" i="5"/>
  <c r="M68" i="5"/>
  <c r="M70" i="5"/>
  <c r="M76" i="5"/>
  <c r="M81" i="5"/>
  <c r="M82" i="5"/>
  <c r="M83" i="5"/>
  <c r="M84" i="5"/>
  <c r="M85" i="5"/>
  <c r="M90" i="5"/>
  <c r="N90" i="5" s="1"/>
  <c r="M91" i="5"/>
  <c r="M92" i="5"/>
  <c r="M99" i="5"/>
  <c r="M100" i="5"/>
  <c r="M107" i="5"/>
  <c r="M17" i="5"/>
  <c r="M18" i="5"/>
  <c r="M21" i="5"/>
  <c r="M22" i="5"/>
  <c r="M25" i="5"/>
  <c r="M26" i="5"/>
  <c r="M29" i="5"/>
  <c r="N29" i="5" s="1"/>
  <c r="M54" i="5"/>
  <c r="M62" i="5"/>
  <c r="M64" i="5"/>
  <c r="E64" i="23" s="1"/>
  <c r="F64" i="23" s="1"/>
  <c r="M73" i="5"/>
  <c r="M78" i="5"/>
  <c r="M87" i="5"/>
  <c r="M88" i="5"/>
  <c r="M94" i="5"/>
  <c r="N94" i="5" s="1"/>
  <c r="M96" i="5"/>
  <c r="M97" i="5"/>
  <c r="M101" i="5"/>
  <c r="E101" i="23" s="1"/>
  <c r="F101" i="23" s="1"/>
  <c r="M110" i="5"/>
  <c r="M111" i="5"/>
  <c r="M120" i="5"/>
  <c r="M122" i="5"/>
  <c r="M45" i="9"/>
  <c r="F45" i="10" s="1"/>
  <c r="M94" i="9"/>
  <c r="F94" i="10" s="1"/>
  <c r="M139" i="9"/>
  <c r="F139" i="10" s="1"/>
  <c r="G173" i="9"/>
  <c r="L173" i="9" s="1"/>
  <c r="M39" i="9"/>
  <c r="F39" i="10" s="1"/>
  <c r="M17" i="9"/>
  <c r="F17" i="10" s="1"/>
  <c r="M99" i="9"/>
  <c r="F99" i="10" s="1"/>
  <c r="M110" i="9"/>
  <c r="F110" i="10" s="1"/>
  <c r="M134" i="9"/>
  <c r="F134" i="10" s="1"/>
  <c r="G162" i="9"/>
  <c r="L162" i="9" s="1"/>
  <c r="M162" i="9" s="1"/>
  <c r="F162" i="10" s="1"/>
  <c r="G184" i="9"/>
  <c r="L184" i="9" s="1"/>
  <c r="M184" i="9" s="1"/>
  <c r="F184" i="10" s="1"/>
  <c r="M67" i="9"/>
  <c r="F67" i="10" s="1"/>
  <c r="M127" i="9"/>
  <c r="F127" i="10" s="1"/>
  <c r="M131" i="9"/>
  <c r="F131" i="10" s="1"/>
  <c r="M138" i="9"/>
  <c r="F138" i="10" s="1"/>
  <c r="M157" i="9"/>
  <c r="F157" i="10" s="1"/>
  <c r="G166" i="9"/>
  <c r="L166" i="9" s="1"/>
  <c r="M166" i="9" s="1"/>
  <c r="F166" i="10" s="1"/>
  <c r="M57" i="1"/>
  <c r="M130" i="1"/>
  <c r="M53" i="9"/>
  <c r="F53" i="10" s="1"/>
  <c r="D15" i="31"/>
  <c r="M68" i="9"/>
  <c r="F68" i="10" s="1"/>
  <c r="M16" i="9"/>
  <c r="F16" i="10" s="1"/>
  <c r="M23" i="9"/>
  <c r="F23" i="10" s="1"/>
  <c r="M25" i="9"/>
  <c r="F25" i="10" s="1"/>
  <c r="M60" i="9"/>
  <c r="F60" i="10" s="1"/>
  <c r="M66" i="1"/>
  <c r="F179" i="3"/>
  <c r="S179" i="3" s="1"/>
  <c r="M14" i="9"/>
  <c r="F14" i="10" s="1"/>
  <c r="D12" i="31"/>
  <c r="M37" i="9"/>
  <c r="F37" i="10" s="1"/>
  <c r="M54" i="1"/>
  <c r="F163" i="3"/>
  <c r="S163" i="3" s="1"/>
  <c r="M80" i="9"/>
  <c r="F80" i="10" s="1"/>
  <c r="M83" i="9"/>
  <c r="F83" i="10" s="1"/>
  <c r="M96" i="9"/>
  <c r="F96" i="10" s="1"/>
  <c r="M105" i="9"/>
  <c r="F105" i="10" s="1"/>
  <c r="M112" i="9"/>
  <c r="F112" i="10" s="1"/>
  <c r="M133" i="9"/>
  <c r="F133" i="10" s="1"/>
  <c r="M140" i="9"/>
  <c r="F140" i="10" s="1"/>
  <c r="G173" i="1"/>
  <c r="L173" i="1" s="1"/>
  <c r="M173" i="1" s="1"/>
  <c r="G175" i="9"/>
  <c r="L175" i="9" s="1"/>
  <c r="M175" i="9" s="1"/>
  <c r="F175" i="10" s="1"/>
  <c r="G177" i="9"/>
  <c r="L177" i="9" s="1"/>
  <c r="M177" i="9" s="1"/>
  <c r="F177" i="10" s="1"/>
  <c r="Q177" i="10" s="1"/>
  <c r="G179" i="9"/>
  <c r="L179" i="9" s="1"/>
  <c r="M179" i="9" s="1"/>
  <c r="F179" i="10" s="1"/>
  <c r="Q179" i="10" s="1"/>
  <c r="D17" i="31"/>
  <c r="D33" i="31"/>
  <c r="M61" i="1"/>
  <c r="M67" i="1"/>
  <c r="D26" i="31"/>
  <c r="M83" i="1"/>
  <c r="D24" i="31"/>
  <c r="M99" i="1"/>
  <c r="G167" i="1"/>
  <c r="L167" i="1" s="1"/>
  <c r="M167" i="1" s="1"/>
  <c r="M58" i="9"/>
  <c r="F58" i="10" s="1"/>
  <c r="M84" i="9"/>
  <c r="F84" i="10" s="1"/>
  <c r="M100" i="9"/>
  <c r="F100" i="10" s="1"/>
  <c r="M116" i="9"/>
  <c r="F116" i="10" s="1"/>
  <c r="M118" i="9"/>
  <c r="F118" i="10" s="1"/>
  <c r="M120" i="9"/>
  <c r="F120" i="10" s="1"/>
  <c r="H30" i="11"/>
  <c r="K30" i="11" s="1"/>
  <c r="M151" i="9"/>
  <c r="F151" i="10" s="1"/>
  <c r="G170" i="9"/>
  <c r="L170" i="9" s="1"/>
  <c r="F176" i="3"/>
  <c r="S176" i="3" s="1"/>
  <c r="D44" i="31"/>
  <c r="M95" i="1"/>
  <c r="M27" i="9"/>
  <c r="F27" i="10" s="1"/>
  <c r="M55" i="9"/>
  <c r="F55" i="10" s="1"/>
  <c r="H16" i="11"/>
  <c r="K16" i="11" s="1"/>
  <c r="M72" i="9"/>
  <c r="F72" i="10" s="1"/>
  <c r="M87" i="9"/>
  <c r="F87" i="10" s="1"/>
  <c r="M103" i="9"/>
  <c r="F103" i="10" s="1"/>
  <c r="M15" i="9"/>
  <c r="F15" i="10" s="1"/>
  <c r="M43" i="9"/>
  <c r="F43" i="10" s="1"/>
  <c r="M46" i="9"/>
  <c r="F46" i="10" s="1"/>
  <c r="M52" i="9"/>
  <c r="F52" i="10" s="1"/>
  <c r="M55" i="1"/>
  <c r="M59" i="9"/>
  <c r="F59" i="10" s="1"/>
  <c r="M69" i="9"/>
  <c r="F69" i="10" s="1"/>
  <c r="M81" i="9"/>
  <c r="F81" i="10" s="1"/>
  <c r="M82" i="9"/>
  <c r="F82" i="10" s="1"/>
  <c r="M88" i="9"/>
  <c r="F88" i="10" s="1"/>
  <c r="M91" i="9"/>
  <c r="F91" i="10" s="1"/>
  <c r="M97" i="9"/>
  <c r="F97" i="10" s="1"/>
  <c r="M98" i="9"/>
  <c r="F98" i="10" s="1"/>
  <c r="M104" i="9"/>
  <c r="F104" i="10" s="1"/>
  <c r="M107" i="9"/>
  <c r="F107" i="10" s="1"/>
  <c r="M111" i="9"/>
  <c r="F111" i="10" s="1"/>
  <c r="M114" i="9"/>
  <c r="F114" i="10" s="1"/>
  <c r="F164" i="3"/>
  <c r="S164" i="3" s="1"/>
  <c r="G178" i="9"/>
  <c r="L178" i="9" s="1"/>
  <c r="G185" i="9"/>
  <c r="L185" i="9" s="1"/>
  <c r="M185" i="9" s="1"/>
  <c r="F185" i="10" s="1"/>
  <c r="M191" i="1"/>
  <c r="F190" i="3" s="1"/>
  <c r="D14" i="31"/>
  <c r="M48" i="1"/>
  <c r="M58" i="1"/>
  <c r="M70" i="1"/>
  <c r="M91" i="1"/>
  <c r="M107" i="1"/>
  <c r="G175" i="1"/>
  <c r="L175" i="1" s="1"/>
  <c r="M175" i="1" s="1"/>
  <c r="M193" i="1"/>
  <c r="M119" i="9"/>
  <c r="F119" i="10" s="1"/>
  <c r="M19" i="9"/>
  <c r="F19" i="10" s="1"/>
  <c r="M28" i="9"/>
  <c r="F28" i="10" s="1"/>
  <c r="M40" i="9"/>
  <c r="F40" i="10" s="1"/>
  <c r="M41" i="9"/>
  <c r="F41" i="10" s="1"/>
  <c r="M47" i="9"/>
  <c r="F47" i="10" s="1"/>
  <c r="M56" i="9"/>
  <c r="F56" i="10" s="1"/>
  <c r="M57" i="9"/>
  <c r="F57" i="10" s="1"/>
  <c r="M59" i="1"/>
  <c r="M71" i="9"/>
  <c r="F71" i="10" s="1"/>
  <c r="M102" i="9"/>
  <c r="F102" i="10" s="1"/>
  <c r="M108" i="9"/>
  <c r="F108" i="10" s="1"/>
  <c r="M121" i="9"/>
  <c r="F121" i="10" s="1"/>
  <c r="M122" i="9"/>
  <c r="F122" i="10" s="1"/>
  <c r="M129" i="9"/>
  <c r="F129" i="10" s="1"/>
  <c r="M136" i="9"/>
  <c r="F136" i="10" s="1"/>
  <c r="G169" i="1"/>
  <c r="L169" i="1" s="1"/>
  <c r="M169" i="1" s="1"/>
  <c r="G171" i="9"/>
  <c r="L171" i="9" s="1"/>
  <c r="M171" i="9" s="1"/>
  <c r="F171" i="10" s="1"/>
  <c r="G182" i="9"/>
  <c r="L182" i="9" s="1"/>
  <c r="G185" i="1"/>
  <c r="L185" i="1" s="1"/>
  <c r="M185" i="1" s="1"/>
  <c r="M60" i="1"/>
  <c r="M87" i="1"/>
  <c r="M119" i="1"/>
  <c r="G171" i="1"/>
  <c r="L171" i="1" s="1"/>
  <c r="M171" i="1" s="1"/>
  <c r="G187" i="1"/>
  <c r="L187" i="1" s="1"/>
  <c r="M187" i="1" s="1"/>
  <c r="M196" i="1"/>
  <c r="M95" i="9"/>
  <c r="F95" i="10" s="1"/>
  <c r="M115" i="9"/>
  <c r="F115" i="10" s="1"/>
  <c r="M124" i="9"/>
  <c r="F124" i="10" s="1"/>
  <c r="M128" i="9"/>
  <c r="F128" i="10" s="1"/>
  <c r="M132" i="9"/>
  <c r="F132" i="10" s="1"/>
  <c r="M135" i="9"/>
  <c r="F135" i="10" s="1"/>
  <c r="M141" i="9"/>
  <c r="F141" i="10" s="1"/>
  <c r="M158" i="9"/>
  <c r="F158" i="10" s="1"/>
  <c r="G163" i="9"/>
  <c r="L163" i="9" s="1"/>
  <c r="M163" i="9" s="1"/>
  <c r="F163" i="10" s="1"/>
  <c r="Q163" i="10" s="1"/>
  <c r="H40" i="11"/>
  <c r="K40" i="11" s="1"/>
  <c r="G169" i="9"/>
  <c r="L169" i="9" s="1"/>
  <c r="G172" i="9"/>
  <c r="L172" i="9" s="1"/>
  <c r="M172" i="9" s="1"/>
  <c r="F172" i="10" s="1"/>
  <c r="Q172" i="10" s="1"/>
  <c r="G174" i="9"/>
  <c r="L174" i="9" s="1"/>
  <c r="M174" i="9" s="1"/>
  <c r="F174" i="10" s="1"/>
  <c r="G176" i="9"/>
  <c r="L176" i="9" s="1"/>
  <c r="M176" i="9" s="1"/>
  <c r="F176" i="10" s="1"/>
  <c r="G181" i="1"/>
  <c r="L181" i="1" s="1"/>
  <c r="M181" i="1" s="1"/>
  <c r="M66" i="9"/>
  <c r="F66" i="10" s="1"/>
  <c r="M70" i="9"/>
  <c r="F70" i="10" s="1"/>
  <c r="M86" i="9"/>
  <c r="F86" i="10" s="1"/>
  <c r="M90" i="9"/>
  <c r="F90" i="10" s="1"/>
  <c r="M123" i="9"/>
  <c r="F123" i="10" s="1"/>
  <c r="C15" i="17"/>
  <c r="F24" i="4"/>
  <c r="F25" i="4"/>
  <c r="N10" i="10"/>
  <c r="M51" i="9"/>
  <c r="F51" i="10" s="1"/>
  <c r="M113" i="9"/>
  <c r="F113" i="10" s="1"/>
  <c r="B14" i="10"/>
  <c r="B15" i="10" s="1"/>
  <c r="M38" i="9"/>
  <c r="F38" i="10" s="1"/>
  <c r="B14" i="9"/>
  <c r="M14" i="1"/>
  <c r="M18" i="1"/>
  <c r="M13" i="1"/>
  <c r="M15" i="1"/>
  <c r="M19" i="1"/>
  <c r="S190" i="3"/>
  <c r="D16" i="8"/>
  <c r="F11" i="7"/>
  <c r="E11" i="7"/>
  <c r="M23" i="1"/>
  <c r="M27" i="1"/>
  <c r="M17" i="1"/>
  <c r="M21" i="1"/>
  <c r="M25" i="1"/>
  <c r="M29" i="1"/>
  <c r="M33" i="5"/>
  <c r="M37" i="5"/>
  <c r="M41" i="5"/>
  <c r="N41" i="5" s="1"/>
  <c r="M45" i="5"/>
  <c r="M49" i="5"/>
  <c r="N49" i="5" s="1"/>
  <c r="M57" i="5"/>
  <c r="M61" i="5"/>
  <c r="N61" i="5" s="1"/>
  <c r="M63" i="5"/>
  <c r="M69" i="5"/>
  <c r="M72" i="5"/>
  <c r="M24" i="5"/>
  <c r="M28" i="5"/>
  <c r="M53" i="5"/>
  <c r="M56" i="5"/>
  <c r="E56" i="23" s="1"/>
  <c r="F56" i="23" s="1"/>
  <c r="M66" i="5"/>
  <c r="M71" i="5"/>
  <c r="E71" i="23" s="1"/>
  <c r="S162" i="3"/>
  <c r="S178" i="3"/>
  <c r="B14" i="3"/>
  <c r="B15" i="3" s="1"/>
  <c r="S171" i="3"/>
  <c r="M16" i="1"/>
  <c r="M20" i="1"/>
  <c r="M24" i="1"/>
  <c r="M28" i="1"/>
  <c r="M176" i="1"/>
  <c r="G168" i="1"/>
  <c r="G184" i="1"/>
  <c r="L184" i="1" s="1"/>
  <c r="M184" i="1" s="1"/>
  <c r="G162" i="1"/>
  <c r="L162" i="1" s="1"/>
  <c r="M162" i="1" s="1"/>
  <c r="G166" i="1"/>
  <c r="L166" i="1" s="1"/>
  <c r="M166" i="1" s="1"/>
  <c r="G170" i="1"/>
  <c r="L170" i="1" s="1"/>
  <c r="M170" i="1" s="1"/>
  <c r="G174" i="1"/>
  <c r="L174" i="1" s="1"/>
  <c r="M174" i="1" s="1"/>
  <c r="G178" i="1"/>
  <c r="L178" i="1" s="1"/>
  <c r="M178" i="1" s="1"/>
  <c r="G182" i="1"/>
  <c r="L182" i="1" s="1"/>
  <c r="M182" i="1" s="1"/>
  <c r="M36" i="1"/>
  <c r="M40" i="1"/>
  <c r="M44" i="1"/>
  <c r="M69" i="1"/>
  <c r="M77" i="1"/>
  <c r="G186" i="1"/>
  <c r="L186" i="1" s="1"/>
  <c r="M186" i="1" s="1"/>
  <c r="M93" i="1"/>
  <c r="M97" i="1"/>
  <c r="M101" i="1"/>
  <c r="M109" i="1"/>
  <c r="M113" i="1"/>
  <c r="M117" i="1"/>
  <c r="M121" i="1"/>
  <c r="M134" i="1"/>
  <c r="M156" i="1"/>
  <c r="B15" i="1"/>
  <c r="M41" i="1"/>
  <c r="M45" i="1"/>
  <c r="M49" i="1"/>
  <c r="M74" i="1"/>
  <c r="M86" i="1"/>
  <c r="M90" i="1"/>
  <c r="M102" i="1"/>
  <c r="M106" i="1"/>
  <c r="M127" i="1"/>
  <c r="M145" i="1"/>
  <c r="M157" i="1"/>
  <c r="M192" i="1"/>
  <c r="M46" i="1"/>
  <c r="M62" i="1"/>
  <c r="M75" i="1"/>
  <c r="M111" i="1"/>
  <c r="M115" i="1"/>
  <c r="M136" i="1"/>
  <c r="M148" i="1"/>
  <c r="M154" i="1"/>
  <c r="M158" i="1"/>
  <c r="M35" i="1"/>
  <c r="M39" i="1"/>
  <c r="M51" i="1"/>
  <c r="M64" i="1"/>
  <c r="M76" i="1"/>
  <c r="M80" i="1"/>
  <c r="M84" i="1"/>
  <c r="M96" i="1"/>
  <c r="M100" i="1"/>
  <c r="M108" i="1"/>
  <c r="M112" i="1"/>
  <c r="M120" i="1"/>
  <c r="M133" i="1"/>
  <c r="M137" i="1"/>
  <c r="M151" i="1"/>
  <c r="M155" i="1"/>
  <c r="G80" i="32"/>
  <c r="G164" i="9"/>
  <c r="M85" i="9"/>
  <c r="F85" i="10" s="1"/>
  <c r="M101" i="9"/>
  <c r="F101" i="10" s="1"/>
  <c r="M117" i="9"/>
  <c r="F117" i="10" s="1"/>
  <c r="M137" i="9"/>
  <c r="F137" i="10" s="1"/>
  <c r="M137" i="10" s="1"/>
  <c r="G180" i="9"/>
  <c r="L180" i="9" s="1"/>
  <c r="M180" i="9" s="1"/>
  <c r="F180" i="10" s="1"/>
  <c r="Q180" i="10" s="1"/>
  <c r="M20" i="9"/>
  <c r="F20" i="10" s="1"/>
  <c r="G165" i="9"/>
  <c r="L165" i="9" s="1"/>
  <c r="M192" i="9"/>
  <c r="F192" i="10" s="1"/>
  <c r="M24" i="9"/>
  <c r="F24" i="10" s="1"/>
  <c r="M48" i="9"/>
  <c r="F48" i="10" s="1"/>
  <c r="M77" i="9"/>
  <c r="F77" i="10" s="1"/>
  <c r="M93" i="9"/>
  <c r="F93" i="10" s="1"/>
  <c r="M109" i="9"/>
  <c r="F109" i="10" s="1"/>
  <c r="I29" i="9" l="1"/>
  <c r="M88" i="1"/>
  <c r="M53" i="1"/>
  <c r="M103" i="1"/>
  <c r="L129" i="1"/>
  <c r="M129" i="1" s="1"/>
  <c r="F128" i="3" s="1"/>
  <c r="N27" i="5"/>
  <c r="L85" i="1"/>
  <c r="M85" i="1" s="1"/>
  <c r="L65" i="1"/>
  <c r="M65" i="1" s="1"/>
  <c r="L37" i="1"/>
  <c r="M37" i="1" s="1"/>
  <c r="L73" i="1"/>
  <c r="M73" i="1" s="1"/>
  <c r="L43" i="1"/>
  <c r="M43" i="1" s="1"/>
  <c r="L42" i="1"/>
  <c r="E27" i="31" s="1"/>
  <c r="E24" i="31"/>
  <c r="L114" i="1"/>
  <c r="M114" i="1" s="1"/>
  <c r="F114" i="3" s="1"/>
  <c r="E49" i="31"/>
  <c r="M153" i="1"/>
  <c r="M26" i="1"/>
  <c r="D16" i="32"/>
  <c r="M35" i="9"/>
  <c r="F35" i="10" s="1"/>
  <c r="M144" i="9"/>
  <c r="F144" i="10" s="1"/>
  <c r="Q144" i="10" s="1"/>
  <c r="G77" i="32"/>
  <c r="M106" i="9"/>
  <c r="F106" i="10" s="1"/>
  <c r="D38" i="32"/>
  <c r="D28" i="32"/>
  <c r="M73" i="9"/>
  <c r="F73" i="10" s="1"/>
  <c r="M36" i="9"/>
  <c r="F36" i="10" s="1"/>
  <c r="D13" i="32"/>
  <c r="M21" i="9"/>
  <c r="F21" i="10" s="1"/>
  <c r="M49" i="9"/>
  <c r="F49" i="10" s="1"/>
  <c r="D26" i="32"/>
  <c r="D27" i="32"/>
  <c r="M89" i="9"/>
  <c r="F89" i="10" s="1"/>
  <c r="M54" i="9"/>
  <c r="F54" i="10" s="1"/>
  <c r="D14" i="32"/>
  <c r="M65" i="9"/>
  <c r="F65" i="10" s="1"/>
  <c r="G168" i="9"/>
  <c r="L168" i="9" s="1"/>
  <c r="M168" i="9" s="1"/>
  <c r="F168" i="10" s="1"/>
  <c r="Q168" i="10" s="1"/>
  <c r="M44" i="9"/>
  <c r="F44" i="10" s="1"/>
  <c r="M33" i="9"/>
  <c r="F33" i="10" s="1"/>
  <c r="M50" i="9"/>
  <c r="F50" i="10" s="1"/>
  <c r="M22" i="9"/>
  <c r="F22" i="10" s="1"/>
  <c r="Q22" i="10" s="1"/>
  <c r="M94" i="1"/>
  <c r="E11" i="58"/>
  <c r="E13" i="58"/>
  <c r="F13" i="58" s="1"/>
  <c r="L168" i="1"/>
  <c r="E30" i="31" s="1"/>
  <c r="E14" i="58"/>
  <c r="F14" i="58" s="1"/>
  <c r="E10" i="58"/>
  <c r="F10" i="58" s="1"/>
  <c r="H19" i="11"/>
  <c r="K19" i="11" s="1"/>
  <c r="D48" i="31"/>
  <c r="D40" i="31"/>
  <c r="M34" i="1"/>
  <c r="F34" i="3" s="1"/>
  <c r="M130" i="9"/>
  <c r="F130" i="10" s="1"/>
  <c r="M75" i="9"/>
  <c r="F75" i="10" s="1"/>
  <c r="M74" i="9"/>
  <c r="F74" i="10" s="1"/>
  <c r="B15" i="9"/>
  <c r="M76" i="9"/>
  <c r="F76" i="10" s="1"/>
  <c r="D42" i="32"/>
  <c r="M154" i="9"/>
  <c r="F154" i="10" s="1"/>
  <c r="M153" i="9"/>
  <c r="F153" i="10" s="1"/>
  <c r="Q153" i="10" s="1"/>
  <c r="M152" i="1"/>
  <c r="M139" i="1"/>
  <c r="F138" i="3" s="1"/>
  <c r="M131" i="1"/>
  <c r="M56" i="1"/>
  <c r="F56" i="3" s="1"/>
  <c r="M123" i="1"/>
  <c r="E31" i="31"/>
  <c r="E32" i="31"/>
  <c r="E20" i="31"/>
  <c r="E29" i="31"/>
  <c r="E36" i="31"/>
  <c r="E22" i="31"/>
  <c r="L118" i="1"/>
  <c r="M118" i="1" s="1"/>
  <c r="F118" i="3" s="1"/>
  <c r="E25" i="31"/>
  <c r="D41" i="32"/>
  <c r="H12" i="11"/>
  <c r="K12" i="11" s="1"/>
  <c r="H44" i="11"/>
  <c r="K44" i="11" s="1"/>
  <c r="H32" i="11"/>
  <c r="K32" i="11" s="1"/>
  <c r="H23" i="11"/>
  <c r="K23" i="11" s="1"/>
  <c r="G39" i="31"/>
  <c r="G21" i="31"/>
  <c r="H22" i="11"/>
  <c r="K22" i="11" s="1"/>
  <c r="G39" i="32"/>
  <c r="G14" i="31"/>
  <c r="G87" i="31"/>
  <c r="G102" i="31"/>
  <c r="G53" i="31"/>
  <c r="G60" i="31"/>
  <c r="G56" i="31"/>
  <c r="G72" i="31"/>
  <c r="G92" i="31"/>
  <c r="G85" i="31"/>
  <c r="G64" i="31"/>
  <c r="G61" i="31"/>
  <c r="G84" i="31"/>
  <c r="G69" i="31"/>
  <c r="G86" i="31"/>
  <c r="G54" i="31"/>
  <c r="G71" i="31"/>
  <c r="G66" i="31"/>
  <c r="H17" i="11"/>
  <c r="K17" i="11" s="1"/>
  <c r="G9" i="7"/>
  <c r="M22" i="1"/>
  <c r="F22" i="3" s="1"/>
  <c r="S22" i="3" s="1"/>
  <c r="H46" i="11"/>
  <c r="K46" i="11" s="1"/>
  <c r="H41" i="11"/>
  <c r="K41" i="11" s="1"/>
  <c r="H24" i="11"/>
  <c r="K24" i="11" s="1"/>
  <c r="M30" i="1"/>
  <c r="F30" i="3" s="1"/>
  <c r="S30" i="3" s="1"/>
  <c r="H48" i="11"/>
  <c r="K48" i="11" s="1"/>
  <c r="H18" i="11"/>
  <c r="K18" i="11" s="1"/>
  <c r="H13" i="11"/>
  <c r="K13" i="11" s="1"/>
  <c r="G58" i="32"/>
  <c r="G161" i="1"/>
  <c r="D16" i="31"/>
  <c r="G98" i="32"/>
  <c r="D29" i="31"/>
  <c r="G76" i="32"/>
  <c r="M182" i="9"/>
  <c r="F182" i="10" s="1"/>
  <c r="Q182" i="10" s="1"/>
  <c r="H15" i="11"/>
  <c r="K15" i="11" s="1"/>
  <c r="G75" i="32"/>
  <c r="D30" i="31"/>
  <c r="H34" i="11"/>
  <c r="K34" i="11" s="1"/>
  <c r="M78" i="1"/>
  <c r="F78" i="3" s="1"/>
  <c r="M144" i="1"/>
  <c r="F143" i="3" s="1"/>
  <c r="S143" i="3" s="1"/>
  <c r="D37" i="31"/>
  <c r="H21" i="11"/>
  <c r="K21" i="11" s="1"/>
  <c r="H29" i="11"/>
  <c r="K29" i="11" s="1"/>
  <c r="D24" i="32"/>
  <c r="H35" i="11"/>
  <c r="K35" i="11" s="1"/>
  <c r="D22" i="31"/>
  <c r="D37" i="32"/>
  <c r="D23" i="31"/>
  <c r="D33" i="32"/>
  <c r="M196" i="9"/>
  <c r="F196" i="10" s="1"/>
  <c r="Q196" i="10" s="1"/>
  <c r="M193" i="9"/>
  <c r="F193" i="10" s="1"/>
  <c r="Q193" i="10" s="1"/>
  <c r="D34" i="32"/>
  <c r="D12" i="32"/>
  <c r="E45" i="31"/>
  <c r="D25" i="31"/>
  <c r="M13" i="9"/>
  <c r="F13" i="10" s="1"/>
  <c r="D44" i="32"/>
  <c r="D36" i="31"/>
  <c r="M145" i="9"/>
  <c r="F145" i="10" s="1"/>
  <c r="Q145" i="10" s="1"/>
  <c r="M165" i="9"/>
  <c r="F165" i="10" s="1"/>
  <c r="Q165" i="10" s="1"/>
  <c r="G188" i="9"/>
  <c r="H47" i="11"/>
  <c r="K47" i="11" s="1"/>
  <c r="G181" i="9"/>
  <c r="L181" i="9" s="1"/>
  <c r="M181" i="9" s="1"/>
  <c r="F181" i="10" s="1"/>
  <c r="Q181" i="10" s="1"/>
  <c r="D31" i="32"/>
  <c r="D29" i="32"/>
  <c r="G183" i="9"/>
  <c r="L183" i="9" s="1"/>
  <c r="G187" i="9"/>
  <c r="L187" i="9" s="1"/>
  <c r="M187" i="9" s="1"/>
  <c r="F187" i="10" s="1"/>
  <c r="Q187" i="10" s="1"/>
  <c r="H49" i="11"/>
  <c r="K49" i="11" s="1"/>
  <c r="M92" i="9"/>
  <c r="F92" i="10" s="1"/>
  <c r="D43" i="31"/>
  <c r="M42" i="1"/>
  <c r="F42" i="3" s="1"/>
  <c r="D27" i="31"/>
  <c r="D36" i="32"/>
  <c r="D45" i="31"/>
  <c r="D20" i="31"/>
  <c r="M26" i="9"/>
  <c r="F26" i="10" s="1"/>
  <c r="Q26" i="10" s="1"/>
  <c r="F41" i="31"/>
  <c r="F40" i="31"/>
  <c r="M156" i="9"/>
  <c r="F156" i="10" s="1"/>
  <c r="Q156" i="10" s="1"/>
  <c r="M79" i="9"/>
  <c r="F79" i="10" s="1"/>
  <c r="H28" i="11"/>
  <c r="K28" i="11" s="1"/>
  <c r="H45" i="11"/>
  <c r="K45" i="11" s="1"/>
  <c r="H27" i="11"/>
  <c r="K27" i="11" s="1"/>
  <c r="G80" i="3"/>
  <c r="E69" i="23"/>
  <c r="F69" i="23" s="1"/>
  <c r="E49" i="23"/>
  <c r="F49" i="23" s="1"/>
  <c r="E33" i="23"/>
  <c r="F33" i="23" s="1"/>
  <c r="E120" i="23"/>
  <c r="F120" i="23" s="1"/>
  <c r="G150" i="3" s="1"/>
  <c r="E97" i="23"/>
  <c r="F97" i="23" s="1"/>
  <c r="E87" i="23"/>
  <c r="F87" i="23" s="1"/>
  <c r="E62" i="23"/>
  <c r="F62" i="23" s="1"/>
  <c r="E25" i="23"/>
  <c r="F25" i="23" s="1"/>
  <c r="E17" i="23"/>
  <c r="F17" i="23" s="1"/>
  <c r="E92" i="23"/>
  <c r="F92" i="23" s="1"/>
  <c r="E84" i="23"/>
  <c r="F84" i="23" s="1"/>
  <c r="E76" i="23"/>
  <c r="F76" i="23" s="1"/>
  <c r="E60" i="23"/>
  <c r="F60" i="23" s="1"/>
  <c r="E20" i="23"/>
  <c r="F20" i="23" s="1"/>
  <c r="E108" i="23"/>
  <c r="F108" i="23" s="1"/>
  <c r="E86" i="23"/>
  <c r="F86" i="23" s="1"/>
  <c r="E19" i="23"/>
  <c r="F19" i="23" s="1"/>
  <c r="E75" i="23"/>
  <c r="F75" i="23" s="1"/>
  <c r="E40" i="23"/>
  <c r="F40" i="23" s="1"/>
  <c r="E31" i="23"/>
  <c r="F31" i="23" s="1"/>
  <c r="E123" i="23"/>
  <c r="F123" i="23" s="1"/>
  <c r="G153" i="3" s="1"/>
  <c r="E114" i="23"/>
  <c r="F114" i="23" s="1"/>
  <c r="E105" i="23"/>
  <c r="F105" i="23" s="1"/>
  <c r="E89" i="23"/>
  <c r="F89" i="23" s="1"/>
  <c r="E59" i="23"/>
  <c r="F59" i="23" s="1"/>
  <c r="E38" i="23"/>
  <c r="F38" i="23" s="1"/>
  <c r="E53" i="23"/>
  <c r="F53" i="23" s="1"/>
  <c r="E63" i="23"/>
  <c r="F63" i="23" s="1"/>
  <c r="E45" i="23"/>
  <c r="F45" i="23" s="1"/>
  <c r="E111" i="23"/>
  <c r="F111" i="23" s="1"/>
  <c r="E96" i="23"/>
  <c r="F96" i="23" s="1"/>
  <c r="E78" i="23"/>
  <c r="F78" i="23" s="1"/>
  <c r="E54" i="23"/>
  <c r="F54" i="23" s="1"/>
  <c r="E22" i="23"/>
  <c r="F22" i="23" s="1"/>
  <c r="E107" i="23"/>
  <c r="F107" i="23" s="1"/>
  <c r="E91" i="23"/>
  <c r="F91" i="23" s="1"/>
  <c r="E83" i="23"/>
  <c r="F83" i="23" s="1"/>
  <c r="E70" i="23"/>
  <c r="F70" i="23" s="1"/>
  <c r="E47" i="23"/>
  <c r="F47" i="23" s="1"/>
  <c r="E16" i="23"/>
  <c r="F16" i="23" s="1"/>
  <c r="E102" i="23"/>
  <c r="F102" i="23" s="1"/>
  <c r="E77" i="23"/>
  <c r="F77" i="23" s="1"/>
  <c r="G75" i="3"/>
  <c r="E15" i="23"/>
  <c r="F15" i="23" s="1"/>
  <c r="E52" i="23"/>
  <c r="F52" i="23" s="1"/>
  <c r="E36" i="23"/>
  <c r="F36" i="23" s="1"/>
  <c r="E12" i="23"/>
  <c r="F12" i="23" s="1"/>
  <c r="E121" i="23"/>
  <c r="F121" i="23" s="1"/>
  <c r="G151" i="3" s="1"/>
  <c r="E113" i="23"/>
  <c r="F113" i="23" s="1"/>
  <c r="E104" i="23"/>
  <c r="F104" i="23" s="1"/>
  <c r="E80" i="23"/>
  <c r="F80" i="23" s="1"/>
  <c r="E50" i="23"/>
  <c r="F50" i="23" s="1"/>
  <c r="E34" i="23"/>
  <c r="F34" i="23" s="1"/>
  <c r="F71" i="23"/>
  <c r="E28" i="23"/>
  <c r="F28" i="23" s="1"/>
  <c r="E61" i="23"/>
  <c r="F61" i="23" s="1"/>
  <c r="E41" i="23"/>
  <c r="F41" i="23" s="1"/>
  <c r="E110" i="23"/>
  <c r="F110" i="23" s="1"/>
  <c r="E94" i="23"/>
  <c r="F94" i="23" s="1"/>
  <c r="E73" i="23"/>
  <c r="F73" i="23" s="1"/>
  <c r="E21" i="23"/>
  <c r="F21" i="23" s="1"/>
  <c r="E100" i="23"/>
  <c r="F100" i="23" s="1"/>
  <c r="E90" i="23"/>
  <c r="F90" i="23" s="1"/>
  <c r="E82" i="23"/>
  <c r="F82" i="23" s="1"/>
  <c r="E68" i="23"/>
  <c r="F68" i="23" s="1"/>
  <c r="E43" i="23"/>
  <c r="F43" i="23" s="1"/>
  <c r="E11" i="23"/>
  <c r="F11" i="23" s="1"/>
  <c r="E95" i="23"/>
  <c r="F95" i="23" s="1"/>
  <c r="E65" i="23"/>
  <c r="F65" i="23" s="1"/>
  <c r="E27" i="23"/>
  <c r="F27" i="23" s="1"/>
  <c r="E14" i="23"/>
  <c r="F14" i="23" s="1"/>
  <c r="E48" i="23"/>
  <c r="F48" i="23" s="1"/>
  <c r="E35" i="23"/>
  <c r="F35" i="23" s="1"/>
  <c r="G140" i="3"/>
  <c r="E112" i="23"/>
  <c r="F112" i="23" s="1"/>
  <c r="E103" i="23"/>
  <c r="F103" i="23" s="1"/>
  <c r="E79" i="23"/>
  <c r="F79" i="23" s="1"/>
  <c r="E46" i="23"/>
  <c r="F46" i="23" s="1"/>
  <c r="E30" i="23"/>
  <c r="F30" i="23" s="1"/>
  <c r="E66" i="23"/>
  <c r="F66" i="23" s="1"/>
  <c r="E24" i="23"/>
  <c r="F24" i="23" s="1"/>
  <c r="E72" i="23"/>
  <c r="F72" i="23" s="1"/>
  <c r="E57" i="23"/>
  <c r="F57" i="23" s="1"/>
  <c r="E37" i="23"/>
  <c r="F37" i="23" s="1"/>
  <c r="E122" i="23"/>
  <c r="F122" i="23" s="1"/>
  <c r="G152" i="3" s="1"/>
  <c r="E88" i="23"/>
  <c r="F88" i="23" s="1"/>
  <c r="G88" i="3"/>
  <c r="E26" i="23"/>
  <c r="F26" i="23" s="1"/>
  <c r="E18" i="23"/>
  <c r="F18" i="23" s="1"/>
  <c r="E99" i="23"/>
  <c r="F99" i="23" s="1"/>
  <c r="E85" i="23"/>
  <c r="F85" i="23" s="1"/>
  <c r="E81" i="23"/>
  <c r="F81" i="23" s="1"/>
  <c r="E67" i="23"/>
  <c r="F67" i="23" s="1"/>
  <c r="E39" i="23"/>
  <c r="F39" i="23" s="1"/>
  <c r="E109" i="23"/>
  <c r="F109" i="23" s="1"/>
  <c r="E93" i="23"/>
  <c r="F93" i="23" s="1"/>
  <c r="E58" i="23"/>
  <c r="F58" i="23" s="1"/>
  <c r="E23" i="23"/>
  <c r="F23" i="23" s="1"/>
  <c r="E10" i="23"/>
  <c r="E44" i="23"/>
  <c r="F44" i="23" s="1"/>
  <c r="E32" i="23"/>
  <c r="F32" i="23" s="1"/>
  <c r="E115" i="23"/>
  <c r="F115" i="23" s="1"/>
  <c r="E106" i="23"/>
  <c r="F106" i="23" s="1"/>
  <c r="E98" i="23"/>
  <c r="F98" i="23" s="1"/>
  <c r="E74" i="23"/>
  <c r="F74" i="23" s="1"/>
  <c r="E42" i="23"/>
  <c r="F42" i="23" s="1"/>
  <c r="E13" i="23"/>
  <c r="F13" i="23" s="1"/>
  <c r="M25" i="18"/>
  <c r="N25" i="18" s="1"/>
  <c r="M27" i="18"/>
  <c r="N27" i="18" s="1"/>
  <c r="M14" i="18"/>
  <c r="N14" i="18" s="1"/>
  <c r="M16" i="18"/>
  <c r="N16" i="18" s="1"/>
  <c r="M22" i="18"/>
  <c r="N22" i="18" s="1"/>
  <c r="M24" i="18"/>
  <c r="N24" i="18" s="1"/>
  <c r="M11" i="18"/>
  <c r="N11" i="18" s="1"/>
  <c r="M17" i="18"/>
  <c r="N17" i="18" s="1"/>
  <c r="M19" i="18"/>
  <c r="N19" i="18" s="1"/>
  <c r="M21" i="18"/>
  <c r="N21" i="18" s="1"/>
  <c r="M13" i="18"/>
  <c r="N13" i="18" s="1"/>
  <c r="M20" i="18"/>
  <c r="N20" i="18" s="1"/>
  <c r="M12" i="18"/>
  <c r="N12" i="18" s="1"/>
  <c r="M23" i="18"/>
  <c r="N23" i="18" s="1"/>
  <c r="M15" i="18"/>
  <c r="N15" i="18" s="1"/>
  <c r="M26" i="18"/>
  <c r="N26" i="18" s="1"/>
  <c r="M18" i="18"/>
  <c r="N18" i="18" s="1"/>
  <c r="K29" i="18"/>
  <c r="M10" i="18"/>
  <c r="N10" i="18" s="1"/>
  <c r="J29" i="18"/>
  <c r="H43" i="11"/>
  <c r="K43" i="11" s="1"/>
  <c r="H31" i="11"/>
  <c r="K31" i="11" s="1"/>
  <c r="H26" i="11"/>
  <c r="K26" i="11" s="1"/>
  <c r="G51" i="11"/>
  <c r="H25" i="11"/>
  <c r="K25" i="11" s="1"/>
  <c r="B24" i="23"/>
  <c r="B25" i="23" s="1"/>
  <c r="B26" i="23" s="1"/>
  <c r="B27" i="23" s="1"/>
  <c r="B28" i="23" s="1"/>
  <c r="B29" i="23" s="1"/>
  <c r="F26" i="4"/>
  <c r="H20" i="11"/>
  <c r="K20" i="11" s="1"/>
  <c r="F37" i="11"/>
  <c r="F10" i="1"/>
  <c r="H14" i="11"/>
  <c r="K14" i="11" s="1"/>
  <c r="M169" i="9"/>
  <c r="F169" i="10" s="1"/>
  <c r="Q169" i="10" s="1"/>
  <c r="H11" i="11"/>
  <c r="K11" i="11" s="1"/>
  <c r="F51" i="11"/>
  <c r="F192" i="3"/>
  <c r="S192" i="3" s="1"/>
  <c r="F107" i="3"/>
  <c r="F53" i="3"/>
  <c r="M53" i="10"/>
  <c r="F55" i="3"/>
  <c r="F91" i="3"/>
  <c r="F195" i="3"/>
  <c r="S195" i="3" s="1"/>
  <c r="F60" i="3"/>
  <c r="F59" i="3"/>
  <c r="F130" i="3"/>
  <c r="F181" i="3"/>
  <c r="S181" i="3" s="1"/>
  <c r="F172" i="3"/>
  <c r="S172" i="3" s="1"/>
  <c r="F108" i="3"/>
  <c r="F43" i="3"/>
  <c r="F87" i="3"/>
  <c r="F98" i="3"/>
  <c r="F109" i="3"/>
  <c r="F165" i="3"/>
  <c r="S165" i="3" s="1"/>
  <c r="Q166" i="10"/>
  <c r="F17" i="3"/>
  <c r="S17" i="3" s="1"/>
  <c r="Q17" i="10"/>
  <c r="F18" i="3"/>
  <c r="F104" i="3"/>
  <c r="F153" i="3"/>
  <c r="Q154" i="10"/>
  <c r="F99" i="3"/>
  <c r="F94" i="3"/>
  <c r="F185" i="3"/>
  <c r="S185" i="3" s="1"/>
  <c r="F44" i="3"/>
  <c r="F140" i="3"/>
  <c r="F92" i="3"/>
  <c r="F135" i="3"/>
  <c r="F103" i="3"/>
  <c r="F71" i="3"/>
  <c r="F152" i="3"/>
  <c r="F82" i="3"/>
  <c r="F49" i="3"/>
  <c r="F81" i="3"/>
  <c r="F65" i="3"/>
  <c r="F175" i="3"/>
  <c r="S175" i="3" s="1"/>
  <c r="Q176" i="10"/>
  <c r="F13" i="3"/>
  <c r="F180" i="3"/>
  <c r="S180" i="3" s="1"/>
  <c r="F120" i="3"/>
  <c r="F72" i="3"/>
  <c r="F39" i="3"/>
  <c r="F115" i="3"/>
  <c r="F67" i="3"/>
  <c r="F126" i="3"/>
  <c r="F61" i="3"/>
  <c r="F105" i="3"/>
  <c r="F177" i="3"/>
  <c r="S177" i="3" s="1"/>
  <c r="F27" i="3"/>
  <c r="S27" i="3" s="1"/>
  <c r="Q27" i="10"/>
  <c r="F14" i="3"/>
  <c r="S14" i="3" s="1"/>
  <c r="Q14" i="10"/>
  <c r="G37" i="11"/>
  <c r="F154" i="3"/>
  <c r="F132" i="3"/>
  <c r="F116" i="3"/>
  <c r="F100" i="3"/>
  <c r="F84" i="3"/>
  <c r="F68" i="3"/>
  <c r="F51" i="3"/>
  <c r="F35" i="3"/>
  <c r="F147" i="3"/>
  <c r="S147" i="3" s="1"/>
  <c r="F127" i="3"/>
  <c r="F111" i="3"/>
  <c r="F95" i="3"/>
  <c r="F62" i="3"/>
  <c r="F46" i="3"/>
  <c r="F191" i="3"/>
  <c r="S191" i="3" s="1"/>
  <c r="Q192" i="10"/>
  <c r="F122" i="3"/>
  <c r="F106" i="3"/>
  <c r="F90" i="3"/>
  <c r="F74" i="3"/>
  <c r="F57" i="3"/>
  <c r="F41" i="3"/>
  <c r="F155" i="3"/>
  <c r="S155" i="3" s="1"/>
  <c r="F133" i="3"/>
  <c r="F117" i="3"/>
  <c r="F101" i="3"/>
  <c r="F89" i="3"/>
  <c r="F73" i="3"/>
  <c r="F40" i="3"/>
  <c r="F173" i="3"/>
  <c r="S173" i="3" s="1"/>
  <c r="Q174" i="10"/>
  <c r="F183" i="3"/>
  <c r="S183" i="3" s="1"/>
  <c r="Q184" i="10"/>
  <c r="F24" i="3"/>
  <c r="Q24" i="10"/>
  <c r="F25" i="3"/>
  <c r="S25" i="3" s="1"/>
  <c r="Q25" i="10"/>
  <c r="F23" i="3"/>
  <c r="S23" i="3" s="1"/>
  <c r="Q23" i="10"/>
  <c r="F19" i="3"/>
  <c r="S19" i="3" s="1"/>
  <c r="Q19" i="10"/>
  <c r="F26" i="3"/>
  <c r="S26" i="3" s="1"/>
  <c r="F170" i="3"/>
  <c r="S170" i="3" s="1"/>
  <c r="Q171" i="10"/>
  <c r="G10" i="1"/>
  <c r="F166" i="3"/>
  <c r="S166" i="3" s="1"/>
  <c r="Q167" i="10"/>
  <c r="F124" i="3"/>
  <c r="F76" i="3"/>
  <c r="F157" i="3"/>
  <c r="S157" i="3" s="1"/>
  <c r="Q158" i="10"/>
  <c r="F119" i="3"/>
  <c r="F54" i="3"/>
  <c r="F66" i="3"/>
  <c r="F93" i="3"/>
  <c r="F48" i="3"/>
  <c r="F16" i="3"/>
  <c r="S16" i="3" s="1"/>
  <c r="Q16" i="10"/>
  <c r="F136" i="3"/>
  <c r="F88" i="3"/>
  <c r="F131" i="3"/>
  <c r="F83" i="3"/>
  <c r="H83" i="10"/>
  <c r="F144" i="3"/>
  <c r="S144" i="3" s="1"/>
  <c r="F110" i="3"/>
  <c r="F45" i="3"/>
  <c r="F137" i="3"/>
  <c r="F121" i="3"/>
  <c r="F77" i="3"/>
  <c r="F161" i="3"/>
  <c r="S161" i="3" s="1"/>
  <c r="Q162" i="10"/>
  <c r="F28" i="3"/>
  <c r="S28" i="3" s="1"/>
  <c r="Q28" i="10"/>
  <c r="F29" i="3"/>
  <c r="S29" i="3" s="1"/>
  <c r="H42" i="11"/>
  <c r="K42" i="11" s="1"/>
  <c r="F186" i="3"/>
  <c r="S186" i="3" s="1"/>
  <c r="F174" i="3"/>
  <c r="S174" i="3" s="1"/>
  <c r="Q175" i="10"/>
  <c r="F150" i="3"/>
  <c r="Q151" i="10"/>
  <c r="F112" i="3"/>
  <c r="F96" i="3"/>
  <c r="F80" i="3"/>
  <c r="F64" i="3"/>
  <c r="F47" i="3"/>
  <c r="F139" i="3"/>
  <c r="F123" i="3"/>
  <c r="F75" i="3"/>
  <c r="F58" i="3"/>
  <c r="F156" i="3"/>
  <c r="S156" i="3" s="1"/>
  <c r="Q157" i="10"/>
  <c r="F134" i="3"/>
  <c r="F102" i="3"/>
  <c r="F86" i="3"/>
  <c r="F70" i="3"/>
  <c r="F37" i="3"/>
  <c r="F151" i="3"/>
  <c r="F129" i="3"/>
  <c r="F113" i="3"/>
  <c r="F97" i="3"/>
  <c r="F85" i="3"/>
  <c r="F69" i="3"/>
  <c r="F36" i="3"/>
  <c r="F169" i="3"/>
  <c r="S169" i="3" s="1"/>
  <c r="F20" i="3"/>
  <c r="S20" i="3" s="1"/>
  <c r="Q20" i="10"/>
  <c r="F21" i="3"/>
  <c r="Q21" i="10"/>
  <c r="F15" i="3"/>
  <c r="S15" i="3" s="1"/>
  <c r="Q15" i="10"/>
  <c r="M178" i="9"/>
  <c r="F178" i="10" s="1"/>
  <c r="Q178" i="10" s="1"/>
  <c r="M170" i="9"/>
  <c r="F170" i="10" s="1"/>
  <c r="Q170" i="10" s="1"/>
  <c r="M173" i="9"/>
  <c r="F173" i="10" s="1"/>
  <c r="Q173" i="10" s="1"/>
  <c r="F184" i="3"/>
  <c r="S184" i="3" s="1"/>
  <c r="Q185" i="10"/>
  <c r="F168" i="3"/>
  <c r="S168" i="3" s="1"/>
  <c r="D17" i="8"/>
  <c r="O63" i="10"/>
  <c r="Q63" i="3"/>
  <c r="G11" i="7"/>
  <c r="F29" i="4"/>
  <c r="B16" i="10"/>
  <c r="B17" i="10" s="1"/>
  <c r="L164" i="9"/>
  <c r="B16" i="9"/>
  <c r="B16" i="3"/>
  <c r="B17" i="3" s="1"/>
  <c r="B18" i="3" s="1"/>
  <c r="B16" i="1"/>
  <c r="M191" i="9" l="1"/>
  <c r="F191" i="10" s="1"/>
  <c r="Q191" i="10" s="1"/>
  <c r="D48" i="32"/>
  <c r="L29" i="9"/>
  <c r="I10" i="9"/>
  <c r="L50" i="1"/>
  <c r="M50" i="1" s="1"/>
  <c r="F50" i="3" s="1"/>
  <c r="G34" i="3"/>
  <c r="G49" i="31"/>
  <c r="R151" i="3"/>
  <c r="S151" i="3" s="1"/>
  <c r="R153" i="3"/>
  <c r="S153" i="3" s="1"/>
  <c r="R152" i="3"/>
  <c r="S152" i="3" s="1"/>
  <c r="R150" i="3"/>
  <c r="S150" i="3" s="1"/>
  <c r="O80" i="3"/>
  <c r="D17" i="32"/>
  <c r="M78" i="9"/>
  <c r="F78" i="10" s="1"/>
  <c r="D30" i="32"/>
  <c r="L161" i="1"/>
  <c r="D20" i="32"/>
  <c r="M155" i="9"/>
  <c r="F155" i="10" s="1"/>
  <c r="Q155" i="10" s="1"/>
  <c r="M152" i="9"/>
  <c r="F152" i="10" s="1"/>
  <c r="Q152" i="10" s="1"/>
  <c r="D43" i="32"/>
  <c r="G42" i="32"/>
  <c r="M168" i="1"/>
  <c r="F167" i="3" s="1"/>
  <c r="S167" i="3" s="1"/>
  <c r="M42" i="9"/>
  <c r="F42" i="10" s="1"/>
  <c r="G14" i="32"/>
  <c r="M64" i="9"/>
  <c r="F64" i="10" s="1"/>
  <c r="D15" i="32"/>
  <c r="M18" i="9"/>
  <c r="F18" i="10" s="1"/>
  <c r="Q18" i="10" s="1"/>
  <c r="D32" i="32"/>
  <c r="G161" i="9"/>
  <c r="D22" i="32"/>
  <c r="D25" i="32"/>
  <c r="M30" i="9"/>
  <c r="F30" i="10" s="1"/>
  <c r="Q30" i="10" s="1"/>
  <c r="E16" i="58"/>
  <c r="L188" i="9"/>
  <c r="E49" i="32" s="1"/>
  <c r="G14" i="58"/>
  <c r="I24" i="3"/>
  <c r="G13" i="58"/>
  <c r="I21" i="3"/>
  <c r="F11" i="58"/>
  <c r="I18" i="3" s="1"/>
  <c r="B10" i="17"/>
  <c r="M34" i="9"/>
  <c r="F34" i="10" s="1"/>
  <c r="D11" i="7"/>
  <c r="H8" i="7"/>
  <c r="H9" i="7"/>
  <c r="P154" i="3"/>
  <c r="M148" i="9"/>
  <c r="F148" i="10" s="1"/>
  <c r="Q148" i="10" s="1"/>
  <c r="D49" i="32"/>
  <c r="G41" i="32"/>
  <c r="D23" i="32"/>
  <c r="L38" i="1"/>
  <c r="L52" i="1"/>
  <c r="L79" i="1"/>
  <c r="O140" i="3"/>
  <c r="J88" i="3"/>
  <c r="O75" i="3"/>
  <c r="G48" i="31"/>
  <c r="G107" i="31"/>
  <c r="G56" i="32"/>
  <c r="F10" i="9"/>
  <c r="G97" i="32"/>
  <c r="G69" i="32"/>
  <c r="G86" i="32"/>
  <c r="G60" i="32"/>
  <c r="G92" i="32"/>
  <c r="G64" i="32"/>
  <c r="G102" i="32"/>
  <c r="G66" i="32"/>
  <c r="G85" i="32"/>
  <c r="G30" i="31"/>
  <c r="G87" i="32"/>
  <c r="G61" i="32"/>
  <c r="G53" i="32"/>
  <c r="G71" i="32"/>
  <c r="G96" i="32"/>
  <c r="G84" i="32"/>
  <c r="G54" i="32"/>
  <c r="G72" i="32"/>
  <c r="G40" i="31"/>
  <c r="G41" i="31"/>
  <c r="E30" i="32"/>
  <c r="G13" i="32"/>
  <c r="G12" i="32"/>
  <c r="M183" i="9"/>
  <c r="F183" i="10" s="1"/>
  <c r="Q183" i="10" s="1"/>
  <c r="M63" i="9"/>
  <c r="F63" i="10" s="1"/>
  <c r="D45" i="32"/>
  <c r="K51" i="11"/>
  <c r="D40" i="32"/>
  <c r="M75" i="10"/>
  <c r="M141" i="10"/>
  <c r="M80" i="10"/>
  <c r="G186" i="9"/>
  <c r="M62" i="9"/>
  <c r="F62" i="10" s="1"/>
  <c r="M130" i="10"/>
  <c r="M54" i="10"/>
  <c r="M70" i="10"/>
  <c r="M135" i="10"/>
  <c r="M81" i="10"/>
  <c r="M103" i="10"/>
  <c r="M59" i="10"/>
  <c r="M55" i="10"/>
  <c r="M107" i="10"/>
  <c r="M69" i="10"/>
  <c r="M58" i="10"/>
  <c r="M57" i="10"/>
  <c r="M111" i="10"/>
  <c r="M91" i="10"/>
  <c r="M88" i="10"/>
  <c r="M36" i="10"/>
  <c r="M76" i="10"/>
  <c r="M56" i="10"/>
  <c r="E55" i="23"/>
  <c r="F55" i="23" s="1"/>
  <c r="E29" i="23"/>
  <c r="F29" i="23" s="1"/>
  <c r="G66" i="3"/>
  <c r="G122" i="3"/>
  <c r="G139" i="3"/>
  <c r="G133" i="3"/>
  <c r="G91" i="3"/>
  <c r="G123" i="3"/>
  <c r="G60" i="3"/>
  <c r="G96" i="3"/>
  <c r="G90" i="3"/>
  <c r="G70" i="3"/>
  <c r="G127" i="3"/>
  <c r="G72" i="3"/>
  <c r="G92" i="3"/>
  <c r="G85" i="3"/>
  <c r="G95" i="3"/>
  <c r="G74" i="3"/>
  <c r="G128" i="3"/>
  <c r="G59" i="3"/>
  <c r="G38" i="3"/>
  <c r="G101" i="3"/>
  <c r="G39" i="3"/>
  <c r="G94" i="3"/>
  <c r="G115" i="3"/>
  <c r="G45" i="3"/>
  <c r="G102" i="3"/>
  <c r="G135" i="3"/>
  <c r="G87" i="3"/>
  <c r="G61" i="3"/>
  <c r="G113" i="3"/>
  <c r="G138" i="3"/>
  <c r="G54" i="3"/>
  <c r="G42" i="3"/>
  <c r="G84" i="3"/>
  <c r="G56" i="3"/>
  <c r="G93" i="3"/>
  <c r="G68" i="3"/>
  <c r="G46" i="3"/>
  <c r="G117" i="3"/>
  <c r="G109" i="3"/>
  <c r="G50" i="3"/>
  <c r="G119" i="3"/>
  <c r="G114" i="3"/>
  <c r="G44" i="3"/>
  <c r="G118" i="3"/>
  <c r="G99" i="3"/>
  <c r="G110" i="3"/>
  <c r="G108" i="3"/>
  <c r="G48" i="3"/>
  <c r="G111" i="3"/>
  <c r="G36" i="3"/>
  <c r="G98" i="3"/>
  <c r="G130" i="3"/>
  <c r="G55" i="3"/>
  <c r="G63" i="3"/>
  <c r="R63" i="3" s="1"/>
  <c r="G62" i="3"/>
  <c r="G105" i="3"/>
  <c r="G49" i="3"/>
  <c r="G112" i="3"/>
  <c r="G81" i="3"/>
  <c r="G47" i="3"/>
  <c r="G53" i="3"/>
  <c r="G103" i="3"/>
  <c r="G136" i="3"/>
  <c r="G58" i="3"/>
  <c r="G67" i="3"/>
  <c r="G106" i="3"/>
  <c r="G97" i="3"/>
  <c r="G65" i="3"/>
  <c r="G51" i="3"/>
  <c r="G57" i="3"/>
  <c r="G104" i="3"/>
  <c r="G137" i="3"/>
  <c r="G35" i="3"/>
  <c r="G76" i="3"/>
  <c r="G126" i="3"/>
  <c r="G71" i="3"/>
  <c r="G107" i="3"/>
  <c r="G131" i="3"/>
  <c r="G78" i="3"/>
  <c r="G120" i="3"/>
  <c r="G69" i="3"/>
  <c r="G77" i="3"/>
  <c r="G83" i="3"/>
  <c r="G129" i="3"/>
  <c r="G64" i="3"/>
  <c r="G79" i="3"/>
  <c r="G43" i="3"/>
  <c r="G40" i="3"/>
  <c r="G73" i="3"/>
  <c r="G82" i="3"/>
  <c r="G41" i="3"/>
  <c r="G37" i="3"/>
  <c r="G89" i="3"/>
  <c r="G124" i="3"/>
  <c r="G52" i="3"/>
  <c r="G134" i="3"/>
  <c r="G132" i="3"/>
  <c r="G100" i="3"/>
  <c r="G116" i="3"/>
  <c r="G86" i="3"/>
  <c r="G121" i="3"/>
  <c r="N29" i="18"/>
  <c r="M29" i="18"/>
  <c r="K37" i="11"/>
  <c r="H37" i="11"/>
  <c r="B30" i="23"/>
  <c r="H10" i="10"/>
  <c r="L33" i="1"/>
  <c r="I10" i="1"/>
  <c r="M161" i="1"/>
  <c r="H51" i="11"/>
  <c r="O10" i="10"/>
  <c r="Q10" i="3"/>
  <c r="B18" i="10"/>
  <c r="B17" i="9"/>
  <c r="M164" i="9"/>
  <c r="B19" i="3"/>
  <c r="B17" i="1"/>
  <c r="B18" i="1" s="1"/>
  <c r="B19" i="1" s="1"/>
  <c r="E17" i="32" l="1"/>
  <c r="M29" i="9"/>
  <c r="F29" i="10" s="1"/>
  <c r="Q29" i="10" s="1"/>
  <c r="G48" i="32"/>
  <c r="P34" i="10"/>
  <c r="P88" i="10"/>
  <c r="P80" i="10"/>
  <c r="O88" i="3"/>
  <c r="P141" i="10"/>
  <c r="M35" i="10"/>
  <c r="P75" i="10"/>
  <c r="B11" i="17"/>
  <c r="B12" i="17" s="1"/>
  <c r="F43" i="31"/>
  <c r="E16" i="31"/>
  <c r="L161" i="9"/>
  <c r="E16" i="32" s="1"/>
  <c r="G15" i="32"/>
  <c r="M188" i="9"/>
  <c r="F188" i="10" s="1"/>
  <c r="Q188" i="10" s="1"/>
  <c r="R18" i="3"/>
  <c r="F55" i="11"/>
  <c r="G10" i="58"/>
  <c r="I13" i="3"/>
  <c r="F16" i="58"/>
  <c r="G11" i="58"/>
  <c r="R21" i="3"/>
  <c r="R24" i="3"/>
  <c r="H11" i="7"/>
  <c r="J70" i="3"/>
  <c r="M79" i="1"/>
  <c r="F79" i="3" s="1"/>
  <c r="O79" i="3" s="1"/>
  <c r="E44" i="31"/>
  <c r="M38" i="1"/>
  <c r="F38" i="3" s="1"/>
  <c r="O38" i="3" s="1"/>
  <c r="E37" i="31"/>
  <c r="M33" i="1"/>
  <c r="F33" i="3" s="1"/>
  <c r="E23" i="31"/>
  <c r="M52" i="1"/>
  <c r="F52" i="3" s="1"/>
  <c r="O52" i="3" s="1"/>
  <c r="E33" i="31"/>
  <c r="P70" i="10"/>
  <c r="P69" i="10"/>
  <c r="P81" i="10"/>
  <c r="P111" i="10"/>
  <c r="P107" i="10"/>
  <c r="P53" i="10"/>
  <c r="P54" i="10"/>
  <c r="P135" i="10"/>
  <c r="P76" i="10"/>
  <c r="P103" i="10"/>
  <c r="P36" i="10"/>
  <c r="P59" i="10"/>
  <c r="P91" i="10"/>
  <c r="P130" i="10"/>
  <c r="P57" i="10"/>
  <c r="P58" i="10"/>
  <c r="P55" i="10"/>
  <c r="P56" i="10"/>
  <c r="O122" i="3"/>
  <c r="O123" i="3"/>
  <c r="J57" i="3"/>
  <c r="J58" i="3"/>
  <c r="J56" i="3"/>
  <c r="O135" i="3"/>
  <c r="O132" i="3"/>
  <c r="O114" i="3"/>
  <c r="O77" i="3"/>
  <c r="O118" i="3"/>
  <c r="O109" i="3"/>
  <c r="O126" i="3"/>
  <c r="O106" i="3"/>
  <c r="O66" i="3"/>
  <c r="O47" i="3"/>
  <c r="O130" i="3"/>
  <c r="O100" i="3"/>
  <c r="O117" i="3"/>
  <c r="O139" i="3"/>
  <c r="O94" i="3"/>
  <c r="O65" i="3"/>
  <c r="O95" i="3"/>
  <c r="O121" i="3"/>
  <c r="O68" i="3"/>
  <c r="O89" i="3"/>
  <c r="O48" i="3"/>
  <c r="O128" i="3"/>
  <c r="O85" i="3"/>
  <c r="O99" i="3"/>
  <c r="O116" i="3"/>
  <c r="O133" i="3"/>
  <c r="O102" i="3"/>
  <c r="O43" i="3"/>
  <c r="O82" i="3"/>
  <c r="O35" i="3"/>
  <c r="O50" i="3"/>
  <c r="O86" i="3"/>
  <c r="O138" i="3"/>
  <c r="O92" i="3"/>
  <c r="O115" i="3"/>
  <c r="O101" i="3"/>
  <c r="J69" i="3"/>
  <c r="J81" i="3"/>
  <c r="J55" i="3"/>
  <c r="O120" i="3"/>
  <c r="O127" i="3"/>
  <c r="O40" i="3"/>
  <c r="O136" i="3"/>
  <c r="O64" i="3"/>
  <c r="O78" i="3"/>
  <c r="O44" i="3"/>
  <c r="O51" i="3"/>
  <c r="O73" i="3"/>
  <c r="O45" i="3"/>
  <c r="O37" i="3"/>
  <c r="O104" i="3"/>
  <c r="O39" i="3"/>
  <c r="O90" i="3"/>
  <c r="O137" i="3"/>
  <c r="O113" i="3"/>
  <c r="O60" i="3"/>
  <c r="O71" i="3"/>
  <c r="O105" i="3"/>
  <c r="O93" i="3"/>
  <c r="O42" i="3"/>
  <c r="S63" i="3"/>
  <c r="F35" i="31"/>
  <c r="J54" i="3"/>
  <c r="O98" i="3"/>
  <c r="O67" i="3"/>
  <c r="O62" i="3"/>
  <c r="O124" i="3"/>
  <c r="O110" i="3"/>
  <c r="O108" i="3"/>
  <c r="O72" i="3"/>
  <c r="O46" i="3"/>
  <c r="O119" i="3"/>
  <c r="O112" i="3"/>
  <c r="O34" i="3"/>
  <c r="O61" i="3"/>
  <c r="O41" i="3"/>
  <c r="O96" i="3"/>
  <c r="O87" i="3"/>
  <c r="O49" i="3"/>
  <c r="O84" i="3"/>
  <c r="O131" i="3"/>
  <c r="O97" i="3"/>
  <c r="G107" i="32"/>
  <c r="G40" i="32"/>
  <c r="M133" i="10"/>
  <c r="M131" i="10"/>
  <c r="M99" i="10"/>
  <c r="P99" i="10" s="1"/>
  <c r="M40" i="10"/>
  <c r="M77" i="10"/>
  <c r="M132" i="10"/>
  <c r="M138" i="10"/>
  <c r="M65" i="10"/>
  <c r="M105" i="10"/>
  <c r="M98" i="10"/>
  <c r="M48" i="10"/>
  <c r="M110" i="10"/>
  <c r="M117" i="10"/>
  <c r="M42" i="10"/>
  <c r="M94" i="10"/>
  <c r="M101" i="10"/>
  <c r="M85" i="10"/>
  <c r="M128" i="10"/>
  <c r="M60" i="10"/>
  <c r="M79" i="10"/>
  <c r="M73" i="10"/>
  <c r="P73" i="10" s="1"/>
  <c r="M92" i="10"/>
  <c r="M49" i="10"/>
  <c r="M108" i="10"/>
  <c r="M119" i="10"/>
  <c r="M84" i="10"/>
  <c r="M87" i="10"/>
  <c r="M102" i="10"/>
  <c r="M39" i="10"/>
  <c r="M38" i="10"/>
  <c r="M129" i="10"/>
  <c r="M72" i="10"/>
  <c r="M96" i="10"/>
  <c r="M123" i="10"/>
  <c r="M122" i="10"/>
  <c r="P35" i="10"/>
  <c r="M51" i="10"/>
  <c r="P137" i="10"/>
  <c r="M121" i="10"/>
  <c r="M52" i="10"/>
  <c r="M89" i="10"/>
  <c r="M41" i="10"/>
  <c r="M78" i="10"/>
  <c r="M127" i="10"/>
  <c r="M97" i="10"/>
  <c r="M67" i="10"/>
  <c r="M116" i="10"/>
  <c r="M43" i="10"/>
  <c r="M64" i="10"/>
  <c r="M104" i="10"/>
  <c r="M44" i="10"/>
  <c r="M109" i="10"/>
  <c r="M46" i="10"/>
  <c r="M93" i="10"/>
  <c r="M113" i="10"/>
  <c r="M115" i="10"/>
  <c r="P95" i="10"/>
  <c r="M134" i="10"/>
  <c r="M86" i="10"/>
  <c r="M100" i="10"/>
  <c r="M124" i="10"/>
  <c r="M37" i="10"/>
  <c r="M82" i="10"/>
  <c r="M120" i="10"/>
  <c r="M71" i="10"/>
  <c r="M106" i="10"/>
  <c r="M47" i="10"/>
  <c r="M112" i="10"/>
  <c r="M118" i="10"/>
  <c r="M114" i="10"/>
  <c r="M50" i="10"/>
  <c r="M68" i="10"/>
  <c r="M139" i="10"/>
  <c r="M61" i="10"/>
  <c r="M136" i="10"/>
  <c r="M45" i="10"/>
  <c r="M90" i="10"/>
  <c r="M140" i="10"/>
  <c r="M66" i="10"/>
  <c r="M83" i="10"/>
  <c r="L186" i="9"/>
  <c r="G10" i="9"/>
  <c r="F164" i="10"/>
  <c r="Q164" i="10" s="1"/>
  <c r="G10" i="3"/>
  <c r="P63" i="10"/>
  <c r="B31" i="23"/>
  <c r="F160" i="3"/>
  <c r="B19" i="10"/>
  <c r="B20" i="10" s="1"/>
  <c r="B18" i="9"/>
  <c r="B19" i="9"/>
  <c r="B20" i="9"/>
  <c r="B21" i="9" s="1"/>
  <c r="B20" i="3"/>
  <c r="B20" i="1"/>
  <c r="B13" i="17" l="1"/>
  <c r="R13" i="3"/>
  <c r="O69" i="3"/>
  <c r="O91" i="3"/>
  <c r="O57" i="3"/>
  <c r="P90" i="10"/>
  <c r="P139" i="10"/>
  <c r="P118" i="10"/>
  <c r="P71" i="10"/>
  <c r="P124" i="10"/>
  <c r="P46" i="10"/>
  <c r="P64" i="10"/>
  <c r="F28" i="32" s="1"/>
  <c r="P97" i="10"/>
  <c r="P89" i="10"/>
  <c r="P51" i="10"/>
  <c r="P96" i="10"/>
  <c r="P39" i="10"/>
  <c r="P119" i="10"/>
  <c r="P85" i="10"/>
  <c r="P117" i="10"/>
  <c r="P105" i="10"/>
  <c r="P77" i="10"/>
  <c r="P133" i="10"/>
  <c r="O54" i="3"/>
  <c r="O111" i="3"/>
  <c r="O83" i="3"/>
  <c r="O59" i="3"/>
  <c r="O129" i="3"/>
  <c r="G16" i="31"/>
  <c r="P83" i="10"/>
  <c r="P45" i="10"/>
  <c r="P68" i="10"/>
  <c r="P112" i="10"/>
  <c r="P120" i="10"/>
  <c r="P100" i="10"/>
  <c r="P115" i="10"/>
  <c r="P109" i="10"/>
  <c r="P43" i="10"/>
  <c r="P127" i="10"/>
  <c r="P52" i="10"/>
  <c r="P72" i="10"/>
  <c r="P102" i="10"/>
  <c r="P108" i="10"/>
  <c r="P79" i="10"/>
  <c r="F44" i="32" s="1"/>
  <c r="P101" i="10"/>
  <c r="P110" i="10"/>
  <c r="P65" i="10"/>
  <c r="P40" i="10"/>
  <c r="O103" i="3"/>
  <c r="O56" i="3"/>
  <c r="O70" i="3"/>
  <c r="O55" i="3"/>
  <c r="P66" i="10"/>
  <c r="P136" i="10"/>
  <c r="P50" i="10"/>
  <c r="F33" i="32" s="1"/>
  <c r="P47" i="10"/>
  <c r="P82" i="10"/>
  <c r="P86" i="10"/>
  <c r="P113" i="10"/>
  <c r="P44" i="10"/>
  <c r="P116" i="10"/>
  <c r="P78" i="10"/>
  <c r="F26" i="32" s="1"/>
  <c r="P121" i="10"/>
  <c r="P122" i="10"/>
  <c r="P129" i="10"/>
  <c r="P87" i="10"/>
  <c r="P49" i="10"/>
  <c r="P60" i="10"/>
  <c r="P94" i="10"/>
  <c r="P48" i="10"/>
  <c r="P138" i="10"/>
  <c r="O53" i="3"/>
  <c r="O134" i="3"/>
  <c r="O81" i="3"/>
  <c r="O76" i="3"/>
  <c r="O58" i="3"/>
  <c r="P140" i="10"/>
  <c r="P61" i="10"/>
  <c r="P114" i="10"/>
  <c r="P106" i="10"/>
  <c r="P37" i="10"/>
  <c r="P134" i="10"/>
  <c r="P93" i="10"/>
  <c r="P104" i="10"/>
  <c r="P67" i="10"/>
  <c r="P41" i="10"/>
  <c r="P123" i="10"/>
  <c r="P38" i="10"/>
  <c r="P84" i="10"/>
  <c r="P92" i="10"/>
  <c r="P128" i="10"/>
  <c r="F31" i="32" s="1"/>
  <c r="P42" i="10"/>
  <c r="F27" i="32" s="1"/>
  <c r="P98" i="10"/>
  <c r="P132" i="10"/>
  <c r="P131" i="10"/>
  <c r="O107" i="3"/>
  <c r="G43" i="31"/>
  <c r="F32" i="32"/>
  <c r="G16" i="32"/>
  <c r="M161" i="9"/>
  <c r="F161" i="10" s="1"/>
  <c r="G16" i="58"/>
  <c r="F17" i="32"/>
  <c r="F13" i="31"/>
  <c r="S18" i="3"/>
  <c r="F15" i="31"/>
  <c r="S21" i="3"/>
  <c r="O36" i="3"/>
  <c r="F17" i="31"/>
  <c r="S24" i="3"/>
  <c r="F49" i="32"/>
  <c r="Q63" i="10"/>
  <c r="F35" i="32"/>
  <c r="F22" i="32"/>
  <c r="F37" i="32"/>
  <c r="F29" i="32"/>
  <c r="G35" i="31"/>
  <c r="J10" i="3"/>
  <c r="B14" i="17"/>
  <c r="E29" i="4"/>
  <c r="G29" i="4" s="1"/>
  <c r="E45" i="32"/>
  <c r="M186" i="9"/>
  <c r="P62" i="10"/>
  <c r="F34" i="32" s="1"/>
  <c r="B32" i="23"/>
  <c r="Q161" i="10"/>
  <c r="S160" i="3"/>
  <c r="B21" i="10"/>
  <c r="B22" i="9"/>
  <c r="B23" i="9"/>
  <c r="B21" i="3"/>
  <c r="B22" i="3" s="1"/>
  <c r="B23" i="3" s="1"/>
  <c r="B21" i="1"/>
  <c r="F20" i="32" l="1"/>
  <c r="F24" i="32"/>
  <c r="F25" i="32"/>
  <c r="F36" i="32"/>
  <c r="G17" i="32"/>
  <c r="G17" i="31"/>
  <c r="G13" i="31"/>
  <c r="G15" i="31"/>
  <c r="G49" i="32"/>
  <c r="G29" i="32"/>
  <c r="G34" i="32"/>
  <c r="B15" i="17"/>
  <c r="H33" i="3"/>
  <c r="F186" i="10"/>
  <c r="G10" i="10"/>
  <c r="M33" i="10"/>
  <c r="B33" i="23"/>
  <c r="B22" i="10"/>
  <c r="B24" i="9"/>
  <c r="B24" i="3"/>
  <c r="B25" i="3" s="1"/>
  <c r="B26" i="3" s="1"/>
  <c r="B27" i="3" s="1"/>
  <c r="B28" i="3" s="1"/>
  <c r="B29" i="3" s="1"/>
  <c r="B30" i="3" s="1"/>
  <c r="B32" i="3" s="1"/>
  <c r="B33" i="3" s="1"/>
  <c r="B34" i="3" s="1"/>
  <c r="B35" i="3" s="1"/>
  <c r="B36" i="3" s="1"/>
  <c r="B37" i="3" s="1"/>
  <c r="B38" i="3" s="1"/>
  <c r="B22" i="1"/>
  <c r="G20" i="32" l="1"/>
  <c r="P33" i="10"/>
  <c r="H10" i="3"/>
  <c r="O33" i="3"/>
  <c r="B16" i="17"/>
  <c r="Q186" i="10"/>
  <c r="B34" i="23"/>
  <c r="B23" i="10"/>
  <c r="B25" i="9"/>
  <c r="B39" i="3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23" i="1"/>
  <c r="F23" i="32" l="1"/>
  <c r="B64" i="3"/>
  <c r="B63" i="3"/>
  <c r="B35" i="23"/>
  <c r="B24" i="10"/>
  <c r="B25" i="10" s="1"/>
  <c r="B26" i="10" s="1"/>
  <c r="B27" i="10" s="1"/>
  <c r="B28" i="10" s="1"/>
  <c r="B29" i="10" s="1"/>
  <c r="B30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26" i="9"/>
  <c r="B27" i="9" s="1"/>
  <c r="B28" i="9" s="1"/>
  <c r="B29" i="9" s="1"/>
  <c r="B30" i="9" s="1"/>
  <c r="B32" i="9" s="1"/>
  <c r="B33" i="9" s="1"/>
  <c r="B34" i="9" s="1"/>
  <c r="B24" i="1"/>
  <c r="B17" i="17" l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5" i="9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65" i="3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2" i="3" s="1"/>
  <c r="B143" i="3" s="1"/>
  <c r="B144" i="3" s="1"/>
  <c r="B146" i="3" s="1"/>
  <c r="B147" i="3" s="1"/>
  <c r="B149" i="3" s="1"/>
  <c r="B150" i="3" s="1"/>
  <c r="B151" i="3" s="1"/>
  <c r="B152" i="3" s="1"/>
  <c r="B153" i="3" s="1"/>
  <c r="B154" i="3" s="1"/>
  <c r="B155" i="3" s="1"/>
  <c r="B156" i="3" s="1"/>
  <c r="B157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9" i="3" s="1"/>
  <c r="B190" i="3" s="1"/>
  <c r="B191" i="3" s="1"/>
  <c r="B192" i="3" s="1"/>
  <c r="B194" i="3" s="1"/>
  <c r="B195" i="3" s="1"/>
  <c r="B36" i="23"/>
  <c r="B37" i="23" s="1"/>
  <c r="B38" i="23" s="1"/>
  <c r="B39" i="23" s="1"/>
  <c r="B40" i="23" s="1"/>
  <c r="B41" i="23" s="1"/>
  <c r="B11" i="11"/>
  <c r="B63" i="10"/>
  <c r="B64" i="10"/>
  <c r="B25" i="1"/>
  <c r="B126" i="9" l="1"/>
  <c r="B127" i="9" s="1"/>
  <c r="B65" i="10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42" i="23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26" i="1"/>
  <c r="B126" i="10" l="1"/>
  <c r="B127" i="10" s="1"/>
  <c r="B128" i="9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3" i="9" s="1"/>
  <c r="B144" i="9" s="1"/>
  <c r="B145" i="9" s="1"/>
  <c r="B147" i="9" s="1"/>
  <c r="B148" i="9" s="1"/>
  <c r="B150" i="9" s="1"/>
  <c r="B151" i="9" s="1"/>
  <c r="B152" i="9" s="1"/>
  <c r="B153" i="9" s="1"/>
  <c r="B154" i="9" s="1"/>
  <c r="B155" i="9" s="1"/>
  <c r="B156" i="9" s="1"/>
  <c r="B157" i="9" s="1"/>
  <c r="B158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90" i="9" s="1"/>
  <c r="B191" i="9" s="1"/>
  <c r="B192" i="9" s="1"/>
  <c r="B193" i="9" s="1"/>
  <c r="B195" i="9" s="1"/>
  <c r="B196" i="9" s="1"/>
  <c r="B54" i="11"/>
  <c r="B27" i="1"/>
  <c r="B128" i="10" l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3" i="10" s="1"/>
  <c r="B144" i="10" s="1"/>
  <c r="B145" i="10" s="1"/>
  <c r="B147" i="10" s="1"/>
  <c r="B148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90" i="10" s="1"/>
  <c r="B191" i="10" s="1"/>
  <c r="B192" i="10" s="1"/>
  <c r="B193" i="10" s="1"/>
  <c r="B195" i="10" s="1"/>
  <c r="B196" i="10" s="1"/>
  <c r="B55" i="11"/>
  <c r="B57" i="11" s="1"/>
  <c r="B28" i="1"/>
  <c r="B29" i="1" l="1"/>
  <c r="B30" i="1" l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l="1"/>
  <c r="B43" i="1" s="1"/>
  <c r="B44" i="1" s="1"/>
  <c r="B45" i="1" s="1"/>
  <c r="B46" i="1" s="1"/>
  <c r="B47" i="1" s="1"/>
  <c r="B48" i="1" s="1"/>
  <c r="B49" i="1" s="1"/>
  <c r="B50" i="1" l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l="1"/>
  <c r="B64" i="1" s="1"/>
  <c r="B65" i="1" l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l="1"/>
  <c r="B127" i="1" s="1"/>
  <c r="B128" i="1" l="1"/>
  <c r="R33" i="3"/>
  <c r="R34" i="3"/>
  <c r="S34" i="3" s="1"/>
  <c r="R35" i="3"/>
  <c r="S35" i="3" s="1"/>
  <c r="R36" i="3"/>
  <c r="R37" i="3"/>
  <c r="S37" i="3" s="1"/>
  <c r="R38" i="3"/>
  <c r="S38" i="3" s="1"/>
  <c r="R39" i="3"/>
  <c r="S39" i="3" s="1"/>
  <c r="R40" i="3"/>
  <c r="S40" i="3" s="1"/>
  <c r="R41" i="3"/>
  <c r="S41" i="3" s="1"/>
  <c r="R42" i="3"/>
  <c r="R43" i="3"/>
  <c r="S43" i="3" s="1"/>
  <c r="R44" i="3"/>
  <c r="R45" i="3"/>
  <c r="S45" i="3" s="1"/>
  <c r="R46" i="3"/>
  <c r="S46" i="3" s="1"/>
  <c r="R47" i="3"/>
  <c r="S47" i="3" s="1"/>
  <c r="R48" i="3"/>
  <c r="S48" i="3" s="1"/>
  <c r="R49" i="3"/>
  <c r="S49" i="3" s="1"/>
  <c r="R50" i="3"/>
  <c r="R51" i="3"/>
  <c r="S51" i="3" s="1"/>
  <c r="R52" i="3"/>
  <c r="S52" i="3" s="1"/>
  <c r="R53" i="3"/>
  <c r="S53" i="3" s="1"/>
  <c r="R54" i="3"/>
  <c r="R55" i="3"/>
  <c r="S55" i="3" s="1"/>
  <c r="R56" i="3"/>
  <c r="S56" i="3" s="1"/>
  <c r="R57" i="3"/>
  <c r="S57" i="3" s="1"/>
  <c r="R58" i="3"/>
  <c r="S58" i="3" s="1"/>
  <c r="R59" i="3"/>
  <c r="S59" i="3" s="1"/>
  <c r="R60" i="3"/>
  <c r="S60" i="3" s="1"/>
  <c r="R61" i="3"/>
  <c r="S61" i="3" s="1"/>
  <c r="R62" i="3"/>
  <c r="R64" i="3"/>
  <c r="F28" i="31" s="1"/>
  <c r="R65" i="3"/>
  <c r="R66" i="3"/>
  <c r="S66" i="3" s="1"/>
  <c r="R67" i="3"/>
  <c r="S67" i="3" s="1"/>
  <c r="R68" i="3"/>
  <c r="S68" i="3" s="1"/>
  <c r="R69" i="3"/>
  <c r="S69" i="3" s="1"/>
  <c r="R70" i="3"/>
  <c r="S70" i="3" s="1"/>
  <c r="R71" i="3"/>
  <c r="S71" i="3" s="1"/>
  <c r="R72" i="3"/>
  <c r="S72" i="3" s="1"/>
  <c r="R73" i="3"/>
  <c r="S73" i="3" s="1"/>
  <c r="R75" i="3"/>
  <c r="S75" i="3" s="1"/>
  <c r="R76" i="3"/>
  <c r="S76" i="3" s="1"/>
  <c r="R77" i="3"/>
  <c r="S77" i="3" s="1"/>
  <c r="R78" i="3"/>
  <c r="F26" i="31" s="1"/>
  <c r="R79" i="3"/>
  <c r="F44" i="31" s="1"/>
  <c r="R80" i="3"/>
  <c r="S80" i="3" s="1"/>
  <c r="R81" i="3"/>
  <c r="S81" i="3" s="1"/>
  <c r="R82" i="3"/>
  <c r="S82" i="3" s="1"/>
  <c r="R83" i="3"/>
  <c r="S83" i="3" s="1"/>
  <c r="R84" i="3"/>
  <c r="S84" i="3" s="1"/>
  <c r="R85" i="3"/>
  <c r="S85" i="3" s="1"/>
  <c r="R86" i="3"/>
  <c r="S86" i="3" s="1"/>
  <c r="R87" i="3"/>
  <c r="S87" i="3" s="1"/>
  <c r="R88" i="3"/>
  <c r="S88" i="3" s="1"/>
  <c r="R89" i="3"/>
  <c r="R90" i="3"/>
  <c r="S90" i="3" s="1"/>
  <c r="R91" i="3"/>
  <c r="S91" i="3" s="1"/>
  <c r="R92" i="3"/>
  <c r="S92" i="3" s="1"/>
  <c r="R93" i="3"/>
  <c r="S93" i="3" s="1"/>
  <c r="R94" i="3"/>
  <c r="S94" i="3" s="1"/>
  <c r="R95" i="3"/>
  <c r="S95" i="3" s="1"/>
  <c r="R96" i="3"/>
  <c r="S96" i="3" s="1"/>
  <c r="R97" i="3"/>
  <c r="S97" i="3" s="1"/>
  <c r="R98" i="3"/>
  <c r="S98" i="3" s="1"/>
  <c r="R99" i="3"/>
  <c r="S99" i="3" s="1"/>
  <c r="R100" i="3"/>
  <c r="S100" i="3" s="1"/>
  <c r="R101" i="3"/>
  <c r="S101" i="3" s="1"/>
  <c r="R102" i="3"/>
  <c r="S102" i="3" s="1"/>
  <c r="R103" i="3"/>
  <c r="S103" i="3" s="1"/>
  <c r="R104" i="3"/>
  <c r="S104" i="3" s="1"/>
  <c r="R105" i="3"/>
  <c r="S105" i="3" s="1"/>
  <c r="R106" i="3"/>
  <c r="R107" i="3"/>
  <c r="S107" i="3" s="1"/>
  <c r="R108" i="3"/>
  <c r="S108" i="3" s="1"/>
  <c r="R109" i="3"/>
  <c r="S109" i="3" s="1"/>
  <c r="R110" i="3"/>
  <c r="S110" i="3" s="1"/>
  <c r="R111" i="3"/>
  <c r="S111" i="3" s="1"/>
  <c r="R112" i="3"/>
  <c r="S112" i="3" s="1"/>
  <c r="R113" i="3"/>
  <c r="S113" i="3" s="1"/>
  <c r="R114" i="3"/>
  <c r="S114" i="3" s="1"/>
  <c r="R115" i="3"/>
  <c r="S115" i="3" s="1"/>
  <c r="R116" i="3"/>
  <c r="S116" i="3" s="1"/>
  <c r="R117" i="3"/>
  <c r="S117" i="3" s="1"/>
  <c r="R118" i="3"/>
  <c r="S118" i="3" s="1"/>
  <c r="R119" i="3"/>
  <c r="S119" i="3" s="1"/>
  <c r="R120" i="3"/>
  <c r="S120" i="3" s="1"/>
  <c r="R121" i="3"/>
  <c r="S121" i="3" s="1"/>
  <c r="R122" i="3"/>
  <c r="S122" i="3" s="1"/>
  <c r="R123" i="3"/>
  <c r="S123" i="3" s="1"/>
  <c r="R124" i="3"/>
  <c r="S124" i="3" s="1"/>
  <c r="R125" i="3"/>
  <c r="F38" i="31" s="1"/>
  <c r="R126" i="3"/>
  <c r="S126" i="3" s="1"/>
  <c r="R127" i="3"/>
  <c r="S127" i="3" s="1"/>
  <c r="R128" i="3"/>
  <c r="S128" i="3" s="1"/>
  <c r="R129" i="3"/>
  <c r="S129" i="3" s="1"/>
  <c r="R130" i="3"/>
  <c r="S130" i="3" s="1"/>
  <c r="R131" i="3"/>
  <c r="S131" i="3" s="1"/>
  <c r="R132" i="3"/>
  <c r="S132" i="3" s="1"/>
  <c r="R133" i="3"/>
  <c r="S133" i="3" s="1"/>
  <c r="R134" i="3"/>
  <c r="S134" i="3" s="1"/>
  <c r="R135" i="3"/>
  <c r="S135" i="3" s="1"/>
  <c r="R136" i="3"/>
  <c r="S136" i="3" s="1"/>
  <c r="R137" i="3"/>
  <c r="S137" i="3" s="1"/>
  <c r="R138" i="3"/>
  <c r="S138" i="3" s="1"/>
  <c r="R139" i="3"/>
  <c r="S139" i="3" s="1"/>
  <c r="R140" i="3"/>
  <c r="S140" i="3" s="1"/>
  <c r="B129" i="1" l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3" i="1" s="1"/>
  <c r="B144" i="1" s="1"/>
  <c r="B145" i="1" s="1"/>
  <c r="B147" i="1" s="1"/>
  <c r="B148" i="1" s="1"/>
  <c r="B150" i="1" s="1"/>
  <c r="B151" i="1" s="1"/>
  <c r="B152" i="1" s="1"/>
  <c r="B153" i="1" s="1"/>
  <c r="B154" i="1" s="1"/>
  <c r="B155" i="1" s="1"/>
  <c r="F20" i="31"/>
  <c r="G44" i="31"/>
  <c r="G26" i="31"/>
  <c r="G28" i="31"/>
  <c r="S79" i="3"/>
  <c r="F32" i="31"/>
  <c r="F31" i="31"/>
  <c r="S78" i="3"/>
  <c r="S62" i="3"/>
  <c r="F34" i="31"/>
  <c r="S54" i="3"/>
  <c r="F22" i="31"/>
  <c r="F25" i="31"/>
  <c r="S106" i="3"/>
  <c r="S65" i="3"/>
  <c r="F29" i="31"/>
  <c r="F37" i="31"/>
  <c r="F24" i="31"/>
  <c r="S64" i="3"/>
  <c r="S50" i="3"/>
  <c r="F33" i="31"/>
  <c r="S42" i="3"/>
  <c r="F27" i="31"/>
  <c r="S89" i="3"/>
  <c r="S44" i="3"/>
  <c r="F36" i="31"/>
  <c r="S36" i="3"/>
  <c r="F23" i="31"/>
  <c r="S33" i="3"/>
  <c r="Q34" i="10"/>
  <c r="Q35" i="10"/>
  <c r="Q36" i="10"/>
  <c r="Q37" i="10"/>
  <c r="Q38" i="10"/>
  <c r="Q39" i="10"/>
  <c r="Q40" i="10"/>
  <c r="Q41" i="10"/>
  <c r="Q43" i="10"/>
  <c r="Q45" i="10"/>
  <c r="Q46" i="10"/>
  <c r="Q47" i="10"/>
  <c r="Q48" i="10"/>
  <c r="Q49" i="10"/>
  <c r="Q51" i="10"/>
  <c r="Q52" i="10"/>
  <c r="Q53" i="10"/>
  <c r="Q55" i="10"/>
  <c r="Q56" i="10"/>
  <c r="Q57" i="10"/>
  <c r="Q58" i="10"/>
  <c r="Q59" i="10"/>
  <c r="Q60" i="10"/>
  <c r="Q61" i="10"/>
  <c r="Q66" i="10"/>
  <c r="Q67" i="10"/>
  <c r="Q68" i="10"/>
  <c r="Q69" i="10"/>
  <c r="Q70" i="10"/>
  <c r="Q71" i="10"/>
  <c r="Q72" i="10"/>
  <c r="Q73" i="10"/>
  <c r="Q75" i="10"/>
  <c r="Q76" i="10"/>
  <c r="Q77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B156" i="1" l="1"/>
  <c r="G27" i="31"/>
  <c r="G32" i="31"/>
  <c r="G36" i="31"/>
  <c r="G24" i="31"/>
  <c r="G23" i="31"/>
  <c r="G33" i="31"/>
  <c r="G37" i="31"/>
  <c r="G25" i="31"/>
  <c r="G22" i="31"/>
  <c r="G31" i="31"/>
  <c r="G20" i="31"/>
  <c r="G29" i="31"/>
  <c r="G37" i="32"/>
  <c r="G34" i="31"/>
  <c r="Q33" i="10"/>
  <c r="Q78" i="10"/>
  <c r="Q42" i="10"/>
  <c r="Q92" i="10"/>
  <c r="Q65" i="10"/>
  <c r="Q54" i="10"/>
  <c r="Q50" i="10"/>
  <c r="Q44" i="10"/>
  <c r="Q106" i="10"/>
  <c r="Q64" i="10"/>
  <c r="Q79" i="10"/>
  <c r="Q62" i="10"/>
  <c r="B157" i="1" l="1"/>
  <c r="B158" i="1" s="1"/>
  <c r="G35" i="32"/>
  <c r="G21" i="32"/>
  <c r="G23" i="32"/>
  <c r="G25" i="32"/>
  <c r="G24" i="32"/>
  <c r="G33" i="32"/>
  <c r="G30" i="32"/>
  <c r="G31" i="32"/>
  <c r="G32" i="32"/>
  <c r="G28" i="32"/>
  <c r="G26" i="32"/>
  <c r="G22" i="32"/>
  <c r="G36" i="32"/>
  <c r="G43" i="32"/>
  <c r="G27" i="32"/>
  <c r="B160" i="1" l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90" i="1" s="1"/>
  <c r="B191" i="1" s="1"/>
  <c r="I10" i="3"/>
  <c r="B192" i="1" l="1"/>
  <c r="B193" i="1" s="1"/>
  <c r="B195" i="1" s="1"/>
  <c r="B196" i="1" s="1"/>
  <c r="S13" i="3"/>
  <c r="F12" i="31"/>
  <c r="G12" i="31" l="1"/>
  <c r="P10" i="3" l="1"/>
  <c r="R154" i="3"/>
  <c r="F42" i="31" l="1"/>
  <c r="S154" i="3"/>
  <c r="G42" i="31" l="1"/>
  <c r="G44" i="32" l="1"/>
  <c r="H125" i="9" l="1"/>
  <c r="E38" i="32"/>
  <c r="L125" i="9" l="1"/>
  <c r="H10" i="9"/>
  <c r="M125" i="9" l="1"/>
  <c r="L10" i="9"/>
  <c r="M10" i="9" l="1"/>
  <c r="F125" i="10"/>
  <c r="M125" i="10" l="1"/>
  <c r="F10" i="10"/>
  <c r="P125" i="10" l="1"/>
  <c r="F38" i="32" s="1"/>
  <c r="Q125" i="10"/>
  <c r="G38" i="32" l="1"/>
  <c r="H125" i="1" l="1"/>
  <c r="L125" i="1" l="1"/>
  <c r="H10" i="1"/>
  <c r="M125" i="1" l="1"/>
  <c r="L10" i="1"/>
  <c r="E38" i="31"/>
  <c r="G38" i="31" l="1"/>
  <c r="F125" i="3"/>
  <c r="M10" i="1"/>
  <c r="S125" i="3" l="1"/>
  <c r="F10" i="3"/>
  <c r="F45" i="31"/>
  <c r="G45" i="31"/>
  <c r="L10" i="3"/>
  <c r="O10" i="3"/>
  <c r="R10" i="3"/>
  <c r="S10" i="3"/>
  <c r="L74" i="3"/>
  <c r="O74" i="3"/>
  <c r="R74" i="3"/>
  <c r="S74" i="3"/>
  <c r="F54" i="11"/>
  <c r="G54" i="11"/>
  <c r="H54" i="11"/>
  <c r="F57" i="11"/>
  <c r="G57" i="11"/>
  <c r="H57" i="11"/>
  <c r="F45" i="32"/>
  <c r="G45" i="32"/>
  <c r="J10" i="10"/>
  <c r="M10" i="10"/>
  <c r="P10" i="10"/>
  <c r="Q10" i="10"/>
  <c r="J74" i="10"/>
  <c r="M74" i="10"/>
  <c r="P74" i="10"/>
  <c r="Q7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Weaver</author>
  </authors>
  <commentList>
    <comment ref="H17" authorId="0" shapeId="0" xr:uid="{C1DA1651-9345-41A7-89F8-DFB7567AB52E}">
      <text>
        <r>
          <rPr>
            <b/>
            <sz val="9"/>
            <color indexed="81"/>
            <rFont val="Tahoma"/>
            <family val="2"/>
          </rPr>
          <t>Post-TCJA income taxes (will be $0 by 1/22)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<sst xmlns="http://schemas.openxmlformats.org/spreadsheetml/2006/main" count="6250" uniqueCount="1119">
  <si>
    <t>Acct. No.</t>
  </si>
  <si>
    <t>Acct. Description</t>
  </si>
  <si>
    <t>East Pierce Restating Adjustments</t>
  </si>
  <si>
    <t>601100</t>
  </si>
  <si>
    <t>601105</t>
  </si>
  <si>
    <t>601170</t>
  </si>
  <si>
    <t>601200</t>
  </si>
  <si>
    <t>601205</t>
  </si>
  <si>
    <t>602100</t>
  </si>
  <si>
    <t>603100</t>
  </si>
  <si>
    <t>603105</t>
  </si>
  <si>
    <t>605000</t>
  </si>
  <si>
    <t>609000</t>
  </si>
  <si>
    <t>609080</t>
  </si>
  <si>
    <t>609081</t>
  </si>
  <si>
    <t>609082</t>
  </si>
  <si>
    <t>609084</t>
  </si>
  <si>
    <t>609100</t>
  </si>
  <si>
    <t>609202</t>
  </si>
  <si>
    <t>611000</t>
  </si>
  <si>
    <t>614000</t>
  </si>
  <si>
    <t>Residential Metered</t>
  </si>
  <si>
    <t>Residential Service Charge</t>
  </si>
  <si>
    <t>Residential- Surchrge/Credit</t>
  </si>
  <si>
    <t>Business Metered</t>
  </si>
  <si>
    <t>Business Service Charge</t>
  </si>
  <si>
    <t>Residential Flat</t>
  </si>
  <si>
    <t>Irrigation Metered</t>
  </si>
  <si>
    <t>Irrigation Service Charge</t>
  </si>
  <si>
    <t>Public Fire Protect</t>
  </si>
  <si>
    <t>Ot Sales &amp; Service</t>
  </si>
  <si>
    <t>Service Revenue - Reconnect</t>
  </si>
  <si>
    <t>Service Rev - Name Transfer</t>
  </si>
  <si>
    <t>Service Revenue - Hand Deliver</t>
  </si>
  <si>
    <t>Service Revenue - Water Sys.</t>
  </si>
  <si>
    <t>Unbilled Rev Adjust</t>
  </si>
  <si>
    <t>Balancing Memo Account Revenue</t>
  </si>
  <si>
    <t>Misc Service Revenue</t>
  </si>
  <si>
    <t>Ot Water Revenues</t>
  </si>
  <si>
    <t>Per Books</t>
  </si>
  <si>
    <t>Revenues</t>
  </si>
  <si>
    <t>Operating Expenses</t>
  </si>
  <si>
    <t>704000</t>
  </si>
  <si>
    <t>726200</t>
  </si>
  <si>
    <t>791000</t>
  </si>
  <si>
    <t>791001</t>
  </si>
  <si>
    <t>792100</t>
  </si>
  <si>
    <t>792300</t>
  </si>
  <si>
    <t>792301</t>
  </si>
  <si>
    <t>792500</t>
  </si>
  <si>
    <t>792501</t>
  </si>
  <si>
    <t>792502</t>
  </si>
  <si>
    <t>792505</t>
  </si>
  <si>
    <t>792600</t>
  </si>
  <si>
    <t>792601</t>
  </si>
  <si>
    <t>792602</t>
  </si>
  <si>
    <t>792603</t>
  </si>
  <si>
    <t>792604</t>
  </si>
  <si>
    <t>792700</t>
  </si>
  <si>
    <t>794100</t>
  </si>
  <si>
    <t>794300</t>
  </si>
  <si>
    <t>794400</t>
  </si>
  <si>
    <t>795099</t>
  </si>
  <si>
    <t>795101</t>
  </si>
  <si>
    <t>795102</t>
  </si>
  <si>
    <t>795200</t>
  </si>
  <si>
    <t>795201</t>
  </si>
  <si>
    <t>795309</t>
  </si>
  <si>
    <t>795400</t>
  </si>
  <si>
    <t>795501</t>
  </si>
  <si>
    <t>795600</t>
  </si>
  <si>
    <t>797000</t>
  </si>
  <si>
    <t>798100</t>
  </si>
  <si>
    <t>798200</t>
  </si>
  <si>
    <t>799100</t>
  </si>
  <si>
    <t>799200</t>
  </si>
  <si>
    <t>799400</t>
  </si>
  <si>
    <t>799401</t>
  </si>
  <si>
    <t>799450</t>
  </si>
  <si>
    <t>799500</t>
  </si>
  <si>
    <t>799501</t>
  </si>
  <si>
    <t>799700</t>
  </si>
  <si>
    <t>Purchased Water</t>
  </si>
  <si>
    <t>Purchased Power</t>
  </si>
  <si>
    <t>Admin &amp; General Exp</t>
  </si>
  <si>
    <t>Wages-Admin &amp; Gen Sal GO Only</t>
  </si>
  <si>
    <t>Employees Dues</t>
  </si>
  <si>
    <t>Telephone &amp; Telegraph</t>
  </si>
  <si>
    <t>Telephone-General</t>
  </si>
  <si>
    <t>Office Supply &amp; Expense</t>
  </si>
  <si>
    <t>Office Supplies</t>
  </si>
  <si>
    <t>Temporary Labor</t>
  </si>
  <si>
    <t>Bank Fee</t>
  </si>
  <si>
    <t>Travel -Miscellaneous</t>
  </si>
  <si>
    <t>Travel-Meals</t>
  </si>
  <si>
    <t>Travel-Meals at Headquarters</t>
  </si>
  <si>
    <t>Training &amp; Seminars</t>
  </si>
  <si>
    <t>Conferences</t>
  </si>
  <si>
    <t>Gen Office Building Expense</t>
  </si>
  <si>
    <t>Compensation Insurance</t>
  </si>
  <si>
    <t>Safety And Training</t>
  </si>
  <si>
    <t>Liability Insurance</t>
  </si>
  <si>
    <t>Off Duty Time Allocation</t>
  </si>
  <si>
    <t>Retirement Savings Plan</t>
  </si>
  <si>
    <t>Retirement Fund Expense</t>
  </si>
  <si>
    <t>Group Insurance</t>
  </si>
  <si>
    <t>Retiree Group Insurance</t>
  </si>
  <si>
    <t>Employer Benefit Admin</t>
  </si>
  <si>
    <t>Benefits Transferred</t>
  </si>
  <si>
    <t>Off Dutytime-Sick Leave</t>
  </si>
  <si>
    <t>Off-Duty- All Other</t>
  </si>
  <si>
    <t>Regulatory Commission Expense</t>
  </si>
  <si>
    <t>Legal Expenses</t>
  </si>
  <si>
    <t>Other Outside Services</t>
  </si>
  <si>
    <t>Company Dues</t>
  </si>
  <si>
    <t>Institutional Advertising</t>
  </si>
  <si>
    <t>General Corporate Expense</t>
  </si>
  <si>
    <t>Payroll for STI or Bonus</t>
  </si>
  <si>
    <t>Employee Stock Purchase Exp</t>
  </si>
  <si>
    <t>Miscellaneous General Expense</t>
  </si>
  <si>
    <t>Employee Moving Expense</t>
  </si>
  <si>
    <t>G&amp;A Allocation In/Out</t>
  </si>
  <si>
    <t>PubCo Allocation In/Out</t>
  </si>
  <si>
    <t>GO Dept Allocation In/Out</t>
  </si>
  <si>
    <t>799998</t>
  </si>
  <si>
    <t>799999</t>
  </si>
  <si>
    <t>701001</t>
  </si>
  <si>
    <t>702000</t>
  </si>
  <si>
    <t>702010</t>
  </si>
  <si>
    <t>703002</t>
  </si>
  <si>
    <t>703030</t>
  </si>
  <si>
    <t>704101</t>
  </si>
  <si>
    <t>704900</t>
  </si>
  <si>
    <t>721001</t>
  </si>
  <si>
    <t>722000</t>
  </si>
  <si>
    <t>723000</t>
  </si>
  <si>
    <t>724000</t>
  </si>
  <si>
    <t>725000</t>
  </si>
  <si>
    <t>725010</t>
  </si>
  <si>
    <t>727320</t>
  </si>
  <si>
    <t>741000</t>
  </si>
  <si>
    <t>741001</t>
  </si>
  <si>
    <t>742000</t>
  </si>
  <si>
    <t>742001</t>
  </si>
  <si>
    <t>742004</t>
  </si>
  <si>
    <t>742006</t>
  </si>
  <si>
    <t>743000</t>
  </si>
  <si>
    <t>743010</t>
  </si>
  <si>
    <t>744000</t>
  </si>
  <si>
    <t>745000</t>
  </si>
  <si>
    <t>746400</t>
  </si>
  <si>
    <t>746900</t>
  </si>
  <si>
    <t>751000</t>
  </si>
  <si>
    <t>751001</t>
  </si>
  <si>
    <t>752000</t>
  </si>
  <si>
    <t>753200</t>
  </si>
  <si>
    <t>753210</t>
  </si>
  <si>
    <t>753301</t>
  </si>
  <si>
    <t>756000</t>
  </si>
  <si>
    <t>757700</t>
  </si>
  <si>
    <t>757800</t>
  </si>
  <si>
    <t>771001</t>
  </si>
  <si>
    <t>772000</t>
  </si>
  <si>
    <t>773202</t>
  </si>
  <si>
    <t>773300</t>
  </si>
  <si>
    <t>773400</t>
  </si>
  <si>
    <t>773401</t>
  </si>
  <si>
    <t>773402</t>
  </si>
  <si>
    <t>773403</t>
  </si>
  <si>
    <t>774200</t>
  </si>
  <si>
    <t>774201</t>
  </si>
  <si>
    <t>774202</t>
  </si>
  <si>
    <t>774204</t>
  </si>
  <si>
    <t>774300</t>
  </si>
  <si>
    <t>774500</t>
  </si>
  <si>
    <t>775000</t>
  </si>
  <si>
    <t>811000</t>
  </si>
  <si>
    <t>811030</t>
  </si>
  <si>
    <t>812000</t>
  </si>
  <si>
    <t>Wages - Source of Supply Opera</t>
  </si>
  <si>
    <t>Operation Expense</t>
  </si>
  <si>
    <t>Cont Services - Engineering</t>
  </si>
  <si>
    <t>Misc Exp Other</t>
  </si>
  <si>
    <t>Allocation of Miscellaneous</t>
  </si>
  <si>
    <t>Wages-Water Collection</t>
  </si>
  <si>
    <t>Miscelleneous Expenses</t>
  </si>
  <si>
    <t>Wages - Pumping Operations</t>
  </si>
  <si>
    <t>Power Production Exp</t>
  </si>
  <si>
    <t>Fuel For Power Production</t>
  </si>
  <si>
    <t>Pump Expense</t>
  </si>
  <si>
    <t>Miscellaneous Expense</t>
  </si>
  <si>
    <t>Allocation of Payroll</t>
  </si>
  <si>
    <t>Equipment Rental</t>
  </si>
  <si>
    <t>Supervision &amp; Engineering</t>
  </si>
  <si>
    <t>Wages - Water Treatment Operat</t>
  </si>
  <si>
    <t>Operation Expenses</t>
  </si>
  <si>
    <t>Sampling at Wells</t>
  </si>
  <si>
    <t>Bacterial Laboratory Expenses</t>
  </si>
  <si>
    <t>Outside Lab Fees</t>
  </si>
  <si>
    <t>Misc Expenses</t>
  </si>
  <si>
    <t>Water Treatment Expense</t>
  </si>
  <si>
    <t>Chemical &amp; Filter Material</t>
  </si>
  <si>
    <t>Water Treatment Allocation</t>
  </si>
  <si>
    <t>Chemicals</t>
  </si>
  <si>
    <t>Wages-Trans &amp; Dist</t>
  </si>
  <si>
    <t>Storage Facility Expense</t>
  </si>
  <si>
    <t>Trans &amp; Dist Line Expense</t>
  </si>
  <si>
    <t>Wages-Cross Connection Control</t>
  </si>
  <si>
    <t>EquipmentRental</t>
  </si>
  <si>
    <t>Transportation Expense</t>
  </si>
  <si>
    <t>Wages - Customer Accounts</t>
  </si>
  <si>
    <t>Meter Reading Expense</t>
  </si>
  <si>
    <t>Collection Agency Fees</t>
  </si>
  <si>
    <t>Postage</t>
  </si>
  <si>
    <t>Customer Records-Supplies</t>
  </si>
  <si>
    <t>Customer Records-Equip Rentals</t>
  </si>
  <si>
    <t>Customer Records-Equip Maint</t>
  </si>
  <si>
    <t>Customer Records-Software</t>
  </si>
  <si>
    <t>Telephone-Cellular</t>
  </si>
  <si>
    <t>Telephone-Leased Lines</t>
  </si>
  <si>
    <t>Other Utility &amp; Janitorial</t>
  </si>
  <si>
    <t>Conservation Expense</t>
  </si>
  <si>
    <t>Uncollectible Accounts</t>
  </si>
  <si>
    <t>Rents</t>
  </si>
  <si>
    <t>Operating Lease Expense</t>
  </si>
  <si>
    <t>Administration Charges</t>
  </si>
  <si>
    <t>706000</t>
  </si>
  <si>
    <t>707000</t>
  </si>
  <si>
    <t>711000</t>
  </si>
  <si>
    <t>728900</t>
  </si>
  <si>
    <t>730000</t>
  </si>
  <si>
    <t>746001</t>
  </si>
  <si>
    <t>760000</t>
  </si>
  <si>
    <t>761000</t>
  </si>
  <si>
    <t>763000</t>
  </si>
  <si>
    <t>764000</t>
  </si>
  <si>
    <t>805100</t>
  </si>
  <si>
    <t>805200</t>
  </si>
  <si>
    <t>Supervision &amp; Engineer Exp</t>
  </si>
  <si>
    <t>Structure &amp; Improvement</t>
  </si>
  <si>
    <t>Wells</t>
  </si>
  <si>
    <t>Misc Expense</t>
  </si>
  <si>
    <t>Wages-WaterTreat Plant Mainten</t>
  </si>
  <si>
    <t>Reservoirs &amp; Tanks</t>
  </si>
  <si>
    <t>Trans &amp; Distribution Mains</t>
  </si>
  <si>
    <t>Services</t>
  </si>
  <si>
    <t>Meters</t>
  </si>
  <si>
    <t>General Structure &amp; Improv</t>
  </si>
  <si>
    <t>General Equipment</t>
  </si>
  <si>
    <t>503000</t>
  </si>
  <si>
    <t>504000</t>
  </si>
  <si>
    <t>Depreciation</t>
  </si>
  <si>
    <t>Amor Ltd Term Invest</t>
  </si>
  <si>
    <t>Depreciation &amp; Amortization</t>
  </si>
  <si>
    <t>Federal Income Taxes</t>
  </si>
  <si>
    <t>507300</t>
  </si>
  <si>
    <t>Federal Income Tax</t>
  </si>
  <si>
    <t>Taxes Other than Federal Income Taxes</t>
  </si>
  <si>
    <t>Other Taxes</t>
  </si>
  <si>
    <t>Fica</t>
  </si>
  <si>
    <t>Fed Unemploymt- Fui</t>
  </si>
  <si>
    <t>State Unemploymt-Sui</t>
  </si>
  <si>
    <t>Property Taxes</t>
  </si>
  <si>
    <t>Public Service Company Tax</t>
  </si>
  <si>
    <t>General Excise Tax</t>
  </si>
  <si>
    <t>Reg Employer Payroll Tax Alloc</t>
  </si>
  <si>
    <t>507100</t>
  </si>
  <si>
    <t>507101</t>
  </si>
  <si>
    <t>507102</t>
  </si>
  <si>
    <t>507103</t>
  </si>
  <si>
    <t>507106</t>
  </si>
  <si>
    <t>507107</t>
  </si>
  <si>
    <t>507108</t>
  </si>
  <si>
    <t>507199</t>
  </si>
  <si>
    <t>Non-Regulated Income and Expenses</t>
  </si>
  <si>
    <t>521900</t>
  </si>
  <si>
    <t>522101</t>
  </si>
  <si>
    <t>522130</t>
  </si>
  <si>
    <t>524100</t>
  </si>
  <si>
    <t>525000</t>
  </si>
  <si>
    <t>526006</t>
  </si>
  <si>
    <t>885010</t>
  </si>
  <si>
    <t>522102</t>
  </si>
  <si>
    <t>536000</t>
  </si>
  <si>
    <t>536001</t>
  </si>
  <si>
    <t>536030</t>
  </si>
  <si>
    <t>537010</t>
  </si>
  <si>
    <t>885199</t>
  </si>
  <si>
    <t>887010</t>
  </si>
  <si>
    <t>887011</t>
  </si>
  <si>
    <t>887020</t>
  </si>
  <si>
    <t>887910</t>
  </si>
  <si>
    <t>887911</t>
  </si>
  <si>
    <t>887928</t>
  </si>
  <si>
    <t>887954</t>
  </si>
  <si>
    <t>887999</t>
  </si>
  <si>
    <t>888120</t>
  </si>
  <si>
    <t>522202</t>
  </si>
  <si>
    <t>522203</t>
  </si>
  <si>
    <t>522221</t>
  </si>
  <si>
    <t>526100</t>
  </si>
  <si>
    <t>538100</t>
  </si>
  <si>
    <t>507301</t>
  </si>
  <si>
    <t>Sewer Billings</t>
  </si>
  <si>
    <t>Op Prop-Lease Revenu</t>
  </si>
  <si>
    <t>Alloc Out NonReg Rev-Ant Lease</t>
  </si>
  <si>
    <t>Interest Income</t>
  </si>
  <si>
    <t>Discount Earned</t>
  </si>
  <si>
    <t>Other</t>
  </si>
  <si>
    <t>Operating Revenues</t>
  </si>
  <si>
    <t>Op Prop-Lease Expens</t>
  </si>
  <si>
    <t>Non Service Pension</t>
  </si>
  <si>
    <t>Non-service PBOP</t>
  </si>
  <si>
    <t>NS Pension Cost Allocation</t>
  </si>
  <si>
    <t>NS Pension Reg - Amortization</t>
  </si>
  <si>
    <t>Non Reg CWSCO Payroll TX</t>
  </si>
  <si>
    <t>Supervision &amp; Engr Exp</t>
  </si>
  <si>
    <t>Wages - Non Reg Source of Supp</t>
  </si>
  <si>
    <t>Opr Labor &amp; Expenses</t>
  </si>
  <si>
    <t>Admin &amp; Gen Expense</t>
  </si>
  <si>
    <t>Wages - Non Reg Admin &amp; Gen</t>
  </si>
  <si>
    <t>Meals</t>
  </si>
  <si>
    <t>Admin Charges</t>
  </si>
  <si>
    <t>New Business Expense</t>
  </si>
  <si>
    <t>New Business - Meals</t>
  </si>
  <si>
    <t>Wages - New Business Non-Regul</t>
  </si>
  <si>
    <t>Gain On Sale Of Prop</t>
  </si>
  <si>
    <t>Charitable Contrib</t>
  </si>
  <si>
    <t>Non-op Income Tax-Fed</t>
  </si>
  <si>
    <t>Interest</t>
  </si>
  <si>
    <t>535000</t>
  </si>
  <si>
    <t>535001</t>
  </si>
  <si>
    <t>535100</t>
  </si>
  <si>
    <t>Other Interest Exp</t>
  </si>
  <si>
    <t>Loans</t>
  </si>
  <si>
    <t>Interest Capitalized</t>
  </si>
  <si>
    <t>Dividends</t>
  </si>
  <si>
    <t>412000</t>
  </si>
  <si>
    <t>Div Appro Comm Stk</t>
  </si>
  <si>
    <t>Consolidated</t>
  </si>
  <si>
    <t>EP</t>
  </si>
  <si>
    <t>Utility Plant</t>
  </si>
  <si>
    <t>Utility Plant (other)</t>
  </si>
  <si>
    <t>Construction Work in Process</t>
  </si>
  <si>
    <t>Utility Plant Acquisition Adjustment</t>
  </si>
  <si>
    <t xml:space="preserve">    Accumulated Depreciation PIS</t>
  </si>
  <si>
    <t xml:space="preserve">    Accumulated Depreciation Leased</t>
  </si>
  <si>
    <t>Cash</t>
  </si>
  <si>
    <t>Special Funds (Facility Charges, Surcharges)</t>
  </si>
  <si>
    <t>Accounts Receivable</t>
  </si>
  <si>
    <t>Accrued Revenues</t>
  </si>
  <si>
    <t>Plant Materials and Supplies</t>
  </si>
  <si>
    <t>Prepayments</t>
  </si>
  <si>
    <t>Current Assets (other)</t>
  </si>
  <si>
    <t>Rents Receivable</t>
  </si>
  <si>
    <t>Common Stock</t>
  </si>
  <si>
    <t>Retained Earnings</t>
  </si>
  <si>
    <t>Preferred Stock</t>
  </si>
  <si>
    <t>Notes Payable</t>
  </si>
  <si>
    <t>Accounts Payable</t>
  </si>
  <si>
    <t>Accrued Taxes</t>
  </si>
  <si>
    <t>Accrued Interest</t>
  </si>
  <si>
    <t>Current Liabilities (other)</t>
  </si>
  <si>
    <t>Miscellaneous</t>
  </si>
  <si>
    <t>Customer Deposits</t>
  </si>
  <si>
    <t>112600</t>
  </si>
  <si>
    <t>Deferred Tax Asset – NOL</t>
  </si>
  <si>
    <t>112605</t>
  </si>
  <si>
    <t>DTA-NOL-TCJA post 2017</t>
  </si>
  <si>
    <t>249900</t>
  </si>
  <si>
    <t>Deferred Fed Inc Tax</t>
  </si>
  <si>
    <t>249903</t>
  </si>
  <si>
    <t>Def Federal Tax-Misc</t>
  </si>
  <si>
    <t>213309</t>
  </si>
  <si>
    <t>TCJA Memo Account</t>
  </si>
  <si>
    <t>213310</t>
  </si>
  <si>
    <t>NS Benefit Reg CIAC account</t>
  </si>
  <si>
    <t>213315</t>
  </si>
  <si>
    <t>NS Benefit Reg CIAC Accum</t>
  </si>
  <si>
    <t>249100</t>
  </si>
  <si>
    <t>Regulatory Liabilities</t>
  </si>
  <si>
    <t>Advances</t>
  </si>
  <si>
    <t>Contributions In Aid of Construction (CIAC)</t>
  </si>
  <si>
    <t xml:space="preserve">    Accumulated Amortization (CIAC)</t>
  </si>
  <si>
    <t>Metered Sales</t>
  </si>
  <si>
    <t>Un-metered Sales</t>
  </si>
  <si>
    <t>Other Income, Ancillary Charges</t>
  </si>
  <si>
    <t>Fire Protection / Irrigation</t>
  </si>
  <si>
    <t>Ready-to-Serve</t>
  </si>
  <si>
    <t>Purchased Power/Water</t>
  </si>
  <si>
    <t>Office, Postage, Phone, and Bank Charges</t>
  </si>
  <si>
    <t>Salary and Wages - Employees</t>
  </si>
  <si>
    <t>Contractual Accounting</t>
  </si>
  <si>
    <t>Travel, Education, CCR, and Public Relations</t>
  </si>
  <si>
    <t>Material &amp; Supplies</t>
  </si>
  <si>
    <t>Insurance - Vehicle, General Liability, Workman's Comp.</t>
  </si>
  <si>
    <t>Employee Pensions and Benefits</t>
  </si>
  <si>
    <t>Regulatory Commission Expenses - Fees</t>
  </si>
  <si>
    <t>Contractual Legal</t>
  </si>
  <si>
    <t>Contractual Operations</t>
  </si>
  <si>
    <t>Contractual Engineer</t>
  </si>
  <si>
    <t>Other Taxes &amp; Licenses (DOH/DOE)</t>
  </si>
  <si>
    <t>Rental of Building, Property, and Equipment</t>
  </si>
  <si>
    <t>Chemicals &amp; Testing</t>
  </si>
  <si>
    <t>Transportation</t>
  </si>
  <si>
    <t>Bad Debt</t>
  </si>
  <si>
    <t>Net Depreciation/Amortization</t>
  </si>
  <si>
    <t>Federal Income Tax (FIT)</t>
  </si>
  <si>
    <t>Payroll Tax (ESD, L&amp;I)</t>
  </si>
  <si>
    <t>Property Tax</t>
  </si>
  <si>
    <t>Utility Excise Tax</t>
  </si>
  <si>
    <t>Jobbing ( R )</t>
  </si>
  <si>
    <t>Jobbing ( E )</t>
  </si>
  <si>
    <t>Interest Expense</t>
  </si>
  <si>
    <t>RA1</t>
  </si>
  <si>
    <t>Remove Jobbing</t>
  </si>
  <si>
    <t>Exp. &amp; Rev</t>
  </si>
  <si>
    <t>Line</t>
  </si>
  <si>
    <t>No.</t>
  </si>
  <si>
    <t>( a )</t>
  </si>
  <si>
    <t>( b )</t>
  </si>
  <si>
    <t>( c )</t>
  </si>
  <si>
    <t>( d )</t>
  </si>
  <si>
    <t>Total</t>
  </si>
  <si>
    <t>Restating</t>
  </si>
  <si>
    <t>Adjustments</t>
  </si>
  <si>
    <t>Balance</t>
  </si>
  <si>
    <t>As Restated</t>
  </si>
  <si>
    <t>RA2</t>
  </si>
  <si>
    <t>Input Sheet Assignment</t>
  </si>
  <si>
    <t>( e )</t>
  </si>
  <si>
    <t>( f )</t>
  </si>
  <si>
    <t/>
  </si>
  <si>
    <t>Occur in PFI Schedule</t>
  </si>
  <si>
    <t>( g )</t>
  </si>
  <si>
    <t>( h )</t>
  </si>
  <si>
    <t>( i )</t>
  </si>
  <si>
    <t>PF3</t>
  </si>
  <si>
    <t>PF4</t>
  </si>
  <si>
    <t>Annualization</t>
  </si>
  <si>
    <t>Usage-Related</t>
  </si>
  <si>
    <t>Salary Increase</t>
  </si>
  <si>
    <t>PF5</t>
  </si>
  <si>
    <t>Open Positions</t>
  </si>
  <si>
    <t>Adjustment</t>
  </si>
  <si>
    <t>Contractual</t>
  </si>
  <si>
    <t>to Non-Reg. Entity</t>
  </si>
  <si>
    <t>( j )</t>
  </si>
  <si>
    <t>( k )</t>
  </si>
  <si>
    <t>Increase</t>
  </si>
  <si>
    <t>Pro Forma</t>
  </si>
  <si>
    <t>Washington Water Service Company - 2021 General Rate Case</t>
  </si>
  <si>
    <t>East Pierce Pro Forma Adjustments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</si>
  <si>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</si>
  <si>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</si>
  <si>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</si>
  <si>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</si>
  <si>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</si>
  <si>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</si>
  <si>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</si>
  <si>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</si>
  <si>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</si>
  <si>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</si>
  <si>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</si>
  <si>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</si>
  <si>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5/8" </t>
  </si>
  <si>
    <t>3/4"</t>
  </si>
  <si>
    <t>1"</t>
  </si>
  <si>
    <t>1 1/2"</t>
  </si>
  <si>
    <t>2"</t>
  </si>
  <si>
    <t>3"</t>
  </si>
  <si>
    <t>4"</t>
  </si>
  <si>
    <t>6"</t>
  </si>
  <si>
    <t>8"</t>
  </si>
  <si>
    <t>Total Usage, WWSCo Ownership</t>
  </si>
  <si>
    <t>Annualization
Factor</t>
  </si>
  <si>
    <t>Annualization
Adj.</t>
  </si>
  <si>
    <t>704000 - Purchased Water</t>
  </si>
  <si>
    <t>Revenue</t>
  </si>
  <si>
    <t>Activity</t>
  </si>
  <si>
    <t>7-Month Total</t>
  </si>
  <si>
    <t>Account</t>
  </si>
  <si>
    <t>Description</t>
  </si>
  <si>
    <t>Note</t>
  </si>
  <si>
    <t>Amount calcuated in GRC Model.</t>
  </si>
  <si>
    <t>Calculated in GRC Model</t>
  </si>
  <si>
    <t>Accounted for in Prop. Tax Adjustment</t>
  </si>
  <si>
    <t>Normalize</t>
  </si>
  <si>
    <t>Expenses</t>
  </si>
  <si>
    <t>2.9% Filled Pos.</t>
  </si>
  <si>
    <t>( l )</t>
  </si>
  <si>
    <t>( m )</t>
  </si>
  <si>
    <t>( n )</t>
  </si>
  <si>
    <t>( o )</t>
  </si>
  <si>
    <t>Storekeeper - WA</t>
  </si>
  <si>
    <t>Collector/Meter Reader - WA</t>
  </si>
  <si>
    <t>Customer Service Rep -WA</t>
  </si>
  <si>
    <t>Utility Worker - WA</t>
  </si>
  <si>
    <t>Serviceperson - WA</t>
  </si>
  <si>
    <t>Project Engineer - WA</t>
  </si>
  <si>
    <t>Laborer-Construction-WA</t>
  </si>
  <si>
    <t>Operations Manager</t>
  </si>
  <si>
    <t>Foreman-Operations-WA</t>
  </si>
  <si>
    <t>Water/ Wastewater Operator</t>
  </si>
  <si>
    <t>Interim Customer Service Mgr</t>
  </si>
  <si>
    <t>Temp Construction Laborer</t>
  </si>
  <si>
    <t>Laborer-Construction (WA)</t>
  </si>
  <si>
    <t>WQ Field Technician</t>
  </si>
  <si>
    <t>Small Systems Operator (WA)</t>
  </si>
  <si>
    <t>4-Factor</t>
  </si>
  <si>
    <t>TOTAL ALL ACCOUNTS</t>
  </si>
  <si>
    <t>RCE</t>
  </si>
  <si>
    <t>Line No.</t>
  </si>
  <si>
    <t>System</t>
  </si>
  <si>
    <t>2020 Expense</t>
  </si>
  <si>
    <t>Annualization Adjustment</t>
  </si>
  <si>
    <t>Property Tax Increase</t>
  </si>
  <si>
    <t>Total Pro Forma</t>
  </si>
  <si>
    <t>As Adjusted</t>
  </si>
  <si>
    <t>Unconsolidated Washington Water</t>
  </si>
  <si>
    <t>East Pierce</t>
  </si>
  <si>
    <t>Consolidated Total</t>
  </si>
  <si>
    <t>Annualization &amp; Adj.</t>
  </si>
  <si>
    <t>Line No</t>
  </si>
  <si>
    <t>Amount</t>
  </si>
  <si>
    <t>Total Rate Case Expense</t>
  </si>
  <si>
    <t>Amortization Period (Yrs)</t>
  </si>
  <si>
    <t>Annual Amortization</t>
  </si>
  <si>
    <t>Allocation to EP (4-Factor)</t>
  </si>
  <si>
    <t>Allocation to WWSCO (4-Factor)</t>
  </si>
  <si>
    <t>Rate Case Expense</t>
  </si>
  <si>
    <t>Regulatory Commission Expenses - Amort. Rate Case</t>
  </si>
  <si>
    <t>Historic Washington Water Restating Adjustments</t>
  </si>
  <si>
    <t>Historic Washington Water Pro Forma Adjustments</t>
  </si>
  <si>
    <t>Transfer PubCo Exp</t>
  </si>
  <si>
    <t>Adjustment PF7 Support - Reallocation of PubCo Expense to Non-Regulated Entities</t>
  </si>
  <si>
    <t>Regulated Activities</t>
  </si>
  <si>
    <t>Non-Regulated Activities</t>
  </si>
  <si>
    <t>WW</t>
  </si>
  <si>
    <t>Consolidated Co.</t>
  </si>
  <si>
    <t>Total Regulated Activities</t>
  </si>
  <si>
    <t>Total Non-Regulated Activities</t>
  </si>
  <si>
    <t>Pro Forma Total PubCo Expense Before Reallocation</t>
  </si>
  <si>
    <t>% of Employee-Related Expenses to Non-Regulated Activities</t>
  </si>
  <si>
    <t>Workbook Contents</t>
  </si>
  <si>
    <t>Worksheet Name</t>
  </si>
  <si>
    <t>Adjustment PF2 Support - East Pierce Usage-Related Annualization</t>
  </si>
  <si>
    <t>Adjustment RA3 Support - East Pierce Normalization</t>
  </si>
  <si>
    <t>Position Name</t>
  </si>
  <si>
    <t>Historical WWSCo</t>
  </si>
  <si>
    <t>Months Vacant</t>
  </si>
  <si>
    <t>Annual</t>
  </si>
  <si>
    <t>Salary</t>
  </si>
  <si>
    <t>Capitalization</t>
  </si>
  <si>
    <t>Rate</t>
  </si>
  <si>
    <t>Total Salary</t>
  </si>
  <si>
    <t>Expensed</t>
  </si>
  <si>
    <t>Benefits &amp; Taxes</t>
  </si>
  <si>
    <t>at 91.13% of Salary</t>
  </si>
  <si>
    <t>Total Pro</t>
  </si>
  <si>
    <t>Forma Adjustment</t>
  </si>
  <si>
    <t xml:space="preserve">Allocation to </t>
  </si>
  <si>
    <t>Historical WWSCO</t>
  </si>
  <si>
    <t>Allocation</t>
  </si>
  <si>
    <t>Used</t>
  </si>
  <si>
    <t>Meter</t>
  </si>
  <si>
    <t>Size</t>
  </si>
  <si>
    <t>East Pierce 2020 Usage by Meter Size (Ccf)</t>
  </si>
  <si>
    <t>Total Usage Pre-Acquisition</t>
  </si>
  <si>
    <t>Usage Annualization Factor</t>
  </si>
  <si>
    <t>Acct</t>
  </si>
  <si>
    <t>Jun-Dec Expense</t>
  </si>
  <si>
    <t>2.2% Inflationary</t>
  </si>
  <si>
    <t>Inflationary Factor</t>
  </si>
  <si>
    <t>Adjustment PF1 Support - East Pierce Expense Annualization</t>
  </si>
  <si>
    <t>Annualization based on usage. See WP PF2.</t>
  </si>
  <si>
    <t>EP Annualizing</t>
  </si>
  <si>
    <t>With Hist. WW</t>
  </si>
  <si>
    <t>( p )</t>
  </si>
  <si>
    <t>( q )</t>
  </si>
  <si>
    <t>Adjustment to Regulated Entities PubCo Expense</t>
  </si>
  <si>
    <t>Hist. WWSCo</t>
  </si>
  <si>
    <t>Expense</t>
  </si>
  <si>
    <t>Adjustment PF6 Support - Annualize Vacancies and New Positions Employee-Related Expenses</t>
  </si>
  <si>
    <t>Adjustment PF8 Support - Contractual Increases</t>
  </si>
  <si>
    <t>Repairs</t>
  </si>
  <si>
    <t>Salary and Wages - Officers</t>
  </si>
  <si>
    <t>Un-Metered Sales</t>
  </si>
  <si>
    <t>Input Sheet Description</t>
  </si>
  <si>
    <t>INCOME STATEMENT</t>
  </si>
  <si>
    <t>Other Expenses</t>
  </si>
  <si>
    <t>Four-Factor Used for EP-WWSCo Allocation</t>
  </si>
  <si>
    <t>BALANCE SHEET</t>
  </si>
  <si>
    <t>Assets</t>
  </si>
  <si>
    <t>Investments</t>
  </si>
  <si>
    <t>Notes Receivable</t>
  </si>
  <si>
    <t>Uncollectable Accounts</t>
  </si>
  <si>
    <t>Accrued Interest (A)</t>
  </si>
  <si>
    <t>Accrued Dividends (A)</t>
  </si>
  <si>
    <t>Other Deferred Debits (Income Taxes)</t>
  </si>
  <si>
    <t>Utility Plant Sold</t>
  </si>
  <si>
    <t xml:space="preserve">    Accumulated Depreciation CWIP</t>
  </si>
  <si>
    <t>Utility Plant Leased to Others</t>
  </si>
  <si>
    <t xml:space="preserve">     Accumulated Amortization</t>
  </si>
  <si>
    <t>Non-Utility Plant</t>
  </si>
  <si>
    <t xml:space="preserve">    Accumulated Depreciation NonUt</t>
  </si>
  <si>
    <t>Accrued Dividends</t>
  </si>
  <si>
    <t>Unearned Revenues</t>
  </si>
  <si>
    <t>Operating Reserves</t>
  </si>
  <si>
    <t>Other Deferred Credits</t>
  </si>
  <si>
    <t>Current Liabilities</t>
  </si>
  <si>
    <t>Long-Term Liabilities</t>
  </si>
  <si>
    <t>Bonds</t>
  </si>
  <si>
    <t>Long-Term Debt (other)</t>
  </si>
  <si>
    <t>Capital Stock</t>
  </si>
  <si>
    <t>Proprietary Capital</t>
  </si>
  <si>
    <t>Other Paid In Capital</t>
  </si>
  <si>
    <t>Equity</t>
  </si>
  <si>
    <t>East Pierce Input Worksheet</t>
  </si>
  <si>
    <t>Historical Washington Water Input Worksheet</t>
  </si>
  <si>
    <t>Adjustment RA4 Support - Remove COVID-Related expenses</t>
  </si>
  <si>
    <t>Unit</t>
  </si>
  <si>
    <t>Line Date</t>
  </si>
  <si>
    <t>Journal ID</t>
  </si>
  <si>
    <t>Dept</t>
  </si>
  <si>
    <t>Line #</t>
  </si>
  <si>
    <t>Project</t>
  </si>
  <si>
    <t>Stat Amt</t>
  </si>
  <si>
    <t>Line Descr</t>
  </si>
  <si>
    <t>Long Descr</t>
  </si>
  <si>
    <t>Stat</t>
  </si>
  <si>
    <t>Affiliate</t>
  </si>
  <si>
    <t>Ref</t>
  </si>
  <si>
    <t>Product</t>
  </si>
  <si>
    <t>WWSCO</t>
  </si>
  <si>
    <t>EXP0202676</t>
  </si>
  <si>
    <t>585</t>
  </si>
  <si>
    <t>002618</t>
  </si>
  <si>
    <t>Expense Journal</t>
  </si>
  <si>
    <t>0000141799</t>
  </si>
  <si>
    <t>COVIDT</t>
  </si>
  <si>
    <t>EXP0203001</t>
  </si>
  <si>
    <t>002073</t>
  </si>
  <si>
    <t>0000141945</t>
  </si>
  <si>
    <t>EXP0203234</t>
  </si>
  <si>
    <t>501</t>
  </si>
  <si>
    <t>002380</t>
  </si>
  <si>
    <t>0000141834</t>
  </si>
  <si>
    <t>591</t>
  </si>
  <si>
    <t>001144</t>
  </si>
  <si>
    <t>0000142155</t>
  </si>
  <si>
    <t>0000142172</t>
  </si>
  <si>
    <t>502</t>
  </si>
  <si>
    <t>000790</t>
  </si>
  <si>
    <t>0000142177</t>
  </si>
  <si>
    <t>0000142181</t>
  </si>
  <si>
    <t>001354</t>
  </si>
  <si>
    <t>0000142305</t>
  </si>
  <si>
    <t>EXP0203316</t>
  </si>
  <si>
    <t>000889</t>
  </si>
  <si>
    <t>0000141931</t>
  </si>
  <si>
    <t>000770</t>
  </si>
  <si>
    <t>0000142260</t>
  </si>
  <si>
    <t>000505</t>
  </si>
  <si>
    <t>0000142413</t>
  </si>
  <si>
    <t>EXP0203394</t>
  </si>
  <si>
    <t>500</t>
  </si>
  <si>
    <t>000777</t>
  </si>
  <si>
    <t>0000142333</t>
  </si>
  <si>
    <t>EXP0203469</t>
  </si>
  <si>
    <t>002700</t>
  </si>
  <si>
    <t>0000142427</t>
  </si>
  <si>
    <t>EXP0203584</t>
  </si>
  <si>
    <t>0000142482</t>
  </si>
  <si>
    <t>0000142605</t>
  </si>
  <si>
    <t>EXP0203793</t>
  </si>
  <si>
    <t>0000141844</t>
  </si>
  <si>
    <t>001565</t>
  </si>
  <si>
    <t>0000141949</t>
  </si>
  <si>
    <t>0000142227</t>
  </si>
  <si>
    <t>0000142478</t>
  </si>
  <si>
    <t>0000142852</t>
  </si>
  <si>
    <t>EXP0204065</t>
  </si>
  <si>
    <t>001216</t>
  </si>
  <si>
    <t>0000142397</t>
  </si>
  <si>
    <t>0000142664</t>
  </si>
  <si>
    <t>0000142869</t>
  </si>
  <si>
    <t>0000142872</t>
  </si>
  <si>
    <t>EXP0204125</t>
  </si>
  <si>
    <t>002805</t>
  </si>
  <si>
    <t>0000142854</t>
  </si>
  <si>
    <t>0000142899</t>
  </si>
  <si>
    <t>0000142900</t>
  </si>
  <si>
    <t>0000142909</t>
  </si>
  <si>
    <t>EXP0204195</t>
  </si>
  <si>
    <t>000888</t>
  </si>
  <si>
    <t>0000141895</t>
  </si>
  <si>
    <t>0000141902</t>
  </si>
  <si>
    <t>0000141906</t>
  </si>
  <si>
    <t>0000141907</t>
  </si>
  <si>
    <t>0000141909</t>
  </si>
  <si>
    <t>000788</t>
  </si>
  <si>
    <t>0000142110</t>
  </si>
  <si>
    <t>EXP0204314</t>
  </si>
  <si>
    <t>0000142895</t>
  </si>
  <si>
    <t>0000142901</t>
  </si>
  <si>
    <t>EXP0204581</t>
  </si>
  <si>
    <t>0000142407</t>
  </si>
  <si>
    <t>0000142943</t>
  </si>
  <si>
    <t>0000143213</t>
  </si>
  <si>
    <t>0000143226</t>
  </si>
  <si>
    <t>EXP0204637</t>
  </si>
  <si>
    <t>0000142742</t>
  </si>
  <si>
    <t>0000142743</t>
  </si>
  <si>
    <t>EXP0204906</t>
  </si>
  <si>
    <t>0000143476</t>
  </si>
  <si>
    <t>0000143477</t>
  </si>
  <si>
    <t>EXP0204908</t>
  </si>
  <si>
    <t>0000143887</t>
  </si>
  <si>
    <t>0000143895</t>
  </si>
  <si>
    <t>EXP0205030</t>
  </si>
  <si>
    <t>0000143888</t>
  </si>
  <si>
    <t>0000143892</t>
  </si>
  <si>
    <t>EXP0205268</t>
  </si>
  <si>
    <t>0000143950</t>
  </si>
  <si>
    <t>AC_AP_3</t>
  </si>
  <si>
    <t>EXP0205279</t>
  </si>
  <si>
    <t>Reclass between business units</t>
  </si>
  <si>
    <t>EXP0205682</t>
  </si>
  <si>
    <t>503</t>
  </si>
  <si>
    <t>002637</t>
  </si>
  <si>
    <t>0000144280</t>
  </si>
  <si>
    <t>EXP0205753</t>
  </si>
  <si>
    <t>0000143835</t>
  </si>
  <si>
    <t>0000143844</t>
  </si>
  <si>
    <t>0000143864</t>
  </si>
  <si>
    <t>0000143866</t>
  </si>
  <si>
    <t>0000143881</t>
  </si>
  <si>
    <t>0000144127</t>
  </si>
  <si>
    <t>0000144347</t>
  </si>
  <si>
    <t>0000144350</t>
  </si>
  <si>
    <t>0000144352</t>
  </si>
  <si>
    <t>0000144353</t>
  </si>
  <si>
    <t>0000144485</t>
  </si>
  <si>
    <t>EXP0205822</t>
  </si>
  <si>
    <t>000784</t>
  </si>
  <si>
    <t>0000144349</t>
  </si>
  <si>
    <t>0000144435</t>
  </si>
  <si>
    <t>0000144599</t>
  </si>
  <si>
    <t>0000144601</t>
  </si>
  <si>
    <t>EXP0205885</t>
  </si>
  <si>
    <t>0000144610</t>
  </si>
  <si>
    <t>0000144611</t>
  </si>
  <si>
    <t>552</t>
  </si>
  <si>
    <t>000787</t>
  </si>
  <si>
    <t>0000144620</t>
  </si>
  <si>
    <t>AP00205951</t>
  </si>
  <si>
    <t>11K188 - TILT FLOAT SWITCH</t>
  </si>
  <si>
    <t>AP Accruals</t>
  </si>
  <si>
    <t>00069291</t>
  </si>
  <si>
    <t>EXP0206025</t>
  </si>
  <si>
    <t>0000144098</t>
  </si>
  <si>
    <t>0000144099</t>
  </si>
  <si>
    <t>0000144511</t>
  </si>
  <si>
    <t>0000144540</t>
  </si>
  <si>
    <t>0000144565</t>
  </si>
  <si>
    <t>EXP0206208</t>
  </si>
  <si>
    <t>0000144893</t>
  </si>
  <si>
    <t>EXP0206269</t>
  </si>
  <si>
    <t>000890</t>
  </si>
  <si>
    <t>0000144141</t>
  </si>
  <si>
    <t>EXP0206542</t>
  </si>
  <si>
    <t>0000145230</t>
  </si>
  <si>
    <t>EXP0206611</t>
  </si>
  <si>
    <t>002799</t>
  </si>
  <si>
    <t>0000144677</t>
  </si>
  <si>
    <t>0000144681</t>
  </si>
  <si>
    <t>0000144833</t>
  </si>
  <si>
    <t>EXP0207220</t>
  </si>
  <si>
    <t>0000145471</t>
  </si>
  <si>
    <t>EXP0207224</t>
  </si>
  <si>
    <t>0000145470</t>
  </si>
  <si>
    <t>0000145535</t>
  </si>
  <si>
    <t>0000145538</t>
  </si>
  <si>
    <t>0000145539</t>
  </si>
  <si>
    <t>0000145540</t>
  </si>
  <si>
    <t>002613</t>
  </si>
  <si>
    <t>0000145545</t>
  </si>
  <si>
    <t>0000145584</t>
  </si>
  <si>
    <t>0000145604</t>
  </si>
  <si>
    <t>0000145658</t>
  </si>
  <si>
    <t>EXP0207294</t>
  </si>
  <si>
    <t>0000144835</t>
  </si>
  <si>
    <t>0000145420</t>
  </si>
  <si>
    <t>0000145425</t>
  </si>
  <si>
    <t>EXP0207358</t>
  </si>
  <si>
    <t>0000145672</t>
  </si>
  <si>
    <t>0000145673</t>
  </si>
  <si>
    <t>0000145746</t>
  </si>
  <si>
    <t>EXP0207437</t>
  </si>
  <si>
    <t>0000145102</t>
  </si>
  <si>
    <t>0000145105</t>
  </si>
  <si>
    <t>0000145107</t>
  </si>
  <si>
    <t>0000145108</t>
  </si>
  <si>
    <t>EXP0207516</t>
  </si>
  <si>
    <t>0000145655</t>
  </si>
  <si>
    <t>0000145740</t>
  </si>
  <si>
    <t>0000145741</t>
  </si>
  <si>
    <t>EXP0207737</t>
  </si>
  <si>
    <t>0000145855</t>
  </si>
  <si>
    <t>0000145913</t>
  </si>
  <si>
    <t>EXP0208023</t>
  </si>
  <si>
    <t>0000144785</t>
  </si>
  <si>
    <t>0000145588</t>
  </si>
  <si>
    <t>0000146151</t>
  </si>
  <si>
    <t>EXP0208152</t>
  </si>
  <si>
    <t>0000145164</t>
  </si>
  <si>
    <t>0000145252</t>
  </si>
  <si>
    <t>0000145583</t>
  </si>
  <si>
    <t>0000146238</t>
  </si>
  <si>
    <t>EXP0208506</t>
  </si>
  <si>
    <t>0000145649</t>
  </si>
  <si>
    <t>EXP0208591</t>
  </si>
  <si>
    <t>001360</t>
  </si>
  <si>
    <t>0000145648</t>
  </si>
  <si>
    <t>0000145651</t>
  </si>
  <si>
    <t>0000146187</t>
  </si>
  <si>
    <t>EXP0208678</t>
  </si>
  <si>
    <t>0000145144</t>
  </si>
  <si>
    <t>0000145150</t>
  </si>
  <si>
    <t>001968</t>
  </si>
  <si>
    <t>0000145308</t>
  </si>
  <si>
    <t>0000145610</t>
  </si>
  <si>
    <t>515</t>
  </si>
  <si>
    <t>002840</t>
  </si>
  <si>
    <t>0000145847</t>
  </si>
  <si>
    <t>002861</t>
  </si>
  <si>
    <t>0000145863</t>
  </si>
  <si>
    <t>002858</t>
  </si>
  <si>
    <t>0000145882</t>
  </si>
  <si>
    <t>EXP0208706</t>
  </si>
  <si>
    <t>0000144991</t>
  </si>
  <si>
    <t>000786</t>
  </si>
  <si>
    <t>0000145613</t>
  </si>
  <si>
    <t>0000145630</t>
  </si>
  <si>
    <t>0000145640</t>
  </si>
  <si>
    <t>0000145836</t>
  </si>
  <si>
    <t>0000145842</t>
  </si>
  <si>
    <t>0000146015</t>
  </si>
  <si>
    <t>002331</t>
  </si>
  <si>
    <t>0000146137</t>
  </si>
  <si>
    <t>0000146200</t>
  </si>
  <si>
    <t>EXP0209115</t>
  </si>
  <si>
    <t>002852</t>
  </si>
  <si>
    <t>0000145967</t>
  </si>
  <si>
    <t>002841</t>
  </si>
  <si>
    <t>0000146094</t>
  </si>
  <si>
    <t>0000146707</t>
  </si>
  <si>
    <t>0000146709</t>
  </si>
  <si>
    <t>0000146712</t>
  </si>
  <si>
    <t>EXP0209147</t>
  </si>
  <si>
    <t>0000144672</t>
  </si>
  <si>
    <t>EXP0209152</t>
  </si>
  <si>
    <t>0000145892</t>
  </si>
  <si>
    <t>EXP0209231</t>
  </si>
  <si>
    <t>000769</t>
  </si>
  <si>
    <t>0000146763</t>
  </si>
  <si>
    <t>EXP0209291</t>
  </si>
  <si>
    <t>0000147081</t>
  </si>
  <si>
    <t>EXP0209432</t>
  </si>
  <si>
    <t>0000147072</t>
  </si>
  <si>
    <t>EXP0209621</t>
  </si>
  <si>
    <t>0000144567</t>
  </si>
  <si>
    <t>0000147040</t>
  </si>
  <si>
    <t>EXP0209696</t>
  </si>
  <si>
    <t>0000146879</t>
  </si>
  <si>
    <t>EXP0209955</t>
  </si>
  <si>
    <t>0000142785</t>
  </si>
  <si>
    <t>EXP0210251</t>
  </si>
  <si>
    <t>0000147686</t>
  </si>
  <si>
    <t>EXP0210388</t>
  </si>
  <si>
    <t>0000146878</t>
  </si>
  <si>
    <t>001540</t>
  </si>
  <si>
    <t>0000147880</t>
  </si>
  <si>
    <t>0000147881</t>
  </si>
  <si>
    <t>0000147887</t>
  </si>
  <si>
    <t>0000147888</t>
  </si>
  <si>
    <t>0000147889</t>
  </si>
  <si>
    <t>0000147890</t>
  </si>
  <si>
    <t>0000147893</t>
  </si>
  <si>
    <t>0000147894</t>
  </si>
  <si>
    <t>0000147895</t>
  </si>
  <si>
    <t>0000147896</t>
  </si>
  <si>
    <t>0000147897</t>
  </si>
  <si>
    <t>0000147898</t>
  </si>
  <si>
    <t>0000147901</t>
  </si>
  <si>
    <t>0000147902</t>
  </si>
  <si>
    <t>0000147903</t>
  </si>
  <si>
    <t>0000147904</t>
  </si>
  <si>
    <t>0000147912</t>
  </si>
  <si>
    <t>0000147913</t>
  </si>
  <si>
    <t>001555</t>
  </si>
  <si>
    <t>0000147926</t>
  </si>
  <si>
    <t>EXP0210713</t>
  </si>
  <si>
    <t>002845</t>
  </si>
  <si>
    <t>0000146573</t>
  </si>
  <si>
    <t>EXP0210970</t>
  </si>
  <si>
    <t>001512</t>
  </si>
  <si>
    <t>0000147555</t>
  </si>
  <si>
    <t>EXP0211101</t>
  </si>
  <si>
    <t>002853</t>
  </si>
  <si>
    <t>0000146176</t>
  </si>
  <si>
    <t>EXP0211256</t>
  </si>
  <si>
    <t>0000144072</t>
  </si>
  <si>
    <t>0000144130</t>
  </si>
  <si>
    <t>0000144555</t>
  </si>
  <si>
    <t>0000145846</t>
  </si>
  <si>
    <t>0000146706</t>
  </si>
  <si>
    <t>EXP0211324</t>
  </si>
  <si>
    <t>0000147753</t>
  </si>
  <si>
    <t>EXP0211394</t>
  </si>
  <si>
    <t>0000144123</t>
  </si>
  <si>
    <t>PRODUCT_RE</t>
  </si>
  <si>
    <t>Re-class Product and Department Code for Voucher #000071370</t>
  </si>
  <si>
    <t>EXP0212362</t>
  </si>
  <si>
    <t>0000144145</t>
  </si>
  <si>
    <t>0000147882</t>
  </si>
  <si>
    <t>EXP0212665</t>
  </si>
  <si>
    <t>0000148440</t>
  </si>
  <si>
    <t>EXP0213254</t>
  </si>
  <si>
    <t>002867</t>
  </si>
  <si>
    <t>0000149600</t>
  </si>
  <si>
    <t>002866</t>
  </si>
  <si>
    <t>0000150027</t>
  </si>
  <si>
    <t>EXCL213597</t>
  </si>
  <si>
    <t>Expense Closure Journal</t>
  </si>
  <si>
    <t>EXP0214057</t>
  </si>
  <si>
    <t>002859</t>
  </si>
  <si>
    <t>0000150464</t>
  </si>
  <si>
    <t>EXCL214619</t>
  </si>
  <si>
    <t>EXP0216863</t>
  </si>
  <si>
    <t>0000151837</t>
  </si>
  <si>
    <t>Total of COVID Expenses in 2020</t>
  </si>
  <si>
    <t>COVID-Related</t>
  </si>
  <si>
    <t>As</t>
  </si>
  <si>
    <t>Adjusted</t>
  </si>
  <si>
    <t>Remove COVID</t>
  </si>
  <si>
    <t>Unregulated and removed in Jobbing Expense Adjustment</t>
  </si>
  <si>
    <t>Adjustment RA4 Support - COVID-Related Expense Detail</t>
  </si>
  <si>
    <t>Supplier</t>
  </si>
  <si>
    <t>Elmhust Mutual</t>
  </si>
  <si>
    <t>Mason County PUD #3</t>
  </si>
  <si>
    <t>Ohop Mutual</t>
  </si>
  <si>
    <t>Orcas Power</t>
  </si>
  <si>
    <t>Penninsula Light</t>
  </si>
  <si>
    <t>Puget Sound Energy</t>
  </si>
  <si>
    <t>Tacoma Public Utilities</t>
  </si>
  <si>
    <t>Lewis County PUD #1</t>
  </si>
  <si>
    <t>Jefferson County PUD #1</t>
  </si>
  <si>
    <t>Power Cost</t>
  </si>
  <si>
    <t>Increases</t>
  </si>
  <si>
    <t>3% Increase to rates 1/1/21</t>
  </si>
  <si>
    <t>Clallam Public Utility District #1</t>
  </si>
  <si>
    <t>3.69% Proposed Increase in front of UTC</t>
  </si>
  <si>
    <t>1.5% Increase as of 4/1/21</t>
  </si>
  <si>
    <t>2.75% Proposed increase</t>
  </si>
  <si>
    <t>3.5% Increase as of 4/1/21</t>
  </si>
  <si>
    <t>Annualized</t>
  </si>
  <si>
    <t>Months Billed</t>
  </si>
  <si>
    <t>EP As</t>
  </si>
  <si>
    <t>Landscaping Fees</t>
  </si>
  <si>
    <t>Golden Standard</t>
  </si>
  <si>
    <t>Spectra Lab Fee</t>
  </si>
  <si>
    <t>Dragon Lab Fee</t>
  </si>
  <si>
    <t>Water Mgmt. Labs</t>
  </si>
  <si>
    <t>Contract Lab Fees - Spectra</t>
  </si>
  <si>
    <t>Contract Lab Fees - Dragon</t>
  </si>
  <si>
    <t>Contract Lab Fees - Water Management</t>
  </si>
  <si>
    <t>Water Management will no longer be used for EP testing.</t>
  </si>
  <si>
    <t>Expense decreased due to shifting of some testing to Dragon.</t>
  </si>
  <si>
    <t>Dragon will now be doing all East Pierce testing.</t>
  </si>
  <si>
    <t>Adjustment RA5 Support - Reallocate Dpt. 500 Shared Expenses</t>
  </si>
  <si>
    <t>Transfer from</t>
  </si>
  <si>
    <t>WWSCo</t>
  </si>
  <si>
    <t>Transfer to</t>
  </si>
  <si>
    <t>RA5</t>
  </si>
  <si>
    <t>Transfer Lab</t>
  </si>
  <si>
    <t>Contra revenue account that reduces regulated expense. (set at $1,700 monthly per KC Adjustments Review 4.14)</t>
  </si>
  <si>
    <t>Customer Acct Allocation</t>
  </si>
  <si>
    <t>Benefits</t>
  </si>
  <si>
    <t xml:space="preserve">EP </t>
  </si>
  <si>
    <t>AP00208601</t>
  </si>
  <si>
    <t>C20-01484/C20-01517</t>
  </si>
  <si>
    <t>00070179</t>
  </si>
  <si>
    <t>AP00206394</t>
  </si>
  <si>
    <t>credit for inv #C20-01168</t>
  </si>
  <si>
    <t>00069319</t>
  </si>
  <si>
    <t>AP00206897</t>
  </si>
  <si>
    <t>orig inv C20-01041 &amp; C20-01330</t>
  </si>
  <si>
    <t>00069430</t>
  </si>
  <si>
    <t>Spectra Laboratories-Kitsap, L</t>
  </si>
  <si>
    <t>ACAP060720</t>
  </si>
  <si>
    <t>SUBSEQUENT VOUCHER ACCRUAL - MAY.2020</t>
  </si>
  <si>
    <t>ACAP070820</t>
  </si>
  <si>
    <t>SUBSEQUENT VOUCHER ACCRUAL - JUN.2020</t>
  </si>
  <si>
    <t>ACAP083120</t>
  </si>
  <si>
    <t>SUBSEQUENT VOUCHER ACCRUAL - AUG.2020</t>
  </si>
  <si>
    <t>APA053120</t>
  </si>
  <si>
    <t>UNPOSTED VOUCHER ACCRUAL - MAY.2020</t>
  </si>
  <si>
    <t>WATER SAMPLES OWNED SYSTEMS</t>
  </si>
  <si>
    <t>AP00205743</t>
  </si>
  <si>
    <t>00068922</t>
  </si>
  <si>
    <t>00068982</t>
  </si>
  <si>
    <t>00069132</t>
  </si>
  <si>
    <t>00069232</t>
  </si>
  <si>
    <t>AP00206138</t>
  </si>
  <si>
    <t>00069317</t>
  </si>
  <si>
    <t>AP00206599</t>
  </si>
  <si>
    <t>00069350</t>
  </si>
  <si>
    <t>AP00206926</t>
  </si>
  <si>
    <t>00069574</t>
  </si>
  <si>
    <t>AP00207651</t>
  </si>
  <si>
    <t>00069699</t>
  </si>
  <si>
    <t>AP00207725</t>
  </si>
  <si>
    <t>00069783</t>
  </si>
  <si>
    <t>AP00208070</t>
  </si>
  <si>
    <t>00069910</t>
  </si>
  <si>
    <t>AP00208404</t>
  </si>
  <si>
    <t>00070077</t>
  </si>
  <si>
    <t>00070187</t>
  </si>
  <si>
    <t>AP00208693</t>
  </si>
  <si>
    <t>00070296</t>
  </si>
  <si>
    <t>AP00209831</t>
  </si>
  <si>
    <t>00070583</t>
  </si>
  <si>
    <t>00070664</t>
  </si>
  <si>
    <t>AP00210236</t>
  </si>
  <si>
    <t>00070884</t>
  </si>
  <si>
    <t>AP00210701</t>
  </si>
  <si>
    <t>00070972</t>
  </si>
  <si>
    <t>AP00211313</t>
  </si>
  <si>
    <t>00071105</t>
  </si>
  <si>
    <t>AP00211734</t>
  </si>
  <si>
    <t>00071361</t>
  </si>
  <si>
    <t>AP00211803</t>
  </si>
  <si>
    <t>00071193</t>
  </si>
  <si>
    <t>AP00211958</t>
  </si>
  <si>
    <t>00071493</t>
  </si>
  <si>
    <t>Adjustment RA5 Support - Lab Fees to Reallocate</t>
  </si>
  <si>
    <t>TOTAL</t>
  </si>
  <si>
    <t xml:space="preserve">     Accumulated Amortization - UP</t>
  </si>
  <si>
    <t>Fire Protection/Irrigation</t>
  </si>
  <si>
    <t>Other Income</t>
  </si>
  <si>
    <t>Unmetered Sales</t>
  </si>
  <si>
    <t>Adjustment PF3 Support - Annualize East Pierce Revenues</t>
  </si>
  <si>
    <t>Ready to Serve</t>
  </si>
  <si>
    <t xml:space="preserve">EP Per </t>
  </si>
  <si>
    <t>Books</t>
  </si>
  <si>
    <t>Annualize</t>
  </si>
  <si>
    <t>Adjustment PF9 Support - Power Cost Increases</t>
  </si>
  <si>
    <t>Adjustment PF10 Support - Inflationary Increase</t>
  </si>
  <si>
    <t>Adjustment PF11 Support - Property Tax Adjustment</t>
  </si>
  <si>
    <t>Adjustment PF12 Support - Rate Case Expenses</t>
  </si>
  <si>
    <t>Pubco In/Out</t>
  </si>
  <si>
    <t>G&amp;A Alloc In/Out</t>
  </si>
  <si>
    <t>Acct No.</t>
  </si>
  <si>
    <t>WWSC</t>
  </si>
  <si>
    <t>Include in RB?</t>
  </si>
  <si>
    <t>Deferred Inc. Taxes</t>
  </si>
  <si>
    <t>Yes</t>
  </si>
  <si>
    <t>Subtotal - Deferred Income Taxes</t>
  </si>
  <si>
    <t>No</t>
  </si>
  <si>
    <t>Fed   Tax Regul Liab  (updated by Jennifer)</t>
  </si>
  <si>
    <t>Subtotal - Regulatory Liabilities</t>
  </si>
  <si>
    <t>Total Reduction to Rate Base</t>
  </si>
  <si>
    <t>Net Plant</t>
  </si>
  <si>
    <t>Depreciation Expense</t>
  </si>
  <si>
    <t>Deferred Taxes</t>
  </si>
  <si>
    <t>Calculation of Deferred Tax Balances to Include in Rate Base</t>
  </si>
  <si>
    <t>Transfer Costs</t>
  </si>
  <si>
    <t>to EP</t>
  </si>
  <si>
    <t>Adjustment for missing Accrual in August.</t>
  </si>
  <si>
    <t>Amount does not reoccur.</t>
  </si>
  <si>
    <t>$250 per month is ongoing cost of business internet.</t>
  </si>
  <si>
    <t>Temporary labor will be ongoing at level incurred in July-December.</t>
  </si>
  <si>
    <t>Amount will be between $15 to $18k as Payment Tech fees fluctuate. Restated to $16,500 per month.</t>
  </si>
  <si>
    <t>Adjusted to remove July value.</t>
  </si>
  <si>
    <t>Amount going forward will be $619.60 as Uninsured Reserve is near target amount.</t>
  </si>
  <si>
    <t>EP portion of 2021 budgeted amount of $15,411 x 49.3% x 7 of 12 month.</t>
  </si>
  <si>
    <t>Based on $55k average from Jan-Feb 2021</t>
  </si>
  <si>
    <t>Ongoing Expense will be at least $2,103.36 monthly for Operation Permit Fee from Washington DOH.</t>
  </si>
  <si>
    <t>This account is no longer used after Dec. 2020.</t>
  </si>
  <si>
    <t>Cost relates to propane for generators used during power outages. Estimated annual minimum cost expected to be $6,750.</t>
  </si>
  <si>
    <t>$7,000 is monthly expense for postage machine and will be incurred going forward.</t>
  </si>
  <si>
    <t>Increase in October due to Castile Software which is an ongoing expense.</t>
  </si>
  <si>
    <t xml:space="preserve">Note </t>
  </si>
  <si>
    <t xml:space="preserve"> TOTAL</t>
  </si>
  <si>
    <t>not in RR</t>
  </si>
  <si>
    <t>Adjusted out</t>
  </si>
  <si>
    <t>Amort. Ltd Term Invest</t>
  </si>
  <si>
    <t>T&amp;D Mains</t>
  </si>
  <si>
    <t>Charitable Contributions</t>
  </si>
  <si>
    <t>Other Interest Expense</t>
  </si>
  <si>
    <t>Excise Taxes</t>
  </si>
  <si>
    <t>PSC Tax</t>
  </si>
  <si>
    <t>WWSC Adjustment</t>
  </si>
  <si>
    <t>COS Category</t>
  </si>
  <si>
    <t>Acct Name</t>
  </si>
  <si>
    <t>EP Annualization</t>
  </si>
  <si>
    <t>Contract price increase from provider.</t>
  </si>
  <si>
    <t xml:space="preserve">( h) </t>
  </si>
  <si>
    <t>Note: As EP was acquired during the test year, the first 5 months of expense at WWSC must be adjusted for costs that are shared between WWSC and EP. The annualization of these expenses at EP is captured in adjustment RA3.</t>
  </si>
  <si>
    <t>Adjustment PF4 Support - Shared Cost Adjustment</t>
  </si>
  <si>
    <t>A blanket order was used for these lab expenses, which led to them being treated as shared expenses allocated between the East Pierce and legacy Washington Water systems from the period 6/1/20-12/31/20. These costs were incurred for legacy WWSCo testing, therefore this adjustment transfers the 49.3% of the total expense that was booked at EP to legacy WWSCo.</t>
  </si>
  <si>
    <t>3.2% Filled Pos.</t>
  </si>
  <si>
    <t>Adjustment to Income Taxes</t>
  </si>
  <si>
    <t>Resverse South Georgia Method for EP Only</t>
  </si>
  <si>
    <t>Assignment</t>
  </si>
  <si>
    <t>GDS and Cal Water Cost</t>
  </si>
  <si>
    <t>WWSCo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</si>
</sst>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10"/>
      <color theme="0"/>
      <name val="Arial Unicode MS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20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5" fillId="0" borderId="0" xfId="0" applyFont="1"/>
    <xf numFmtId="0" fontId="4" fillId="0" borderId="0" xfId="2"/>
    <xf numFmtId="0" fontId="4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41" fontId="4" fillId="0" borderId="0" xfId="2" applyNumberFormat="1"/>
    <xf numFmtId="0" fontId="6" fillId="0" borderId="0" xfId="2" applyFont="1"/>
    <xf numFmtId="41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41" fontId="0" fillId="0" borderId="0" xfId="0" applyNumberFormat="1" applyFill="1"/>
    <xf numFmtId="0" fontId="0" fillId="0" borderId="0" xfId="0" applyFill="1"/>
    <xf numFmtId="0" fontId="6" fillId="0" borderId="0" xfId="0" applyFont="1"/>
    <xf numFmtId="42" fontId="4" fillId="0" borderId="0" xfId="2" applyNumberFormat="1"/>
    <xf numFmtId="37" fontId="4" fillId="0" borderId="0" xfId="2" applyNumberFormat="1"/>
    <xf numFmtId="9" fontId="0" fillId="0" borderId="0" xfId="3" applyFont="1" applyAlignment="1">
      <alignment horizontal="center"/>
    </xf>
    <xf numFmtId="42" fontId="0" fillId="0" borderId="0" xfId="0" applyNumberFormat="1"/>
    <xf numFmtId="0" fontId="7" fillId="0" borderId="0" xfId="4" applyFont="1"/>
    <xf numFmtId="0" fontId="8" fillId="0" borderId="0" xfId="4" applyFont="1"/>
    <xf numFmtId="0" fontId="8" fillId="0" borderId="1" xfId="4" applyFont="1" applyBorder="1"/>
    <xf numFmtId="164" fontId="8" fillId="0" borderId="1" xfId="4" applyNumberFormat="1" applyFont="1" applyBorder="1" applyAlignment="1">
      <alignment horizontal="center"/>
    </xf>
    <xf numFmtId="9" fontId="7" fillId="0" borderId="0" xfId="5" applyFont="1" applyFill="1"/>
    <xf numFmtId="41" fontId="7" fillId="0" borderId="0" xfId="4" applyNumberFormat="1" applyFont="1"/>
    <xf numFmtId="41" fontId="8" fillId="2" borderId="0" xfId="4" applyNumberFormat="1" applyFont="1" applyFill="1"/>
    <xf numFmtId="0" fontId="2" fillId="0" borderId="0" xfId="0" applyFont="1" applyBorder="1" applyAlignment="1">
      <alignment horizontal="left"/>
    </xf>
    <xf numFmtId="41" fontId="0" fillId="0" borderId="0" xfId="0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9" fillId="0" borderId="0" xfId="2" applyFont="1" applyAlignment="1">
      <alignment horizontal="center" vertical="top"/>
    </xf>
    <xf numFmtId="0" fontId="9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wrapText="1"/>
    </xf>
    <xf numFmtId="43" fontId="4" fillId="0" borderId="0" xfId="2" applyNumberFormat="1"/>
    <xf numFmtId="0" fontId="6" fillId="0" borderId="1" xfId="2" applyFont="1" applyBorder="1" applyAlignment="1">
      <alignment horizontal="left"/>
    </xf>
    <xf numFmtId="0" fontId="4" fillId="0" borderId="2" xfId="2" applyBorder="1"/>
    <xf numFmtId="1" fontId="4" fillId="0" borderId="0" xfId="2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0" xfId="0" applyNumberFormat="1"/>
    <xf numFmtId="44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/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2" xfId="0" applyBorder="1"/>
    <xf numFmtId="165" fontId="4" fillId="0" borderId="0" xfId="1" applyNumberFormat="1" applyFont="1"/>
    <xf numFmtId="0" fontId="4" fillId="0" borderId="1" xfId="2" applyBorder="1" applyAlignment="1">
      <alignment horizontal="center"/>
    </xf>
    <xf numFmtId="42" fontId="4" fillId="0" borderId="1" xfId="2" applyNumberFormat="1" applyBorder="1" applyAlignment="1">
      <alignment horizontal="center"/>
    </xf>
    <xf numFmtId="0" fontId="4" fillId="0" borderId="1" xfId="2" applyBorder="1" applyAlignment="1">
      <alignment horizontal="center" wrapText="1"/>
    </xf>
    <xf numFmtId="0" fontId="4" fillId="0" borderId="0" xfId="2" applyBorder="1"/>
    <xf numFmtId="10" fontId="4" fillId="0" borderId="0" xfId="2" applyNumberForma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9" fontId="7" fillId="0" borderId="0" xfId="5" applyFont="1" applyFill="1" applyAlignment="1">
      <alignment horizontal="center"/>
    </xf>
    <xf numFmtId="0" fontId="7" fillId="0" borderId="0" xfId="4" applyFont="1" applyAlignment="1">
      <alignment horizontal="center"/>
    </xf>
    <xf numFmtId="164" fontId="7" fillId="0" borderId="1" xfId="4" applyNumberFormat="1" applyFont="1" applyBorder="1" applyAlignment="1">
      <alignment horizontal="center"/>
    </xf>
    <xf numFmtId="44" fontId="7" fillId="0" borderId="0" xfId="4" applyNumberFormat="1" applyFont="1"/>
    <xf numFmtId="44" fontId="8" fillId="0" borderId="1" xfId="4" applyNumberFormat="1" applyFont="1" applyBorder="1"/>
    <xf numFmtId="44" fontId="7" fillId="0" borderId="0" xfId="4" applyNumberFormat="1" applyFont="1" applyAlignment="1">
      <alignment horizontal="center"/>
    </xf>
    <xf numFmtId="9" fontId="7" fillId="0" borderId="0" xfId="5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1" fontId="0" fillId="0" borderId="0" xfId="0" applyNumberFormat="1" applyFont="1" applyFill="1" applyBorder="1" applyAlignment="1">
      <alignment horizontal="center"/>
    </xf>
    <xf numFmtId="44" fontId="2" fillId="0" borderId="0" xfId="0" applyNumberFormat="1" applyFont="1"/>
    <xf numFmtId="44" fontId="0" fillId="0" borderId="0" xfId="0" applyNumberFormat="1" applyFont="1" applyBorder="1" applyAlignment="1">
      <alignment horizontal="center"/>
    </xf>
    <xf numFmtId="44" fontId="2" fillId="0" borderId="0" xfId="0" applyNumberFormat="1" applyFont="1" applyFill="1" applyBorder="1" applyAlignment="1">
      <alignment horizontal="left"/>
    </xf>
    <xf numFmtId="44" fontId="0" fillId="0" borderId="0" xfId="0" applyNumberFormat="1" applyFill="1"/>
    <xf numFmtId="44" fontId="5" fillId="0" borderId="0" xfId="0" applyNumberFormat="1" applyFont="1" applyFill="1"/>
    <xf numFmtId="44" fontId="0" fillId="0" borderId="0" xfId="0" applyNumberFormat="1" applyFont="1" applyFill="1"/>
    <xf numFmtId="44" fontId="0" fillId="0" borderId="0" xfId="0" applyNumberFormat="1" applyFont="1" applyFill="1" applyBorder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6" fillId="3" borderId="3" xfId="20" applyFont="1" applyFill="1" applyBorder="1"/>
    <xf numFmtId="43" fontId="16" fillId="3" borderId="3" xfId="21" applyFont="1" applyFill="1" applyBorder="1"/>
    <xf numFmtId="0" fontId="15" fillId="0" borderId="0" xfId="20"/>
    <xf numFmtId="14" fontId="15" fillId="0" borderId="0" xfId="20" applyNumberFormat="1"/>
    <xf numFmtId="43" fontId="0" fillId="0" borderId="0" xfId="21" applyFont="1"/>
    <xf numFmtId="1" fontId="15" fillId="0" borderId="0" xfId="20" applyNumberFormat="1"/>
    <xf numFmtId="2" fontId="15" fillId="0" borderId="0" xfId="20" applyNumberFormat="1"/>
    <xf numFmtId="0" fontId="17" fillId="0" borderId="0" xfId="20" applyFont="1" applyAlignment="1">
      <alignment horizontal="right"/>
    </xf>
    <xf numFmtId="43" fontId="17" fillId="0" borderId="0" xfId="21" applyFont="1"/>
    <xf numFmtId="0" fontId="8" fillId="0" borderId="0" xfId="4" applyFont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7" fillId="0" borderId="0" xfId="4" applyFont="1" applyFill="1"/>
    <xf numFmtId="41" fontId="7" fillId="0" borderId="0" xfId="4" applyNumberFormat="1" applyFont="1" applyFill="1"/>
    <xf numFmtId="0" fontId="8" fillId="0" borderId="0" xfId="4" applyFont="1" applyFill="1"/>
    <xf numFmtId="41" fontId="8" fillId="0" borderId="0" xfId="4" applyNumberFormat="1" applyFont="1" applyFill="1"/>
    <xf numFmtId="41" fontId="7" fillId="0" borderId="2" xfId="4" applyNumberFormat="1" applyFont="1" applyFill="1" applyBorder="1"/>
    <xf numFmtId="0" fontId="2" fillId="0" borderId="1" xfId="0" applyFont="1" applyBorder="1" applyAlignment="1">
      <alignment horizontal="center"/>
    </xf>
    <xf numFmtId="0" fontId="7" fillId="0" borderId="0" xfId="4" applyFont="1" applyAlignment="1">
      <alignment horizontal="left"/>
    </xf>
    <xf numFmtId="0" fontId="7" fillId="0" borderId="0" xfId="4" applyFont="1" applyBorder="1"/>
    <xf numFmtId="41" fontId="7" fillId="0" borderId="0" xfId="4" applyNumberFormat="1" applyFont="1" applyBorder="1"/>
    <xf numFmtId="0" fontId="7" fillId="0" borderId="0" xfId="4" applyFont="1" applyFill="1" applyBorder="1"/>
    <xf numFmtId="41" fontId="7" fillId="0" borderId="0" xfId="4" applyNumberFormat="1" applyFont="1" applyFill="1" applyBorder="1"/>
    <xf numFmtId="0" fontId="8" fillId="0" borderId="0" xfId="4" applyFont="1" applyFill="1" applyBorder="1"/>
    <xf numFmtId="41" fontId="8" fillId="0" borderId="0" xfId="4" applyNumberFormat="1" applyFont="1" applyFill="1" applyBorder="1"/>
    <xf numFmtId="0" fontId="8" fillId="0" borderId="0" xfId="4" applyFont="1" applyBorder="1"/>
    <xf numFmtId="0" fontId="7" fillId="0" borderId="1" xfId="4" applyFont="1" applyBorder="1"/>
    <xf numFmtId="0" fontId="2" fillId="0" borderId="1" xfId="0" applyFont="1" applyBorder="1" applyAlignment="1">
      <alignment horizontal="center"/>
    </xf>
    <xf numFmtId="41" fontId="0" fillId="0" borderId="2" xfId="0" applyNumberFormat="1" applyBorder="1"/>
    <xf numFmtId="0" fontId="16" fillId="3" borderId="3" xfId="0" applyFont="1" applyFill="1" applyBorder="1"/>
    <xf numFmtId="0" fontId="17" fillId="0" borderId="0" xfId="20" applyFont="1"/>
    <xf numFmtId="14" fontId="17" fillId="0" borderId="0" xfId="20" applyNumberFormat="1" applyFont="1"/>
    <xf numFmtId="43" fontId="2" fillId="0" borderId="0" xfId="21" applyFont="1"/>
    <xf numFmtId="14" fontId="0" fillId="0" borderId="0" xfId="0" applyNumberFormat="1" applyFill="1"/>
    <xf numFmtId="43" fontId="0" fillId="0" borderId="0" xfId="21" applyFont="1" applyFill="1"/>
    <xf numFmtId="1" fontId="0" fillId="0" borderId="0" xfId="0" applyNumberFormat="1" applyFill="1"/>
    <xf numFmtId="2" fontId="0" fillId="0" borderId="0" xfId="0" applyNumberFormat="1" applyFill="1"/>
    <xf numFmtId="0" fontId="7" fillId="0" borderId="0" xfId="4" applyFont="1" applyAlignment="1">
      <alignment vertical="top"/>
    </xf>
    <xf numFmtId="41" fontId="0" fillId="0" borderId="2" xfId="0" applyNumberFormat="1" applyFill="1" applyBorder="1"/>
    <xf numFmtId="9" fontId="0" fillId="0" borderId="2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0" xfId="0" applyNumberFormat="1" applyFont="1" applyAlignment="1">
      <alignment horizontal="left" indent="1"/>
    </xf>
    <xf numFmtId="41" fontId="2" fillId="0" borderId="2" xfId="0" applyNumberFormat="1" applyFont="1" applyBorder="1"/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41" fontId="0" fillId="0" borderId="0" xfId="0" applyNumberFormat="1" applyFill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37" fontId="0" fillId="0" borderId="0" xfId="0" applyNumberFormat="1" applyFill="1"/>
    <xf numFmtId="0" fontId="2" fillId="0" borderId="1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ont="1" applyFill="1" applyBorder="1" applyAlignment="1">
      <alignment horizontal="center"/>
    </xf>
    <xf numFmtId="42" fontId="0" fillId="0" borderId="0" xfId="0" applyNumberFormat="1" applyFill="1"/>
    <xf numFmtId="0" fontId="7" fillId="0" borderId="1" xfId="4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left"/>
    </xf>
    <xf numFmtId="0" fontId="20" fillId="0" borderId="0" xfId="28"/>
    <xf numFmtId="44" fontId="20" fillId="0" borderId="0" xfId="28" applyNumberFormat="1"/>
    <xf numFmtId="41" fontId="20" fillId="0" borderId="0" xfId="28" applyNumberFormat="1"/>
    <xf numFmtId="43" fontId="20" fillId="0" borderId="0" xfId="28" applyNumberFormat="1"/>
    <xf numFmtId="42" fontId="6" fillId="0" borderId="0" xfId="28" applyNumberFormat="1" applyFont="1"/>
    <xf numFmtId="44" fontId="6" fillId="0" borderId="0" xfId="28" applyNumberFormat="1" applyFont="1"/>
    <xf numFmtId="41" fontId="20" fillId="0" borderId="1" xfId="28" applyNumberFormat="1" applyBorder="1"/>
    <xf numFmtId="0" fontId="20" fillId="4" borderId="0" xfId="28" applyFill="1"/>
    <xf numFmtId="42" fontId="20" fillId="0" borderId="0" xfId="28" applyNumberFormat="1"/>
    <xf numFmtId="0" fontId="6" fillId="0" borderId="1" xfId="28" applyFont="1" applyBorder="1"/>
    <xf numFmtId="0" fontId="4" fillId="0" borderId="0" xfId="28" applyFont="1"/>
    <xf numFmtId="41" fontId="2" fillId="0" borderId="0" xfId="0" applyNumberFormat="1" applyFont="1" applyFill="1"/>
    <xf numFmtId="0" fontId="0" fillId="0" borderId="1" xfId="0" applyFill="1" applyBorder="1" applyAlignment="1">
      <alignment horizontal="center"/>
    </xf>
    <xf numFmtId="10" fontId="0" fillId="0" borderId="0" xfId="1" applyNumberFormat="1" applyFont="1" applyFill="1"/>
    <xf numFmtId="0" fontId="0" fillId="0" borderId="2" xfId="0" applyFill="1" applyBorder="1"/>
    <xf numFmtId="42" fontId="4" fillId="0" borderId="0" xfId="2" applyNumberFormat="1" applyFill="1"/>
    <xf numFmtId="41" fontId="4" fillId="0" borderId="0" xfId="2" applyNumberFormat="1" applyFill="1"/>
    <xf numFmtId="41" fontId="4" fillId="0" borderId="2" xfId="2" applyNumberFormat="1" applyFill="1" applyBorder="1"/>
    <xf numFmtId="42" fontId="6" fillId="0" borderId="0" xfId="2" applyNumberFormat="1" applyFont="1" applyFill="1"/>
    <xf numFmtId="0" fontId="6" fillId="0" borderId="1" xfId="28" applyFont="1" applyBorder="1" applyAlignment="1">
      <alignment horizontal="center" wrapText="1"/>
    </xf>
    <xf numFmtId="0" fontId="20" fillId="0" borderId="0" xfId="28" applyAlignment="1">
      <alignment horizontal="center"/>
    </xf>
    <xf numFmtId="0" fontId="4" fillId="0" borderId="0" xfId="28" applyFont="1" applyAlignment="1">
      <alignment horizontal="center"/>
    </xf>
    <xf numFmtId="0" fontId="4" fillId="0" borderId="0" xfId="28" applyFont="1" applyFill="1" applyAlignment="1">
      <alignment horizontal="center"/>
    </xf>
    <xf numFmtId="44" fontId="6" fillId="0" borderId="1" xfId="28" applyNumberFormat="1" applyFont="1" applyBorder="1" applyAlignment="1">
      <alignment horizontal="center" wrapText="1"/>
    </xf>
    <xf numFmtId="44" fontId="0" fillId="0" borderId="0" xfId="0" applyNumberFormat="1" applyFill="1" applyAlignment="1">
      <alignment horizontal="left"/>
    </xf>
    <xf numFmtId="0" fontId="0" fillId="0" borderId="0" xfId="0" applyAlignment="1">
      <alignment horizontal="center"/>
    </xf>
    <xf numFmtId="44" fontId="0" fillId="0" borderId="0" xfId="0" applyNumberFormat="1"/>
    <xf numFmtId="41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4" applyFont="1" applyBorder="1" applyAlignment="1">
      <alignment horizontal="center"/>
    </xf>
    <xf numFmtId="164" fontId="8" fillId="0" borderId="0" xfId="4" applyNumberFormat="1" applyFont="1" applyBorder="1" applyAlignment="1">
      <alignment horizontal="center" wrapText="1"/>
    </xf>
    <xf numFmtId="164" fontId="8" fillId="0" borderId="1" xfId="4" applyNumberFormat="1" applyFont="1" applyBorder="1" applyAlignment="1">
      <alignment horizontal="center" wrapText="1"/>
    </xf>
    <xf numFmtId="0" fontId="7" fillId="0" borderId="0" xfId="4" applyFont="1" applyAlignment="1">
      <alignment horizontal="justify" vertical="top" wrapText="1"/>
    </xf>
    <xf numFmtId="0" fontId="6" fillId="0" borderId="0" xfId="28" applyFont="1" applyBorder="1" applyAlignment="1">
      <alignment horizontal="center" wrapText="1"/>
    </xf>
    <xf numFmtId="0" fontId="6" fillId="0" borderId="1" xfId="28" applyFont="1" applyBorder="1" applyAlignment="1">
      <alignment horizontal="center" wrapText="1"/>
    </xf>
  </cellXfs>
  <cellStyles count="29">
    <cellStyle name="Comma 2" xfId="11" xr:uid="{DAB8D6CE-9CA5-4158-9074-459FA6CF5C58}"/>
    <cellStyle name="Comma 2 2" xfId="13" xr:uid="{2208FB38-0987-4EB7-B16C-5D1CA97E3235}"/>
    <cellStyle name="Comma 3" xfId="12" xr:uid="{B6B0AABB-ACC5-4E32-95F6-ED5E4A49A24C}"/>
    <cellStyle name="Comma 4" xfId="8" xr:uid="{C1AFB23D-D723-4B53-AF22-B2433EC9426C}"/>
    <cellStyle name="Comma 5" xfId="21" xr:uid="{3C8A1179-5E50-4433-9621-01871B55FC0D}"/>
    <cellStyle name="Comma 6" xfId="23" xr:uid="{9852E8E7-B85B-4D71-B6DD-291447FE18B6}"/>
    <cellStyle name="Currency 2" xfId="16" xr:uid="{A60E1AAF-D5CF-4C7A-AE9D-9E40732D1E5A}"/>
    <cellStyle name="Currency 2 2" xfId="14" xr:uid="{8258131D-4BC8-43F4-ACF7-647222066B87}"/>
    <cellStyle name="Currency 3" xfId="15" xr:uid="{A096DDA3-E20F-452A-90C4-CA769F9F9274}"/>
    <cellStyle name="Currency 4" xfId="24" xr:uid="{CBE8E6FF-D06F-4D8E-9F10-9E9F2147CC61}"/>
    <cellStyle name="Normal" xfId="0" builtinId="0"/>
    <cellStyle name="Normal 10" xfId="26" xr:uid="{8233AF4E-4E8C-43C1-8A10-064B26B2AEA4}"/>
    <cellStyle name="Normal 11" xfId="28" xr:uid="{D9571879-6C24-4A6E-A5E9-91A6579C500B}"/>
    <cellStyle name="Normal 2" xfId="2" xr:uid="{03895D67-B1BE-4B85-B84B-663D825F26D8}"/>
    <cellStyle name="Normal 2 2" xfId="10" xr:uid="{C78E5BBC-8D95-41A2-84C3-7035F422196D}"/>
    <cellStyle name="Normal 2 3" xfId="25" xr:uid="{A068BE21-70F0-4C01-AE2B-6C1C08A70E27}"/>
    <cellStyle name="Normal 3" xfId="6" xr:uid="{702ED2AF-CADE-4332-92DE-4B60F8DB5C69}"/>
    <cellStyle name="Normal 4" xfId="19" xr:uid="{F13D028F-EE53-4193-9C4C-A10A8C01D728}"/>
    <cellStyle name="Normal 5" xfId="4" xr:uid="{2745BFA6-01E1-4CC1-8025-D03EAF3D9C22}"/>
    <cellStyle name="Normal 6" xfId="9" xr:uid="{EC66E6F9-0E39-44C7-8BF2-EEFDE4409C18}"/>
    <cellStyle name="Normal 7" xfId="20" xr:uid="{9561E7BF-72E8-4510-B951-30F1C517B850}"/>
    <cellStyle name="Normal 8" xfId="22" xr:uid="{D331B457-E52C-467D-8671-676C26A01EE3}"/>
    <cellStyle name="Normal 9" xfId="18" xr:uid="{68DBB8CE-73BD-4EE6-B73D-FE0063AF073C}"/>
    <cellStyle name="Percent" xfId="1" builtinId="5"/>
    <cellStyle name="Percent 2" xfId="3" xr:uid="{2D0F4248-6D12-45F1-BE03-ED39C7F135E6}"/>
    <cellStyle name="Percent 2 2" xfId="17" xr:uid="{FFD735ED-B3B8-4942-B438-0ABE2DCD4495}"/>
    <cellStyle name="Percent 3" xfId="7" xr:uid="{F5CF6B8F-3B4D-4608-B259-1B22177E7894}"/>
    <cellStyle name="Percent 4" xfId="5" xr:uid="{387FB82F-8278-4433-B9AB-B64906BFA28D}"/>
    <cellStyle name="Percent 5" xfId="27" xr:uid="{5293DC46-AF46-4964-B4D7-7B5F89E43AA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19989</xdr:colOff>
      <xdr:row>10</xdr:row>
      <xdr:rowOff>23812</xdr:rowOff>
    </xdr:from>
    <xdr:to>
      <xdr:col>17</xdr:col>
      <xdr:colOff>452437</xdr:colOff>
      <xdr:row>47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AB2D64-6CEF-40C8-89B5-390A57AC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208" y="1464468"/>
          <a:ext cx="6504635" cy="6167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95250</xdr:rowOff>
    </xdr:from>
    <xdr:to>
      <xdr:col>6</xdr:col>
      <xdr:colOff>581025</xdr:colOff>
      <xdr:row>56</xdr:row>
      <xdr:rowOff>54769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90BF00-2ECF-4C34-9AC3-E080D2DD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1594"/>
          <a:ext cx="5915025" cy="784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k.weaver/Desktop/WWSC/GRC%20Model/GRC%20Work%20Book%20-%20Monthly%20-%20Jan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k.weaver/Desktop/WWSCo%20Monthly%20TBs%20No%20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k.weaver/Desktop/48510-001%20WWS%20GRC/WWSC/RFP%20-%20Review%20Version%202021.06.15/TB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k.weaver/Desktop/48510-001%20WWS%20GRC/WWSC/RFP%20-%20Review%20Version%202021.07.13/FINAL/WWSC%20GRC%20Work%20Book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wyer%201/AppData/Local/Temp/Temp1_2021%20Washington%20GRC.zip/EP%20GRC%20Work%20Book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Resources"/>
      <sheetName val="Bill Rev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D11" t="e">
            <v>#DIV/0!</v>
          </cell>
        </row>
        <row r="13">
          <cell r="D13" t="e">
            <v>#DIV/0!</v>
          </cell>
        </row>
        <row r="43">
          <cell r="D43">
            <v>5.0000000000000001E-3</v>
          </cell>
        </row>
        <row r="44">
          <cell r="D44">
            <v>5.0290000000000015E-2</v>
          </cell>
        </row>
        <row r="50">
          <cell r="D50">
            <v>0.21</v>
          </cell>
        </row>
      </sheetData>
      <sheetData sheetId="6">
        <row r="8">
          <cell r="C8" t="e">
            <v>#DIV/0!</v>
          </cell>
        </row>
        <row r="18">
          <cell r="AA18">
            <v>0</v>
          </cell>
        </row>
        <row r="19">
          <cell r="F19"/>
          <cell r="S19" t="e">
            <v>#DIV/0!</v>
          </cell>
          <cell r="AA19">
            <v>0</v>
          </cell>
        </row>
        <row r="20">
          <cell r="E20">
            <v>0</v>
          </cell>
          <cell r="G20">
            <v>0</v>
          </cell>
          <cell r="I20">
            <v>0</v>
          </cell>
          <cell r="K20">
            <v>1</v>
          </cell>
          <cell r="AA20">
            <v>0</v>
          </cell>
        </row>
        <row r="21">
          <cell r="E21">
            <v>0</v>
          </cell>
          <cell r="G21">
            <v>0</v>
          </cell>
          <cell r="I21">
            <v>0</v>
          </cell>
          <cell r="K21">
            <v>1</v>
          </cell>
        </row>
        <row r="22">
          <cell r="E22">
            <v>0</v>
          </cell>
          <cell r="G22">
            <v>0</v>
          </cell>
          <cell r="I22">
            <v>0</v>
          </cell>
          <cell r="K22">
            <v>1</v>
          </cell>
          <cell r="L22">
            <v>0</v>
          </cell>
        </row>
        <row r="24">
          <cell r="E24"/>
          <cell r="G24"/>
          <cell r="I24"/>
          <cell r="K24"/>
        </row>
        <row r="27">
          <cell r="E27">
            <v>0</v>
          </cell>
          <cell r="J27">
            <v>0.625</v>
          </cell>
        </row>
        <row r="33">
          <cell r="C33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WWSCo Cons"/>
      <sheetName val="EP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SCO TB"/>
      <sheetName val="EP TB"/>
      <sheetName val="WWSCO BS"/>
      <sheetName val="WP PFX"/>
      <sheetName val="Exp by Dept"/>
    </sheetNames>
    <sheetDataSet>
      <sheetData sheetId="0"/>
      <sheetData sheetId="1"/>
      <sheetData sheetId="2">
        <row r="8">
          <cell r="AA8" t="str">
            <v>2020-12-31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Inputs"/>
      <sheetName val="Output"/>
      <sheetName val="PFIS"/>
      <sheetName val="Capital Structure"/>
      <sheetName val="Int Sync, NTG, Rev Req"/>
      <sheetName val="5A and 5B"/>
      <sheetName val="Resources"/>
      <sheetName val="Rate Design"/>
      <sheetName val="Bill Revised"/>
    </sheetNames>
    <sheetDataSet>
      <sheetData sheetId="0" refreshError="1"/>
      <sheetData sheetId="1" refreshError="1"/>
      <sheetData sheetId="2" refreshError="1"/>
      <sheetData sheetId="3">
        <row r="36">
          <cell r="E36">
            <v>-5466.8852499999921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Inputs"/>
      <sheetName val="Output"/>
      <sheetName val="PFIS"/>
      <sheetName val="Capital Structure"/>
      <sheetName val="Int Sync, NTG, Rev Req"/>
      <sheetName val="5A and 5B"/>
      <sheetName val="Resources"/>
      <sheetName val="Rate Design"/>
      <sheetName val=".625 Median"/>
      <sheetName val="Bill Revised"/>
    </sheetNames>
    <sheetDataSet>
      <sheetData sheetId="0" refreshError="1"/>
      <sheetData sheetId="1" refreshError="1"/>
      <sheetData sheetId="2" refreshError="1"/>
      <sheetData sheetId="3">
        <row r="36">
          <cell r="E36">
            <v>7843.8977000000068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0">
          <cell r="C10">
            <v>6968410.224440678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92F2-9377-4C93-8818-3DE5F98583A3}">
  <sheetPr>
    <tabColor rgb="FF00B050"/>
  </sheetPr>
  <dimension ref="B1:D200"/>
  <sheetViews>
    <sheetView tabSelected="1" workbookViewId="0"/>
  </sheetViews>
  <sheetFormatPr defaultRowHeight="15" x14ac:dyDescent="0.25"/>
  <cols>
    <col min="1" max="1" width="1.42578125" customWidth="1"/>
    <col min="2" max="2" width="5.7109375" customWidth="1"/>
    <col min="3" max="3" width="31.42578125" style="52" customWidth="1"/>
    <col min="4" max="4" width="100" customWidth="1"/>
  </cols>
  <sheetData>
    <row r="1" spans="2:4" ht="7.5" customHeight="1" x14ac:dyDescent="0.25"/>
    <row r="2" spans="2:4" x14ac:dyDescent="0.25">
      <c r="B2" s="24" t="s">
        <v>451</v>
      </c>
      <c r="C2" s="53"/>
    </row>
    <row r="3" spans="2:4" x14ac:dyDescent="0.25">
      <c r="B3" s="1" t="s">
        <v>544</v>
      </c>
      <c r="C3" s="53"/>
    </row>
    <row r="4" spans="2:4" ht="7.5" customHeight="1" x14ac:dyDescent="0.25">
      <c r="B4" s="1"/>
      <c r="C4" s="53"/>
    </row>
    <row r="5" spans="2:4" s="6" customFormat="1" x14ac:dyDescent="0.25">
      <c r="C5" s="54"/>
    </row>
    <row r="6" spans="2:4" s="6" customFormat="1" x14ac:dyDescent="0.25">
      <c r="B6" s="16" t="s">
        <v>417</v>
      </c>
      <c r="C6" s="36"/>
    </row>
    <row r="7" spans="2:4" s="6" customFormat="1" x14ac:dyDescent="0.25">
      <c r="B7" s="17" t="s">
        <v>418</v>
      </c>
      <c r="C7" s="58" t="s">
        <v>545</v>
      </c>
      <c r="D7" s="59" t="s">
        <v>482</v>
      </c>
    </row>
    <row r="8" spans="2:4" x14ac:dyDescent="0.25">
      <c r="B8" s="2"/>
      <c r="C8" s="19" t="s">
        <v>419</v>
      </c>
      <c r="D8" s="19" t="s">
        <v>420</v>
      </c>
    </row>
    <row r="9" spans="2:4" ht="3.75" customHeight="1" x14ac:dyDescent="0.25">
      <c r="B9" s="2"/>
      <c r="C9" s="55"/>
      <c r="D9" s="19"/>
    </row>
    <row r="10" spans="2:4" x14ac:dyDescent="0.25">
      <c r="B10" s="2">
        <f>MAX($B$8:B9)+1</f>
        <v>1</v>
      </c>
      <c r="C10" s="56" t="str">
        <f ca="1">'WWSCo Inputs'!A1</f>
        <v>WWSCo Inputs</v>
      </c>
      <c r="D10" s="57" t="str">
        <f>'WWSCo Inputs'!B3</f>
        <v>Historical Washington Water Input Worksheet</v>
      </c>
    </row>
    <row r="11" spans="2:4" x14ac:dyDescent="0.25">
      <c r="B11" s="2">
        <f>MAX($B$8:B10)+1</f>
        <v>2</v>
      </c>
      <c r="C11" s="56" t="str">
        <f ca="1">'EP Inputs'!A1</f>
        <v>EP Inputs</v>
      </c>
      <c r="D11" s="57" t="str">
        <f>'EP Inputs'!B3</f>
        <v>East Pierce Input Worksheet</v>
      </c>
    </row>
    <row r="12" spans="2:4" x14ac:dyDescent="0.25">
      <c r="B12" s="2">
        <f>MAX($B$8:B11)+1</f>
        <v>3</v>
      </c>
      <c r="C12" s="56" t="s">
        <v>1076</v>
      </c>
      <c r="D12" s="57" t="s">
        <v>1077</v>
      </c>
    </row>
    <row r="13" spans="2:4" x14ac:dyDescent="0.25">
      <c r="B13" s="2">
        <f>MAX($B$8:B12)+1</f>
        <v>4</v>
      </c>
      <c r="C13" s="56" t="str">
        <f ca="1">'WWSCo IS Restatements'!$A$1</f>
        <v>WWSCo IS Restatements</v>
      </c>
      <c r="D13" s="57" t="str">
        <f>'WWSCo IS Restatements'!$B$3</f>
        <v>Historic Washington Water Restating Adjustments</v>
      </c>
    </row>
    <row r="14" spans="2:4" x14ac:dyDescent="0.25">
      <c r="B14" s="2">
        <f>MAX($B$8:B13)+1</f>
        <v>5</v>
      </c>
      <c r="C14" s="56" t="str">
        <f ca="1">'WWSCo IS Pro Forma'!$A$1</f>
        <v>WWSCo IS Pro Forma</v>
      </c>
      <c r="D14" s="57" t="str">
        <f>'WWSCo IS Pro Forma'!B3</f>
        <v>Historic Washington Water Pro Forma Adjustments</v>
      </c>
    </row>
    <row r="15" spans="2:4" x14ac:dyDescent="0.25">
      <c r="B15" s="2">
        <f>MAX($B$8:B14)+1</f>
        <v>6</v>
      </c>
      <c r="C15" s="56" t="str">
        <f ca="1">'EP IS Restatements'!$A$1</f>
        <v>EP IS Restatements</v>
      </c>
      <c r="D15" s="56" t="str">
        <f>'EP IS Restatements'!$B$3</f>
        <v>East Pierce Restating Adjustments</v>
      </c>
    </row>
    <row r="16" spans="2:4" x14ac:dyDescent="0.25">
      <c r="B16" s="2">
        <f>MAX($B$8:B15)+1</f>
        <v>7</v>
      </c>
      <c r="C16" s="56" t="str">
        <f ca="1">'EP IS Pro Forma'!$A$1</f>
        <v>EP IS Pro Forma</v>
      </c>
      <c r="D16" s="56" t="str">
        <f>'EP IS Pro Forma'!$B$3</f>
        <v>East Pierce Pro Forma Adjustments</v>
      </c>
    </row>
    <row r="17" spans="2:4" x14ac:dyDescent="0.25">
      <c r="B17" s="2">
        <f>MAX($B$8:B16)+1</f>
        <v>8</v>
      </c>
      <c r="C17" s="56" t="str">
        <f ca="1">'WP RA3'!$A$1</f>
        <v>WP RA3</v>
      </c>
      <c r="D17" s="56" t="str">
        <f>'WP RA3'!$B3</f>
        <v>Adjustment RA3 Support - East Pierce Normalization</v>
      </c>
    </row>
    <row r="18" spans="2:4" x14ac:dyDescent="0.25">
      <c r="B18" s="2">
        <f>MAX($B$8:B17)+1</f>
        <v>9</v>
      </c>
      <c r="C18" s="56" t="str">
        <f ca="1">'WP RA4'!A1</f>
        <v>WP RA4</v>
      </c>
      <c r="D18" s="56" t="str">
        <f>'WP RA4'!B3</f>
        <v>Adjustment RA4 Support - Remove COVID-Related expenses</v>
      </c>
    </row>
    <row r="19" spans="2:4" x14ac:dyDescent="0.25">
      <c r="B19" s="2">
        <f>MAX($B$8:B18)+1</f>
        <v>10</v>
      </c>
      <c r="C19" s="56" t="str">
        <f ca="1">'WP RA4.1'!A1</f>
        <v>WP RA4.1</v>
      </c>
      <c r="D19" s="56" t="str">
        <f>'WP RA4.1'!B3</f>
        <v>Adjustment RA4 Support - COVID-Related Expense Detail</v>
      </c>
    </row>
    <row r="20" spans="2:4" x14ac:dyDescent="0.25">
      <c r="B20" s="2">
        <f>MAX($B$8:B19)+1</f>
        <v>11</v>
      </c>
      <c r="C20" s="56" t="str">
        <f ca="1">'WP RA5'!A1</f>
        <v>WP RA5</v>
      </c>
      <c r="D20" s="56" t="str">
        <f>'WP RA5'!B3</f>
        <v>Adjustment RA5 Support - Reallocate Dpt. 500 Shared Expenses</v>
      </c>
    </row>
    <row r="21" spans="2:4" x14ac:dyDescent="0.25">
      <c r="B21" s="2">
        <f>MAX($B$8:B20)+1</f>
        <v>12</v>
      </c>
      <c r="C21" s="56" t="str">
        <f ca="1">'WP RA5.1'!A1</f>
        <v>WP RA5.1</v>
      </c>
      <c r="D21" s="56" t="str">
        <f>'WP RA5.1'!B3</f>
        <v>Adjustment RA5 Support - Lab Fees to Reallocate</v>
      </c>
    </row>
    <row r="22" spans="2:4" x14ac:dyDescent="0.25">
      <c r="B22" s="2">
        <f>MAX($B$8:B21)+1</f>
        <v>13</v>
      </c>
      <c r="C22" s="56" t="str">
        <f ca="1">'WP PF1'!A1</f>
        <v>WP PF1</v>
      </c>
      <c r="D22" s="56" t="str">
        <f>'WP PF1'!B3</f>
        <v>Adjustment PF1 Support - East Pierce Expense Annualization</v>
      </c>
    </row>
    <row r="23" spans="2:4" x14ac:dyDescent="0.25">
      <c r="B23" s="2">
        <f>MAX($B$8:B22)+1</f>
        <v>14</v>
      </c>
      <c r="C23" s="56" t="str">
        <f ca="1">'WP PF2'!$A$1</f>
        <v>WP PF2</v>
      </c>
      <c r="D23" s="56" t="str">
        <f>'WP PF2'!$B$3</f>
        <v>Adjustment PF2 Support - East Pierce Usage-Related Annualization</v>
      </c>
    </row>
    <row r="24" spans="2:4" x14ac:dyDescent="0.25">
      <c r="B24" s="2">
        <f>MAX($B$8:B23)+1</f>
        <v>15</v>
      </c>
      <c r="C24" s="56" t="str">
        <f ca="1">'WP PF3'!A1</f>
        <v>WP PF3</v>
      </c>
      <c r="D24" s="56" t="str">
        <f>'WP PF3'!B3</f>
        <v>Adjustment PF3 Support - Annualize East Pierce Revenues</v>
      </c>
    </row>
    <row r="25" spans="2:4" x14ac:dyDescent="0.25">
      <c r="B25" s="78">
        <f>MAX($B$8:B24)+1</f>
        <v>16</v>
      </c>
      <c r="C25" s="189" t="str">
        <f ca="1">'WP PF4'!A1</f>
        <v>WP PF4</v>
      </c>
      <c r="D25" s="189" t="str">
        <f>'WP PF4'!B3</f>
        <v>Adjustment PF4 Support - Shared Cost Adjustment</v>
      </c>
    </row>
    <row r="26" spans="2:4" x14ac:dyDescent="0.25">
      <c r="B26" s="2">
        <f>MAX($B$8:B25)+1</f>
        <v>17</v>
      </c>
      <c r="C26" s="56" t="str">
        <f ca="1">'WP PF6'!A1</f>
        <v>WP PF6</v>
      </c>
      <c r="D26" s="57" t="str">
        <f>'WP PF6'!B3</f>
        <v>Adjustment PF6 Support - Annualize Vacancies and New Positions Employee-Related Expenses</v>
      </c>
    </row>
    <row r="27" spans="2:4" x14ac:dyDescent="0.25">
      <c r="B27" s="2">
        <f>MAX($B$8:B26)+1</f>
        <v>18</v>
      </c>
      <c r="C27" s="56" t="str">
        <f ca="1">'WP PF7'!$A$1</f>
        <v>WP PF7</v>
      </c>
      <c r="D27" s="56" t="str">
        <f>'WP PF7'!$B$3</f>
        <v>Adjustment PF7 Support - Reallocation of PubCo Expense to Non-Regulated Entities</v>
      </c>
    </row>
    <row r="28" spans="2:4" x14ac:dyDescent="0.25">
      <c r="B28" s="2">
        <f>MAX($B$8:B27)+1</f>
        <v>19</v>
      </c>
      <c r="C28" s="56" t="str">
        <f ca="1">'WP PF8'!A1</f>
        <v>WP PF8</v>
      </c>
      <c r="D28" s="56" t="str">
        <f>'WP PF8'!B3</f>
        <v>Adjustment PF8 Support - Contractual Increases</v>
      </c>
    </row>
    <row r="29" spans="2:4" x14ac:dyDescent="0.25">
      <c r="B29" s="2">
        <f>MAX($B$8:B28)+1</f>
        <v>20</v>
      </c>
      <c r="C29" s="56" t="str">
        <f ca="1">'WP PF9'!A1</f>
        <v>WP PF9</v>
      </c>
      <c r="D29" s="56" t="str">
        <f>'WP PF9'!B3</f>
        <v>Adjustment PF9 Support - Power Cost Increases</v>
      </c>
    </row>
    <row r="30" spans="2:4" x14ac:dyDescent="0.25">
      <c r="B30" s="2">
        <f>MAX($B$8:B29)+1</f>
        <v>21</v>
      </c>
      <c r="C30" s="56" t="str">
        <f ca="1">'WP PF10'!A1</f>
        <v>WP PF10</v>
      </c>
      <c r="D30" s="57" t="str">
        <f>'WP PF10'!B3</f>
        <v>Adjustment PF10 Support - Inflationary Increase</v>
      </c>
    </row>
    <row r="31" spans="2:4" x14ac:dyDescent="0.25">
      <c r="B31" s="2">
        <f>MAX($B$8:B30)+1</f>
        <v>22</v>
      </c>
      <c r="C31" s="56" t="str">
        <f ca="1">'WP PF11'!A1</f>
        <v>WP PF11</v>
      </c>
      <c r="D31" s="57" t="str">
        <f>'WP PF11'!B3</f>
        <v>Adjustment PF11 Support - Property Tax Adjustment</v>
      </c>
    </row>
    <row r="32" spans="2:4" x14ac:dyDescent="0.25">
      <c r="B32" s="2">
        <f>MAX($B$8:B31)+1</f>
        <v>23</v>
      </c>
      <c r="C32" s="56" t="str">
        <f ca="1">'WP PF12'!A1</f>
        <v>WP PF12</v>
      </c>
      <c r="D32" s="57" t="str">
        <f>'WP PF12'!B3</f>
        <v>Adjustment PF12 Support - Rate Case Expenses</v>
      </c>
    </row>
    <row r="33" spans="2:4" x14ac:dyDescent="0.25">
      <c r="B33" s="2">
        <f>MAX($B$8:B32)+1</f>
        <v>24</v>
      </c>
      <c r="C33" s="56" t="str">
        <f ca="1">'WP 4-Factor'!A1</f>
        <v>WP 4-Factor</v>
      </c>
      <c r="D33" s="57" t="str">
        <f>'WP 4-Factor'!B3</f>
        <v>Four-Factor Used for EP-WWSCo Allocation</v>
      </c>
    </row>
    <row r="34" spans="2:4" x14ac:dyDescent="0.25">
      <c r="C34" s="56"/>
      <c r="D34" s="57"/>
    </row>
    <row r="35" spans="2:4" x14ac:dyDescent="0.25">
      <c r="C35" s="56"/>
      <c r="D35" s="57"/>
    </row>
    <row r="36" spans="2:4" x14ac:dyDescent="0.25">
      <c r="C36" s="56"/>
      <c r="D36" s="57"/>
    </row>
    <row r="37" spans="2:4" x14ac:dyDescent="0.25">
      <c r="C37" s="56"/>
      <c r="D37" s="57"/>
    </row>
    <row r="38" spans="2:4" x14ac:dyDescent="0.25">
      <c r="C38" s="56"/>
      <c r="D38" s="57"/>
    </row>
    <row r="39" spans="2:4" x14ac:dyDescent="0.25">
      <c r="C39" s="56"/>
      <c r="D39" s="57"/>
    </row>
    <row r="40" spans="2:4" x14ac:dyDescent="0.25">
      <c r="C40" s="56"/>
      <c r="D40" s="57"/>
    </row>
    <row r="41" spans="2:4" x14ac:dyDescent="0.25">
      <c r="C41" s="56"/>
      <c r="D41" s="57"/>
    </row>
    <row r="42" spans="2:4" x14ac:dyDescent="0.25">
      <c r="C42" s="56"/>
      <c r="D42" s="57"/>
    </row>
    <row r="43" spans="2:4" x14ac:dyDescent="0.25">
      <c r="C43" s="56"/>
      <c r="D43" s="57"/>
    </row>
    <row r="44" spans="2:4" x14ac:dyDescent="0.25">
      <c r="C44" s="56"/>
      <c r="D44" s="57"/>
    </row>
    <row r="45" spans="2:4" x14ac:dyDescent="0.25">
      <c r="C45" s="56"/>
      <c r="D45" s="57"/>
    </row>
    <row r="46" spans="2:4" x14ac:dyDescent="0.25">
      <c r="C46" s="56"/>
      <c r="D46" s="57"/>
    </row>
    <row r="47" spans="2:4" x14ac:dyDescent="0.25">
      <c r="C47" s="56"/>
      <c r="D47" s="57"/>
    </row>
    <row r="48" spans="2:4" x14ac:dyDescent="0.25">
      <c r="C48" s="56"/>
      <c r="D48" s="57"/>
    </row>
    <row r="49" spans="3:4" x14ac:dyDescent="0.25">
      <c r="C49" s="56"/>
      <c r="D49" s="57"/>
    </row>
    <row r="50" spans="3:4" x14ac:dyDescent="0.25">
      <c r="C50" s="56"/>
      <c r="D50" s="57"/>
    </row>
    <row r="51" spans="3:4" x14ac:dyDescent="0.25">
      <c r="C51" s="56"/>
      <c r="D51" s="57"/>
    </row>
    <row r="52" spans="3:4" x14ac:dyDescent="0.25">
      <c r="C52" s="56"/>
      <c r="D52" s="57"/>
    </row>
    <row r="53" spans="3:4" x14ac:dyDescent="0.25">
      <c r="C53" s="56"/>
      <c r="D53" s="57"/>
    </row>
    <row r="54" spans="3:4" x14ac:dyDescent="0.25">
      <c r="C54" s="56"/>
      <c r="D54" s="57"/>
    </row>
    <row r="55" spans="3:4" x14ac:dyDescent="0.25">
      <c r="C55" s="56"/>
      <c r="D55" s="57"/>
    </row>
    <row r="56" spans="3:4" x14ac:dyDescent="0.25">
      <c r="C56" s="56"/>
      <c r="D56" s="57"/>
    </row>
    <row r="57" spans="3:4" x14ac:dyDescent="0.25">
      <c r="C57" s="56"/>
      <c r="D57" s="57"/>
    </row>
    <row r="58" spans="3:4" x14ac:dyDescent="0.25">
      <c r="C58" s="56"/>
      <c r="D58" s="57"/>
    </row>
    <row r="59" spans="3:4" x14ac:dyDescent="0.25">
      <c r="C59" s="56"/>
      <c r="D59" s="57"/>
    </row>
    <row r="60" spans="3:4" x14ac:dyDescent="0.25">
      <c r="C60" s="56"/>
      <c r="D60" s="57"/>
    </row>
    <row r="61" spans="3:4" x14ac:dyDescent="0.25">
      <c r="C61" s="56"/>
      <c r="D61" s="57"/>
    </row>
    <row r="62" spans="3:4" x14ac:dyDescent="0.25">
      <c r="C62" s="56"/>
      <c r="D62" s="57"/>
    </row>
    <row r="63" spans="3:4" x14ac:dyDescent="0.25">
      <c r="C63" s="56"/>
      <c r="D63" s="57"/>
    </row>
    <row r="64" spans="3:4" x14ac:dyDescent="0.25">
      <c r="C64" s="56"/>
      <c r="D64" s="57"/>
    </row>
    <row r="65" spans="3:4" x14ac:dyDescent="0.25">
      <c r="C65" s="56"/>
      <c r="D65" s="57"/>
    </row>
    <row r="66" spans="3:4" x14ac:dyDescent="0.25">
      <c r="C66" s="56"/>
      <c r="D66" s="57"/>
    </row>
    <row r="67" spans="3:4" x14ac:dyDescent="0.25">
      <c r="C67" s="56"/>
      <c r="D67" s="57"/>
    </row>
    <row r="68" spans="3:4" x14ac:dyDescent="0.25">
      <c r="C68" s="56"/>
      <c r="D68" s="57"/>
    </row>
    <row r="69" spans="3:4" x14ac:dyDescent="0.25">
      <c r="C69" s="56"/>
      <c r="D69" s="57"/>
    </row>
    <row r="70" spans="3:4" x14ac:dyDescent="0.25">
      <c r="C70" s="56"/>
      <c r="D70" s="57"/>
    </row>
    <row r="71" spans="3:4" x14ac:dyDescent="0.25">
      <c r="C71" s="56"/>
      <c r="D71" s="57"/>
    </row>
    <row r="72" spans="3:4" x14ac:dyDescent="0.25">
      <c r="C72" s="56"/>
      <c r="D72" s="57"/>
    </row>
    <row r="73" spans="3:4" x14ac:dyDescent="0.25">
      <c r="C73" s="56"/>
      <c r="D73" s="57"/>
    </row>
    <row r="74" spans="3:4" x14ac:dyDescent="0.25">
      <c r="C74" s="56"/>
      <c r="D74" s="57"/>
    </row>
    <row r="75" spans="3:4" x14ac:dyDescent="0.25">
      <c r="C75" s="56"/>
      <c r="D75" s="57"/>
    </row>
    <row r="76" spans="3:4" x14ac:dyDescent="0.25">
      <c r="C76" s="56"/>
      <c r="D76" s="57"/>
    </row>
    <row r="77" spans="3:4" x14ac:dyDescent="0.25">
      <c r="C77" s="56"/>
      <c r="D77" s="57"/>
    </row>
    <row r="78" spans="3:4" x14ac:dyDescent="0.25">
      <c r="C78" s="56"/>
      <c r="D78" s="57"/>
    </row>
    <row r="79" spans="3:4" x14ac:dyDescent="0.25">
      <c r="C79" s="56"/>
      <c r="D79" s="57"/>
    </row>
    <row r="80" spans="3:4" x14ac:dyDescent="0.25">
      <c r="C80" s="56"/>
      <c r="D80" s="57"/>
    </row>
    <row r="81" spans="3:4" x14ac:dyDescent="0.25">
      <c r="C81" s="56"/>
      <c r="D81" s="57"/>
    </row>
    <row r="82" spans="3:4" x14ac:dyDescent="0.25">
      <c r="C82" s="56"/>
      <c r="D82" s="57"/>
    </row>
    <row r="83" spans="3:4" x14ac:dyDescent="0.25">
      <c r="C83" s="56"/>
      <c r="D83" s="57"/>
    </row>
    <row r="84" spans="3:4" x14ac:dyDescent="0.25">
      <c r="C84" s="56"/>
      <c r="D84" s="57"/>
    </row>
    <row r="85" spans="3:4" x14ac:dyDescent="0.25">
      <c r="C85" s="56"/>
      <c r="D85" s="57"/>
    </row>
    <row r="86" spans="3:4" x14ac:dyDescent="0.25">
      <c r="C86" s="56"/>
      <c r="D86" s="57"/>
    </row>
    <row r="87" spans="3:4" x14ac:dyDescent="0.25">
      <c r="C87" s="56"/>
      <c r="D87" s="57"/>
    </row>
    <row r="88" spans="3:4" x14ac:dyDescent="0.25">
      <c r="C88" s="56"/>
      <c r="D88" s="57"/>
    </row>
    <row r="89" spans="3:4" x14ac:dyDescent="0.25">
      <c r="C89" s="56"/>
      <c r="D89" s="57"/>
    </row>
    <row r="90" spans="3:4" x14ac:dyDescent="0.25">
      <c r="C90" s="56"/>
      <c r="D90" s="57"/>
    </row>
    <row r="91" spans="3:4" x14ac:dyDescent="0.25">
      <c r="C91" s="56"/>
      <c r="D91" s="57"/>
    </row>
    <row r="92" spans="3:4" x14ac:dyDescent="0.25">
      <c r="C92" s="56"/>
      <c r="D92" s="57"/>
    </row>
    <row r="93" spans="3:4" x14ac:dyDescent="0.25">
      <c r="C93" s="56"/>
      <c r="D93" s="57"/>
    </row>
    <row r="94" spans="3:4" x14ac:dyDescent="0.25">
      <c r="C94" s="56"/>
      <c r="D94" s="57"/>
    </row>
    <row r="95" spans="3:4" x14ac:dyDescent="0.25">
      <c r="C95" s="56"/>
      <c r="D95" s="57"/>
    </row>
    <row r="96" spans="3:4" x14ac:dyDescent="0.25">
      <c r="C96" s="56"/>
      <c r="D96" s="57"/>
    </row>
    <row r="97" spans="3:4" x14ac:dyDescent="0.25">
      <c r="C97" s="56"/>
      <c r="D97" s="57"/>
    </row>
    <row r="98" spans="3:4" x14ac:dyDescent="0.25">
      <c r="C98" s="56"/>
      <c r="D98" s="57"/>
    </row>
    <row r="99" spans="3:4" x14ac:dyDescent="0.25">
      <c r="C99" s="56"/>
      <c r="D99" s="57"/>
    </row>
    <row r="100" spans="3:4" x14ac:dyDescent="0.25">
      <c r="C100" s="56"/>
      <c r="D100" s="57"/>
    </row>
    <row r="101" spans="3:4" x14ac:dyDescent="0.25">
      <c r="C101" s="56"/>
      <c r="D101" s="57"/>
    </row>
    <row r="102" spans="3:4" x14ac:dyDescent="0.25">
      <c r="C102" s="56"/>
      <c r="D102" s="57"/>
    </row>
    <row r="103" spans="3:4" x14ac:dyDescent="0.25">
      <c r="C103" s="56"/>
      <c r="D103" s="57"/>
    </row>
    <row r="104" spans="3:4" x14ac:dyDescent="0.25">
      <c r="C104" s="56"/>
      <c r="D104" s="57"/>
    </row>
    <row r="105" spans="3:4" x14ac:dyDescent="0.25">
      <c r="C105" s="56"/>
      <c r="D105" s="57"/>
    </row>
    <row r="106" spans="3:4" x14ac:dyDescent="0.25">
      <c r="C106" s="56"/>
      <c r="D106" s="57"/>
    </row>
    <row r="107" spans="3:4" x14ac:dyDescent="0.25">
      <c r="C107" s="56"/>
      <c r="D107" s="57"/>
    </row>
    <row r="108" spans="3:4" x14ac:dyDescent="0.25">
      <c r="C108" s="56"/>
      <c r="D108" s="57"/>
    </row>
    <row r="109" spans="3:4" x14ac:dyDescent="0.25">
      <c r="C109" s="56"/>
      <c r="D109" s="57"/>
    </row>
    <row r="110" spans="3:4" x14ac:dyDescent="0.25">
      <c r="C110" s="56"/>
      <c r="D110" s="57"/>
    </row>
    <row r="111" spans="3:4" x14ac:dyDescent="0.25">
      <c r="C111" s="56"/>
      <c r="D111" s="57"/>
    </row>
    <row r="112" spans="3:4" x14ac:dyDescent="0.25">
      <c r="C112" s="56"/>
      <c r="D112" s="57"/>
    </row>
    <row r="113" spans="3:4" x14ac:dyDescent="0.25">
      <c r="C113" s="56"/>
      <c r="D113" s="57"/>
    </row>
    <row r="114" spans="3:4" x14ac:dyDescent="0.25">
      <c r="C114" s="56"/>
      <c r="D114" s="57"/>
    </row>
    <row r="115" spans="3:4" x14ac:dyDescent="0.25">
      <c r="C115" s="56"/>
      <c r="D115" s="57"/>
    </row>
    <row r="116" spans="3:4" x14ac:dyDescent="0.25">
      <c r="C116" s="56"/>
      <c r="D116" s="57"/>
    </row>
    <row r="117" spans="3:4" x14ac:dyDescent="0.25">
      <c r="C117" s="56"/>
      <c r="D117" s="57"/>
    </row>
    <row r="118" spans="3:4" x14ac:dyDescent="0.25">
      <c r="C118" s="56"/>
      <c r="D118" s="57"/>
    </row>
    <row r="119" spans="3:4" x14ac:dyDescent="0.25">
      <c r="C119" s="56"/>
      <c r="D119" s="57"/>
    </row>
    <row r="120" spans="3:4" x14ac:dyDescent="0.25">
      <c r="C120" s="56"/>
      <c r="D120" s="57"/>
    </row>
    <row r="121" spans="3:4" x14ac:dyDescent="0.25">
      <c r="C121" s="56"/>
      <c r="D121" s="57"/>
    </row>
    <row r="122" spans="3:4" x14ac:dyDescent="0.25">
      <c r="C122" s="56"/>
      <c r="D122" s="57"/>
    </row>
    <row r="123" spans="3:4" x14ac:dyDescent="0.25">
      <c r="C123" s="56"/>
      <c r="D123" s="57"/>
    </row>
    <row r="124" spans="3:4" x14ac:dyDescent="0.25">
      <c r="C124" s="56"/>
      <c r="D124" s="57"/>
    </row>
    <row r="125" spans="3:4" x14ac:dyDescent="0.25">
      <c r="C125" s="56"/>
      <c r="D125" s="57"/>
    </row>
    <row r="126" spans="3:4" x14ac:dyDescent="0.25">
      <c r="C126" s="56"/>
      <c r="D126" s="57"/>
    </row>
    <row r="127" spans="3:4" x14ac:dyDescent="0.25">
      <c r="C127" s="56"/>
      <c r="D127" s="57"/>
    </row>
    <row r="128" spans="3:4" x14ac:dyDescent="0.25">
      <c r="C128" s="56"/>
      <c r="D128" s="57"/>
    </row>
    <row r="129" spans="3:4" x14ac:dyDescent="0.25">
      <c r="C129" s="56"/>
      <c r="D129" s="57"/>
    </row>
    <row r="130" spans="3:4" x14ac:dyDescent="0.25">
      <c r="C130" s="56"/>
      <c r="D130" s="57"/>
    </row>
    <row r="131" spans="3:4" x14ac:dyDescent="0.25">
      <c r="C131" s="56"/>
      <c r="D131" s="57"/>
    </row>
    <row r="132" spans="3:4" x14ac:dyDescent="0.25">
      <c r="C132" s="56"/>
      <c r="D132" s="57"/>
    </row>
    <row r="133" spans="3:4" x14ac:dyDescent="0.25">
      <c r="C133" s="56"/>
      <c r="D133" s="57"/>
    </row>
    <row r="134" spans="3:4" x14ac:dyDescent="0.25">
      <c r="C134" s="56"/>
      <c r="D134" s="57"/>
    </row>
    <row r="135" spans="3:4" x14ac:dyDescent="0.25">
      <c r="C135" s="56"/>
      <c r="D135" s="57"/>
    </row>
    <row r="136" spans="3:4" x14ac:dyDescent="0.25">
      <c r="C136" s="56"/>
      <c r="D136" s="57"/>
    </row>
    <row r="137" spans="3:4" x14ac:dyDescent="0.25">
      <c r="C137" s="56"/>
      <c r="D137" s="57"/>
    </row>
    <row r="138" spans="3:4" x14ac:dyDescent="0.25">
      <c r="C138" s="56"/>
      <c r="D138" s="57"/>
    </row>
    <row r="139" spans="3:4" x14ac:dyDescent="0.25">
      <c r="C139" s="56"/>
      <c r="D139" s="57"/>
    </row>
    <row r="140" spans="3:4" x14ac:dyDescent="0.25">
      <c r="C140" s="56"/>
      <c r="D140" s="57"/>
    </row>
    <row r="141" spans="3:4" x14ac:dyDescent="0.25">
      <c r="C141" s="56"/>
      <c r="D141" s="57"/>
    </row>
    <row r="142" spans="3:4" x14ac:dyDescent="0.25">
      <c r="C142" s="56"/>
      <c r="D142" s="57"/>
    </row>
    <row r="143" spans="3:4" x14ac:dyDescent="0.25">
      <c r="C143" s="56"/>
      <c r="D143" s="57"/>
    </row>
    <row r="144" spans="3:4" x14ac:dyDescent="0.25">
      <c r="C144" s="56"/>
      <c r="D144" s="57"/>
    </row>
    <row r="145" spans="3:4" x14ac:dyDescent="0.25">
      <c r="C145" s="56"/>
      <c r="D145" s="57"/>
    </row>
    <row r="146" spans="3:4" x14ac:dyDescent="0.25">
      <c r="C146" s="56"/>
      <c r="D146" s="57"/>
    </row>
    <row r="147" spans="3:4" x14ac:dyDescent="0.25">
      <c r="C147" s="56"/>
      <c r="D147" s="57"/>
    </row>
    <row r="148" spans="3:4" x14ac:dyDescent="0.25">
      <c r="C148" s="56"/>
      <c r="D148" s="57"/>
    </row>
    <row r="149" spans="3:4" x14ac:dyDescent="0.25">
      <c r="C149" s="56"/>
      <c r="D149" s="57"/>
    </row>
    <row r="150" spans="3:4" x14ac:dyDescent="0.25">
      <c r="C150" s="56"/>
      <c r="D150" s="57"/>
    </row>
    <row r="151" spans="3:4" x14ac:dyDescent="0.25">
      <c r="C151" s="56"/>
      <c r="D151" s="57"/>
    </row>
    <row r="152" spans="3:4" x14ac:dyDescent="0.25">
      <c r="C152" s="56"/>
      <c r="D152" s="57"/>
    </row>
    <row r="153" spans="3:4" x14ac:dyDescent="0.25">
      <c r="C153" s="56"/>
      <c r="D153" s="57"/>
    </row>
    <row r="154" spans="3:4" x14ac:dyDescent="0.25">
      <c r="C154" s="56"/>
      <c r="D154" s="57"/>
    </row>
    <row r="155" spans="3:4" x14ac:dyDescent="0.25">
      <c r="C155" s="56"/>
      <c r="D155" s="57"/>
    </row>
    <row r="156" spans="3:4" x14ac:dyDescent="0.25">
      <c r="C156" s="56"/>
      <c r="D156" s="57"/>
    </row>
    <row r="157" spans="3:4" x14ac:dyDescent="0.25">
      <c r="C157" s="56"/>
      <c r="D157" s="57"/>
    </row>
    <row r="158" spans="3:4" x14ac:dyDescent="0.25">
      <c r="C158" s="56"/>
      <c r="D158" s="57"/>
    </row>
    <row r="159" spans="3:4" x14ac:dyDescent="0.25">
      <c r="C159" s="56"/>
      <c r="D159" s="57"/>
    </row>
    <row r="160" spans="3:4" x14ac:dyDescent="0.25">
      <c r="C160" s="56"/>
      <c r="D160" s="57"/>
    </row>
    <row r="161" spans="3:4" x14ac:dyDescent="0.25">
      <c r="C161" s="56"/>
      <c r="D161" s="57"/>
    </row>
    <row r="162" spans="3:4" x14ac:dyDescent="0.25">
      <c r="C162" s="56"/>
      <c r="D162" s="57"/>
    </row>
    <row r="163" spans="3:4" x14ac:dyDescent="0.25">
      <c r="C163" s="56"/>
      <c r="D163" s="57"/>
    </row>
    <row r="164" spans="3:4" x14ac:dyDescent="0.25">
      <c r="C164" s="56"/>
      <c r="D164" s="57"/>
    </row>
    <row r="165" spans="3:4" x14ac:dyDescent="0.25">
      <c r="C165" s="56"/>
      <c r="D165" s="57"/>
    </row>
    <row r="166" spans="3:4" x14ac:dyDescent="0.25">
      <c r="C166" s="56"/>
      <c r="D166" s="57"/>
    </row>
    <row r="167" spans="3:4" x14ac:dyDescent="0.25">
      <c r="C167" s="56"/>
      <c r="D167" s="57"/>
    </row>
    <row r="168" spans="3:4" x14ac:dyDescent="0.25">
      <c r="C168" s="56"/>
      <c r="D168" s="57"/>
    </row>
    <row r="169" spans="3:4" x14ac:dyDescent="0.25">
      <c r="C169" s="56"/>
      <c r="D169" s="57"/>
    </row>
    <row r="170" spans="3:4" x14ac:dyDescent="0.25">
      <c r="C170" s="56"/>
      <c r="D170" s="57"/>
    </row>
    <row r="171" spans="3:4" x14ac:dyDescent="0.25">
      <c r="C171" s="56"/>
      <c r="D171" s="57"/>
    </row>
    <row r="172" spans="3:4" x14ac:dyDescent="0.25">
      <c r="C172" s="56"/>
      <c r="D172" s="57"/>
    </row>
    <row r="173" spans="3:4" x14ac:dyDescent="0.25">
      <c r="C173" s="56"/>
      <c r="D173" s="57"/>
    </row>
    <row r="174" spans="3:4" x14ac:dyDescent="0.25">
      <c r="C174" s="56"/>
      <c r="D174" s="57"/>
    </row>
    <row r="175" spans="3:4" x14ac:dyDescent="0.25">
      <c r="C175" s="56"/>
      <c r="D175" s="57"/>
    </row>
    <row r="176" spans="3:4" x14ac:dyDescent="0.25">
      <c r="C176" s="56"/>
      <c r="D176" s="57"/>
    </row>
    <row r="177" spans="3:4" x14ac:dyDescent="0.25">
      <c r="C177" s="56"/>
      <c r="D177" s="57"/>
    </row>
    <row r="178" spans="3:4" x14ac:dyDescent="0.25">
      <c r="C178" s="56"/>
      <c r="D178" s="57"/>
    </row>
    <row r="179" spans="3:4" x14ac:dyDescent="0.25">
      <c r="C179" s="56"/>
      <c r="D179" s="57"/>
    </row>
    <row r="180" spans="3:4" x14ac:dyDescent="0.25">
      <c r="C180" s="56"/>
      <c r="D180" s="57"/>
    </row>
    <row r="181" spans="3:4" x14ac:dyDescent="0.25">
      <c r="C181" s="56"/>
      <c r="D181" s="57"/>
    </row>
    <row r="182" spans="3:4" x14ac:dyDescent="0.25">
      <c r="C182" s="56"/>
      <c r="D182" s="57"/>
    </row>
    <row r="183" spans="3:4" x14ac:dyDescent="0.25">
      <c r="C183" s="56"/>
      <c r="D183" s="57"/>
    </row>
    <row r="184" spans="3:4" x14ac:dyDescent="0.25">
      <c r="C184" s="56"/>
      <c r="D184" s="57"/>
    </row>
    <row r="185" spans="3:4" x14ac:dyDescent="0.25">
      <c r="C185" s="56"/>
      <c r="D185" s="57"/>
    </row>
    <row r="186" spans="3:4" x14ac:dyDescent="0.25">
      <c r="C186" s="56"/>
      <c r="D186" s="57"/>
    </row>
    <row r="187" spans="3:4" x14ac:dyDescent="0.25">
      <c r="C187" s="56"/>
      <c r="D187" s="57"/>
    </row>
    <row r="188" spans="3:4" x14ac:dyDescent="0.25">
      <c r="C188" s="56"/>
      <c r="D188" s="57"/>
    </row>
    <row r="189" spans="3:4" x14ac:dyDescent="0.25">
      <c r="C189" s="56"/>
      <c r="D189" s="57"/>
    </row>
    <row r="190" spans="3:4" x14ac:dyDescent="0.25">
      <c r="C190" s="56"/>
      <c r="D190" s="57"/>
    </row>
    <row r="191" spans="3:4" x14ac:dyDescent="0.25">
      <c r="C191" s="56"/>
      <c r="D191" s="57"/>
    </row>
    <row r="192" spans="3:4" x14ac:dyDescent="0.25">
      <c r="C192" s="56"/>
      <c r="D192" s="57"/>
    </row>
    <row r="193" spans="3:4" x14ac:dyDescent="0.25">
      <c r="C193" s="56"/>
      <c r="D193" s="57"/>
    </row>
    <row r="194" spans="3:4" x14ac:dyDescent="0.25">
      <c r="C194" s="56"/>
      <c r="D194" s="57"/>
    </row>
    <row r="195" spans="3:4" x14ac:dyDescent="0.25">
      <c r="C195" s="56"/>
      <c r="D195" s="57"/>
    </row>
    <row r="196" spans="3:4" x14ac:dyDescent="0.25">
      <c r="C196" s="56"/>
      <c r="D196" s="57"/>
    </row>
    <row r="197" spans="3:4" x14ac:dyDescent="0.25">
      <c r="C197" s="56"/>
      <c r="D197" s="57"/>
    </row>
    <row r="198" spans="3:4" x14ac:dyDescent="0.25">
      <c r="C198" s="56"/>
      <c r="D198" s="57"/>
    </row>
    <row r="199" spans="3:4" x14ac:dyDescent="0.25">
      <c r="C199" s="56"/>
      <c r="D199" s="57"/>
    </row>
    <row r="200" spans="3:4" x14ac:dyDescent="0.25">
      <c r="C200" s="56"/>
      <c r="D200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EA4B-8C58-47CD-9A60-D63F2772BDA9}">
  <sheetPr>
    <tabColor rgb="FF00B050"/>
  </sheetPr>
  <dimension ref="A1:G195"/>
  <sheetViews>
    <sheetView workbookViewId="0">
      <selection activeCell="D25" sqref="D25"/>
    </sheetView>
  </sheetViews>
  <sheetFormatPr defaultRowHeight="15" customHeight="1" x14ac:dyDescent="0.25"/>
  <cols>
    <col min="1" max="1" width="1.42578125" customWidth="1"/>
    <col min="2" max="2" width="5.7109375" customWidth="1"/>
    <col min="3" max="3" width="57.140625" style="57" customWidth="1"/>
    <col min="4" max="7" width="17.85546875" customWidth="1"/>
  </cols>
  <sheetData>
    <row r="1" spans="1:7" ht="7.5" customHeight="1" x14ac:dyDescent="0.25">
      <c r="A1" s="51" t="str" cm="1">
        <f t="array" aca="1" ref="A1" ca="1">MID(CELL("filename",A1),FIND("]",CELL("filename",A1))+1,255)</f>
        <v>WWSCo Inputs</v>
      </c>
    </row>
    <row r="2" spans="1:7" x14ac:dyDescent="0.25">
      <c r="B2" s="24" t="s">
        <v>451</v>
      </c>
    </row>
    <row r="3" spans="1:7" x14ac:dyDescent="0.25">
      <c r="B3" s="1" t="s">
        <v>619</v>
      </c>
    </row>
    <row r="4" spans="1:7" ht="7.5" customHeight="1" x14ac:dyDescent="0.25">
      <c r="B4" s="1"/>
    </row>
    <row r="5" spans="1:7" s="6" customFormat="1" x14ac:dyDescent="0.25">
      <c r="C5" s="80"/>
      <c r="D5" s="16"/>
      <c r="E5" s="16" t="s">
        <v>423</v>
      </c>
      <c r="F5" s="16" t="s">
        <v>423</v>
      </c>
      <c r="G5" s="16"/>
    </row>
    <row r="6" spans="1:7" s="6" customFormat="1" x14ac:dyDescent="0.25">
      <c r="B6" s="16" t="s">
        <v>417</v>
      </c>
      <c r="C6" s="80"/>
      <c r="D6" s="16"/>
      <c r="E6" s="16" t="s">
        <v>424</v>
      </c>
      <c r="F6" s="16" t="s">
        <v>450</v>
      </c>
      <c r="G6" s="16"/>
    </row>
    <row r="7" spans="1:7" s="6" customFormat="1" x14ac:dyDescent="0.25">
      <c r="B7" s="17" t="s">
        <v>418</v>
      </c>
      <c r="C7" s="59" t="s">
        <v>588</v>
      </c>
      <c r="D7" s="17" t="s">
        <v>39</v>
      </c>
      <c r="E7" s="17" t="s">
        <v>425</v>
      </c>
      <c r="F7" s="17" t="s">
        <v>425</v>
      </c>
      <c r="G7" s="17" t="s">
        <v>518</v>
      </c>
    </row>
    <row r="8" spans="1:7" x14ac:dyDescent="0.25">
      <c r="B8" s="2"/>
      <c r="C8" s="81" t="s">
        <v>419</v>
      </c>
      <c r="D8" s="19" t="s">
        <v>420</v>
      </c>
      <c r="E8" s="19" t="s">
        <v>421</v>
      </c>
      <c r="F8" s="19" t="s">
        <v>422</v>
      </c>
      <c r="G8" s="19" t="s">
        <v>430</v>
      </c>
    </row>
    <row r="9" spans="1:7" ht="3.75" customHeight="1" x14ac:dyDescent="0.25">
      <c r="B9" s="2"/>
      <c r="C9" s="81"/>
      <c r="D9" s="19"/>
      <c r="E9" s="19"/>
      <c r="F9" s="19"/>
    </row>
    <row r="10" spans="1:7" ht="15" customHeight="1" x14ac:dyDescent="0.25">
      <c r="B10" s="88">
        <f>MAX($B$8:B9)+1</f>
        <v>1</v>
      </c>
      <c r="C10" s="82" t="s">
        <v>589</v>
      </c>
      <c r="D10" s="79"/>
      <c r="E10" s="79"/>
      <c r="F10" s="79"/>
    </row>
    <row r="11" spans="1:7" ht="15" customHeight="1" x14ac:dyDescent="0.25">
      <c r="B11" s="78">
        <f>MAX($B$8:B10)+1</f>
        <v>2</v>
      </c>
      <c r="C11" s="82" t="s">
        <v>40</v>
      </c>
      <c r="D11" s="20"/>
      <c r="E11" s="20"/>
      <c r="F11" s="20"/>
    </row>
    <row r="12" spans="1:7" ht="15" customHeight="1" x14ac:dyDescent="0.25">
      <c r="B12" s="78">
        <f>MAX($B$8:B11)+1</f>
        <v>3</v>
      </c>
      <c r="C12" s="86" t="s">
        <v>384</v>
      </c>
      <c r="D12" s="137">
        <f>-SUMIFS('WWSCo IS Restatements'!$F$13:$F$196,'WWSCo IS Restatements'!$E$13:$E$196,$C12)</f>
        <v>13272833.440000001</v>
      </c>
      <c r="E12" s="137">
        <f>-SUMIFS('WWSCo IS Restatements'!$L$13:$L$196,'WWSCo IS Restatements'!$E$13:$E$196,$C12)</f>
        <v>0</v>
      </c>
      <c r="F12" s="138">
        <f>-SUMIFS('WWSCo IS Pro Forma'!$P$13:$P$196,'WWSCo IS Pro Forma'!$E$13:$E$196,$C13)</f>
        <v>0</v>
      </c>
      <c r="G12" s="22">
        <f>SUM(D12:F12)</f>
        <v>13272833.440000001</v>
      </c>
    </row>
    <row r="13" spans="1:7" ht="15" customHeight="1" x14ac:dyDescent="0.25">
      <c r="B13" s="78">
        <f>MAX($B$8:B12)+1</f>
        <v>4</v>
      </c>
      <c r="C13" s="85" t="s">
        <v>587</v>
      </c>
      <c r="D13" s="137">
        <f>-SUMIFS('WWSCo IS Restatements'!$F$13:$F$196,'WWSCo IS Restatements'!$E$13:$E$196,$C13)</f>
        <v>6536.16</v>
      </c>
      <c r="E13" s="137">
        <f>-SUMIFS('WWSCo IS Restatements'!$L$13:$L$196,'WWSCo IS Restatements'!$E$13:$E$196,$C13)</f>
        <v>0</v>
      </c>
      <c r="F13" s="138">
        <f>-SUMIFS('WWSCo IS Pro Forma'!$P$13:$P$196,'WWSCo IS Pro Forma'!$E$13:$E$196,$C14)</f>
        <v>0</v>
      </c>
      <c r="G13" s="22">
        <f t="shared" ref="G13:G17" si="0">SUM(D13:F13)</f>
        <v>6536.16</v>
      </c>
    </row>
    <row r="14" spans="1:7" ht="15" customHeight="1" x14ac:dyDescent="0.25">
      <c r="B14" s="78">
        <f>MAX($B$8:B13)+1</f>
        <v>5</v>
      </c>
      <c r="C14" s="85" t="s">
        <v>388</v>
      </c>
      <c r="D14" s="137">
        <f>-SUMIFS('WWSCo IS Restatements'!$F$13:$F$196,'WWSCo IS Restatements'!$E$13:$E$196,$C14)</f>
        <v>43444.59</v>
      </c>
      <c r="E14" s="137">
        <f>-SUMIFS('WWSCo IS Restatements'!$L$13:$L$196,'WWSCo IS Restatements'!$E$13:$E$196,$C14)</f>
        <v>0</v>
      </c>
      <c r="F14" s="138">
        <f>-SUMIFS('WWSCo IS Pro Forma'!$P$13:$P$196,'WWSCo IS Pro Forma'!$E$13:$E$196,$C15)</f>
        <v>0</v>
      </c>
      <c r="G14" s="22">
        <f t="shared" si="0"/>
        <v>43444.59</v>
      </c>
    </row>
    <row r="15" spans="1:7" ht="15" customHeight="1" x14ac:dyDescent="0.25">
      <c r="B15" s="78">
        <f>MAX($B$8:B14)+1</f>
        <v>6</v>
      </c>
      <c r="C15" s="85" t="s">
        <v>387</v>
      </c>
      <c r="D15" s="137">
        <f>-SUMIFS('WWSCo IS Restatements'!$F$13:$F$196,'WWSCo IS Restatements'!$E$13:$E$196,$C15)</f>
        <v>64124.76</v>
      </c>
      <c r="E15" s="137">
        <f>-SUMIFS('WWSCo IS Restatements'!$L$13:$L$196,'WWSCo IS Restatements'!$E$13:$E$196,$C15)</f>
        <v>0</v>
      </c>
      <c r="F15" s="138">
        <f>-SUMIFS('WWSCo IS Pro Forma'!$P$13:$P$196,'WWSCo IS Pro Forma'!$E$13:$E$196,$C16)</f>
        <v>0</v>
      </c>
      <c r="G15" s="22">
        <f t="shared" si="0"/>
        <v>64124.76</v>
      </c>
    </row>
    <row r="16" spans="1:7" ht="15" customHeight="1" x14ac:dyDescent="0.25">
      <c r="B16" s="78">
        <f>MAX($B$8:B15)+1</f>
        <v>7</v>
      </c>
      <c r="C16" s="85" t="s">
        <v>411</v>
      </c>
      <c r="D16" s="137">
        <f>-SUMIFS('WWSCo IS Restatements'!$F$13:$F$196,'WWSCo IS Restatements'!$E$13:$E$196,$C16)</f>
        <v>279906.77</v>
      </c>
      <c r="E16" s="137">
        <f>-SUMIFS('WWSCo IS Restatements'!$L$13:$L$196,'WWSCo IS Restatements'!$E$13:$E$196,$C16)</f>
        <v>-279906.77</v>
      </c>
      <c r="F16" s="138">
        <f>-SUMIFS('WWSCo IS Pro Forma'!$P$13:$P$196,'WWSCo IS Pro Forma'!$E$13:$E$196,$C17)</f>
        <v>0</v>
      </c>
      <c r="G16" s="22">
        <f t="shared" si="0"/>
        <v>0</v>
      </c>
    </row>
    <row r="17" spans="2:7" ht="15" customHeight="1" x14ac:dyDescent="0.25">
      <c r="B17" s="78">
        <f>MAX($B$8:B16)+1</f>
        <v>8</v>
      </c>
      <c r="C17" s="85" t="s">
        <v>386</v>
      </c>
      <c r="D17" s="137">
        <f>-SUMIFS('WWSCo IS Restatements'!$F$13:$F$196,'WWSCo IS Restatements'!$E$13:$E$196,$C17)</f>
        <v>-65387.5</v>
      </c>
      <c r="E17" s="137">
        <f>-SUMIFS('WWSCo IS Restatements'!$L$13:$L$196,'WWSCo IS Restatements'!$E$13:$E$196,$C17)</f>
        <v>106650</v>
      </c>
      <c r="F17" s="138">
        <f>-SUMIFS('WWSCo IS Pro Forma'!$P$13:$P$196,'WWSCo IS Pro Forma'!$E$13:$E$196,$C18)</f>
        <v>0</v>
      </c>
      <c r="G17" s="22">
        <f t="shared" si="0"/>
        <v>41262.5</v>
      </c>
    </row>
    <row r="18" spans="2:7" ht="3.75" customHeight="1" x14ac:dyDescent="0.25">
      <c r="B18" s="78"/>
      <c r="C18" s="83"/>
      <c r="D18" s="22"/>
      <c r="E18" s="22"/>
      <c r="F18" s="22"/>
      <c r="G18" s="23"/>
    </row>
    <row r="19" spans="2:7" ht="15" customHeight="1" x14ac:dyDescent="0.25">
      <c r="B19" s="88">
        <f>MAX($B$8:B18)+1</f>
        <v>9</v>
      </c>
      <c r="C19" s="82" t="s">
        <v>41</v>
      </c>
      <c r="D19" s="22"/>
      <c r="E19" s="22"/>
      <c r="F19" s="22"/>
      <c r="G19" s="23"/>
    </row>
    <row r="20" spans="2:7" ht="15" customHeight="1" x14ac:dyDescent="0.25">
      <c r="B20" s="78">
        <f>MAX($B$8:B19)+1</f>
        <v>10</v>
      </c>
      <c r="C20" s="85" t="s">
        <v>391</v>
      </c>
      <c r="D20" s="137">
        <f>SUMIFS('WWSCo IS Restatements'!$F$13:$F$196,'WWSCo IS Restatements'!$E$13:$E$196,$C20)</f>
        <v>2608209.9400000004</v>
      </c>
      <c r="E20" s="137">
        <f>SUMIFS('WWSCo IS Restatements'!$L$13:$L$196,'WWSCo IS Restatements'!$E$13:$E$196,$C20)</f>
        <v>0</v>
      </c>
      <c r="F20" s="138">
        <f>SUMIFS('WWSCo IS Pro Forma'!$P$13:$P$196,'WWSCo IS Pro Forma'!$E$13:$E$196,$C20)</f>
        <v>238454.22374708342</v>
      </c>
      <c r="G20" s="22">
        <f t="shared" ref="G20:G45" si="1">SUM(D20:F20)</f>
        <v>2846664.1637470839</v>
      </c>
    </row>
    <row r="21" spans="2:7" ht="15" customHeight="1" x14ac:dyDescent="0.25">
      <c r="B21" s="78">
        <f>MAX($B$8:B20)+1</f>
        <v>11</v>
      </c>
      <c r="C21" s="85" t="s">
        <v>586</v>
      </c>
      <c r="D21" s="137">
        <f>SUMIFS('WWSCo IS Restatements'!$F$13:$F$196,'WWSCo IS Restatements'!$E$13:$E$196,$C21)</f>
        <v>0</v>
      </c>
      <c r="E21" s="137">
        <f>SUMIFS('WWSCo IS Restatements'!$L$13:$L$196,'WWSCo IS Restatements'!$E$13:$E$196,$C21)</f>
        <v>0</v>
      </c>
      <c r="F21" s="138">
        <f>SUMIFS('WWSCo IS Pro Forma'!$P$13:$P$196,'WWSCo IS Pro Forma'!$E$13:$E$196,$C21)</f>
        <v>0</v>
      </c>
      <c r="G21" s="22">
        <f t="shared" si="1"/>
        <v>0</v>
      </c>
    </row>
    <row r="22" spans="2:7" ht="15" customHeight="1" x14ac:dyDescent="0.25">
      <c r="B22" s="78">
        <f>MAX($B$8:B21)+1</f>
        <v>12</v>
      </c>
      <c r="C22" s="85" t="s">
        <v>396</v>
      </c>
      <c r="D22" s="137">
        <f>SUMIFS('WWSCo IS Restatements'!$F$13:$F$196,'WWSCo IS Restatements'!$E$13:$E$196,$C22)</f>
        <v>1839043.1300000001</v>
      </c>
      <c r="E22" s="137">
        <f>SUMIFS('WWSCo IS Restatements'!$L$13:$L$196,'WWSCo IS Restatements'!$E$13:$E$196,$C22)</f>
        <v>0</v>
      </c>
      <c r="F22" s="138">
        <f>SUMIFS('WWSCo IS Pro Forma'!$P$13:$P$196,'WWSCo IS Pro Forma'!$E$13:$E$196,$C22)</f>
        <v>206343.84311899304</v>
      </c>
      <c r="G22" s="22">
        <f t="shared" si="1"/>
        <v>2045386.9731189932</v>
      </c>
    </row>
    <row r="23" spans="2:7" ht="15" customHeight="1" x14ac:dyDescent="0.25">
      <c r="B23" s="78">
        <f>MAX($B$8:B22)+1</f>
        <v>13</v>
      </c>
      <c r="C23" s="85" t="s">
        <v>389</v>
      </c>
      <c r="D23" s="137">
        <f>SUMIFS('WWSCo IS Restatements'!$F$13:$F$196,'WWSCo IS Restatements'!$E$13:$E$196,$C23)</f>
        <v>484118.54999999993</v>
      </c>
      <c r="E23" s="137">
        <f>SUMIFS('WWSCo IS Restatements'!$L$13:$L$196,'WWSCo IS Restatements'!$E$13:$E$196,$C23)</f>
        <v>0</v>
      </c>
      <c r="F23" s="138">
        <f>SUMIFS('WWSCo IS Pro Forma'!$P$13:$P$196,'WWSCo IS Pro Forma'!$E$13:$E$196,$C23)</f>
        <v>-67103.806840000005</v>
      </c>
      <c r="G23" s="22">
        <f t="shared" si="1"/>
        <v>417014.74315999995</v>
      </c>
    </row>
    <row r="24" spans="2:7" ht="15" customHeight="1" x14ac:dyDescent="0.25">
      <c r="B24" s="78">
        <f>MAX($B$8:B23)+1</f>
        <v>14</v>
      </c>
      <c r="C24" s="85" t="s">
        <v>403</v>
      </c>
      <c r="D24" s="137">
        <f>SUMIFS('WWSCo IS Restatements'!$F$13:$F$196,'WWSCo IS Restatements'!$E$13:$E$196,$C24)</f>
        <v>75515.749999999985</v>
      </c>
      <c r="E24" s="137">
        <f>SUMIFS('WWSCo IS Restatements'!$L$13:$L$196,'WWSCo IS Restatements'!$E$13:$E$196,$C24)</f>
        <v>0</v>
      </c>
      <c r="F24" s="138">
        <f>SUMIFS('WWSCo IS Pro Forma'!$P$13:$P$196,'WWSCo IS Pro Forma'!$E$13:$E$196,$C24)</f>
        <v>1661.3464999999997</v>
      </c>
      <c r="G24" s="22">
        <f t="shared" si="1"/>
        <v>77177.096499999985</v>
      </c>
    </row>
    <row r="25" spans="2:7" ht="15" customHeight="1" x14ac:dyDescent="0.25">
      <c r="B25" s="78">
        <f>MAX($B$8:B24)+1</f>
        <v>15</v>
      </c>
      <c r="C25" s="85" t="s">
        <v>394</v>
      </c>
      <c r="D25" s="137">
        <f>SUMIFS('WWSCo IS Restatements'!$F$13:$F$196,'WWSCo IS Restatements'!$E$13:$E$196,$C25)</f>
        <v>341114.60000000003</v>
      </c>
      <c r="E25" s="137">
        <f>SUMIFS('WWSCo IS Restatements'!$L$13:$L$196,'WWSCo IS Restatements'!$E$13:$E$196,$C25)</f>
        <v>-933.68999999999994</v>
      </c>
      <c r="F25" s="138">
        <f>SUMIFS('WWSCo IS Pro Forma'!$P$13:$P$196,'WWSCo IS Pro Forma'!$E$13:$E$196,$C25)</f>
        <v>5433.4392200000011</v>
      </c>
      <c r="G25" s="22">
        <f t="shared" si="1"/>
        <v>345614.34922000003</v>
      </c>
    </row>
    <row r="26" spans="2:7" ht="15" customHeight="1" x14ac:dyDescent="0.25">
      <c r="B26" s="78">
        <f>MAX($B$8:B25)+1</f>
        <v>16</v>
      </c>
      <c r="C26" s="85" t="s">
        <v>400</v>
      </c>
      <c r="D26" s="137">
        <f>SUMIFS('WWSCo IS Restatements'!$F$13:$F$196,'WWSCo IS Restatements'!$E$13:$E$196,$C26)</f>
        <v>5595</v>
      </c>
      <c r="E26" s="137">
        <f>SUMIFS('WWSCo IS Restatements'!$L$13:$L$196,'WWSCo IS Restatements'!$E$13:$E$196,$C26)</f>
        <v>0</v>
      </c>
      <c r="F26" s="138">
        <f>SUMIFS('WWSCo IS Pro Forma'!$P$13:$P$196,'WWSCo IS Pro Forma'!$E$13:$E$196,$C26)</f>
        <v>123.08999999999999</v>
      </c>
      <c r="G26" s="22">
        <f t="shared" si="1"/>
        <v>5718.09</v>
      </c>
    </row>
    <row r="27" spans="2:7" ht="15" customHeight="1" x14ac:dyDescent="0.25">
      <c r="B27" s="78">
        <f>MAX($B$8:B26)+1</f>
        <v>17</v>
      </c>
      <c r="C27" s="85" t="s">
        <v>392</v>
      </c>
      <c r="D27" s="137">
        <f>SUMIFS('WWSCo IS Restatements'!$F$13:$F$196,'WWSCo IS Restatements'!$E$13:$E$196,$C27)</f>
        <v>111826.36</v>
      </c>
      <c r="E27" s="137">
        <f>SUMIFS('WWSCo IS Restatements'!$L$13:$L$196,'WWSCo IS Restatements'!$E$13:$E$196,$C27)</f>
        <v>0</v>
      </c>
      <c r="F27" s="138">
        <f>SUMIFS('WWSCo IS Pro Forma'!$P$13:$P$196,'WWSCo IS Pro Forma'!$E$13:$E$196,$C27)</f>
        <v>2460.17992</v>
      </c>
      <c r="G27" s="22">
        <f t="shared" si="1"/>
        <v>114286.53992</v>
      </c>
    </row>
    <row r="28" spans="2:7" ht="15" customHeight="1" x14ac:dyDescent="0.25">
      <c r="B28" s="78">
        <f>MAX($B$8:B27)+1</f>
        <v>18</v>
      </c>
      <c r="C28" s="85" t="s">
        <v>398</v>
      </c>
      <c r="D28" s="137">
        <f>SUMIFS('WWSCo IS Restatements'!$F$13:$F$196,'WWSCo IS Restatements'!$E$13:$E$196,$C28)</f>
        <v>7108.6</v>
      </c>
      <c r="E28" s="137">
        <f>SUMIFS('WWSCo IS Restatements'!$L$13:$L$196,'WWSCo IS Restatements'!$E$13:$E$196,$C28)</f>
        <v>0</v>
      </c>
      <c r="F28" s="138">
        <f>SUMIFS('WWSCo IS Pro Forma'!$P$13:$P$196,'WWSCo IS Pro Forma'!$E$13:$E$196,$C28)</f>
        <v>156.38919999999999</v>
      </c>
      <c r="G28" s="22">
        <f t="shared" si="1"/>
        <v>7264.9892</v>
      </c>
    </row>
    <row r="29" spans="2:7" ht="15" customHeight="1" x14ac:dyDescent="0.25">
      <c r="B29" s="78">
        <f>MAX($B$8:B28)+1</f>
        <v>19</v>
      </c>
      <c r="C29" s="85" t="s">
        <v>399</v>
      </c>
      <c r="D29" s="137">
        <f>SUMIFS('WWSCo IS Restatements'!$F$13:$F$196,'WWSCo IS Restatements'!$E$13:$E$196,$C29)</f>
        <v>467226.55000000005</v>
      </c>
      <c r="E29" s="137">
        <f>SUMIFS('WWSCo IS Restatements'!$L$13:$L$196,'WWSCo IS Restatements'!$E$13:$E$196,$C29)</f>
        <v>29929.191900000002</v>
      </c>
      <c r="F29" s="138">
        <f>SUMIFS('WWSCo IS Pro Forma'!$P$13:$P$196,'WWSCo IS Pro Forma'!$E$13:$E$196,$C29)</f>
        <v>-11595.673340000001</v>
      </c>
      <c r="G29" s="22">
        <f t="shared" si="1"/>
        <v>485560.06856000004</v>
      </c>
    </row>
    <row r="30" spans="2:7" ht="15" customHeight="1" x14ac:dyDescent="0.25">
      <c r="B30" s="78">
        <f>MAX($B$8:B29)+1</f>
        <v>20</v>
      </c>
      <c r="C30" s="85" t="s">
        <v>412</v>
      </c>
      <c r="D30" s="137">
        <f>SUMIFS('WWSCo IS Restatements'!$F$13:$F$196,'WWSCo IS Restatements'!$E$13:$E$196,$C30)</f>
        <v>312465.84000000003</v>
      </c>
      <c r="E30" s="137">
        <f>SUMIFS('WWSCo IS Restatements'!$L$13:$L$196,'WWSCo IS Restatements'!$E$13:$E$196,$C30)</f>
        <v>-312465.84000000003</v>
      </c>
      <c r="F30" s="138">
        <f>SUMIFS('WWSCo IS Pro Forma'!$P$13:$P$196,'WWSCo IS Pro Forma'!$E$13:$E$196,$C30)</f>
        <v>0</v>
      </c>
      <c r="G30" s="22">
        <f t="shared" si="1"/>
        <v>0</v>
      </c>
    </row>
    <row r="31" spans="2:7" ht="15" customHeight="1" x14ac:dyDescent="0.25">
      <c r="B31" s="78">
        <f>MAX($B$8:B30)+1</f>
        <v>21</v>
      </c>
      <c r="C31" s="85" t="s">
        <v>402</v>
      </c>
      <c r="D31" s="137">
        <f>SUMIFS('WWSCo IS Restatements'!$F$13:$F$196,'WWSCo IS Restatements'!$E$13:$E$196,$C31)</f>
        <v>63175.460000000006</v>
      </c>
      <c r="E31" s="137">
        <f>SUMIFS('WWSCo IS Restatements'!$L$13:$L$196,'WWSCo IS Restatements'!$E$13:$E$196,$C31)</f>
        <v>0</v>
      </c>
      <c r="F31" s="138">
        <f>SUMIFS('WWSCo IS Pro Forma'!$P$13:$P$196,'WWSCo IS Pro Forma'!$E$13:$E$196,$C31)</f>
        <v>1389.8601200000001</v>
      </c>
      <c r="G31" s="22">
        <f t="shared" si="1"/>
        <v>64565.320120000004</v>
      </c>
    </row>
    <row r="32" spans="2:7" ht="15" customHeight="1" x14ac:dyDescent="0.25">
      <c r="B32" s="78">
        <f>MAX($B$8:B31)+1</f>
        <v>22</v>
      </c>
      <c r="C32" s="85" t="s">
        <v>404</v>
      </c>
      <c r="D32" s="137">
        <f>SUMIFS('WWSCo IS Restatements'!$F$13:$F$196,'WWSCo IS Restatements'!$E$13:$E$196,$C32)</f>
        <v>261160.16</v>
      </c>
      <c r="E32" s="137">
        <f>SUMIFS('WWSCo IS Restatements'!$L$13:$L$196,'WWSCo IS Restatements'!$E$13:$E$196,$C32)</f>
        <v>0</v>
      </c>
      <c r="F32" s="138">
        <f>SUMIFS('WWSCo IS Pro Forma'!$P$13:$P$196,'WWSCo IS Pro Forma'!$E$13:$E$196,$C32)</f>
        <v>5745.5235199999997</v>
      </c>
      <c r="G32" s="22">
        <f t="shared" si="1"/>
        <v>266905.68352000002</v>
      </c>
    </row>
    <row r="33" spans="2:7" ht="15" customHeight="1" x14ac:dyDescent="0.25">
      <c r="B33" s="78">
        <f>MAX($B$8:B32)+1</f>
        <v>23</v>
      </c>
      <c r="C33" s="85" t="s">
        <v>395</v>
      </c>
      <c r="D33" s="137">
        <f>SUMIFS('WWSCo IS Restatements'!$F$13:$F$196,'WWSCo IS Restatements'!$E$13:$E$196,$C33)</f>
        <v>57884.62999999999</v>
      </c>
      <c r="E33" s="137">
        <f>SUMIFS('WWSCo IS Restatements'!$L$13:$L$196,'WWSCo IS Restatements'!$E$13:$E$196,$C33)</f>
        <v>0</v>
      </c>
      <c r="F33" s="138">
        <f>SUMIFS('WWSCo IS Pro Forma'!$P$13:$P$196,'WWSCo IS Pro Forma'!$E$13:$E$196,$C33)</f>
        <v>1273.4618599999999</v>
      </c>
      <c r="G33" s="22">
        <f t="shared" si="1"/>
        <v>59158.091859999993</v>
      </c>
    </row>
    <row r="34" spans="2:7" ht="15" customHeight="1" x14ac:dyDescent="0.25">
      <c r="B34" s="78">
        <f>MAX($B$8:B33)+1</f>
        <v>24</v>
      </c>
      <c r="C34" s="85" t="s">
        <v>397</v>
      </c>
      <c r="D34" s="137">
        <f>SUMIFS('WWSCo IS Restatements'!$F$13:$F$196,'WWSCo IS Restatements'!$E$13:$E$196,$C34)</f>
        <v>44364.97</v>
      </c>
      <c r="E34" s="137">
        <f>SUMIFS('WWSCo IS Restatements'!$L$13:$L$196,'WWSCo IS Restatements'!$E$13:$E$196,$C34)</f>
        <v>0</v>
      </c>
      <c r="F34" s="138">
        <f>SUMIFS('WWSCo IS Pro Forma'!$P$13:$P$196,'WWSCo IS Pro Forma'!$E$13:$E$196,$C34)</f>
        <v>18902.166666666668</v>
      </c>
      <c r="G34" s="22">
        <f t="shared" si="1"/>
        <v>63267.136666666673</v>
      </c>
    </row>
    <row r="35" spans="2:7" ht="15" customHeight="1" x14ac:dyDescent="0.25">
      <c r="B35" s="78">
        <f>MAX($B$8:B34)+1</f>
        <v>25</v>
      </c>
      <c r="C35" s="85" t="s">
        <v>531</v>
      </c>
      <c r="D35" s="137">
        <f>SUMIFS('WWSCo IS Restatements'!$F$13:$F$196,'WWSCo IS Restatements'!$E$13:$E$196,$C35)</f>
        <v>0</v>
      </c>
      <c r="E35" s="137">
        <f>SUMIFS('WWSCo IS Restatements'!$L$13:$L$196,'WWSCo IS Restatements'!$E$13:$E$196,$C35)</f>
        <v>0</v>
      </c>
      <c r="F35" s="138">
        <f>SUMIFS('WWSCo IS Pro Forma'!$P$13:$P$196,'WWSCo IS Pro Forma'!$E$13:$E$196,$C35)</f>
        <v>0</v>
      </c>
      <c r="G35" s="22">
        <f t="shared" si="1"/>
        <v>0</v>
      </c>
    </row>
    <row r="36" spans="2:7" ht="15" customHeight="1" x14ac:dyDescent="0.25">
      <c r="B36" s="78">
        <f>MAX($B$8:B35)+1</f>
        <v>26</v>
      </c>
      <c r="C36" s="85" t="s">
        <v>393</v>
      </c>
      <c r="D36" s="137">
        <f>SUMIFS('WWSCo IS Restatements'!$F$13:$F$196,'WWSCo IS Restatements'!$E$13:$E$196,$C36)</f>
        <v>106792.97</v>
      </c>
      <c r="E36" s="137">
        <f>SUMIFS('WWSCo IS Restatements'!$L$13:$L$196,'WWSCo IS Restatements'!$E$13:$E$196,$C36)</f>
        <v>-13810.57</v>
      </c>
      <c r="F36" s="138">
        <f>SUMIFS('WWSCo IS Pro Forma'!$P$13:$P$196,'WWSCo IS Pro Forma'!$E$13:$E$196,$C36)</f>
        <v>2045.6128000000001</v>
      </c>
      <c r="G36" s="22">
        <f t="shared" si="1"/>
        <v>95028.012799999997</v>
      </c>
    </row>
    <row r="37" spans="2:7" ht="15" customHeight="1" x14ac:dyDescent="0.25">
      <c r="B37" s="78">
        <f>MAX($B$8:B36)+1</f>
        <v>27</v>
      </c>
      <c r="C37" s="85" t="s">
        <v>390</v>
      </c>
      <c r="D37" s="137">
        <f>SUMIFS('WWSCo IS Restatements'!$F$13:$F$196,'WWSCo IS Restatements'!$E$13:$E$196,$C37)</f>
        <v>504153</v>
      </c>
      <c r="E37" s="137">
        <f>SUMIFS('WWSCo IS Restatements'!$L$13:$L$196,'WWSCo IS Restatements'!$E$13:$E$196,$C37)</f>
        <v>-580.76</v>
      </c>
      <c r="F37" s="138">
        <f>SUMIFS('WWSCo IS Pro Forma'!$P$13:$P$196,'WWSCo IS Pro Forma'!$E$13:$E$196,$C37)</f>
        <v>11078.589280000002</v>
      </c>
      <c r="G37" s="22">
        <f t="shared" si="1"/>
        <v>514650.82928000001</v>
      </c>
    </row>
    <row r="38" spans="2:7" ht="15" customHeight="1" x14ac:dyDescent="0.25">
      <c r="B38" s="78">
        <f>MAX($B$8:B37)+1</f>
        <v>28</v>
      </c>
      <c r="C38" s="85" t="s">
        <v>405</v>
      </c>
      <c r="D38" s="137">
        <f>SUMIFS('WWSCo IS Restatements'!$F$13:$F$196,'WWSCo IS Restatements'!$E$13:$E$196,$C38)</f>
        <v>72401.58</v>
      </c>
      <c r="E38" s="137">
        <f>[4]PFIS!$E$36</f>
        <v>-5466.8852499999921</v>
      </c>
      <c r="F38" s="138">
        <f>SUMIFS('WWSCo IS Pro Forma'!$P$13:$P$196,'WWSCo IS Pro Forma'!$E$13:$E$196,$C38)</f>
        <v>1472.5632845000002</v>
      </c>
      <c r="G38" s="22">
        <f t="shared" si="1"/>
        <v>68407.258034500017</v>
      </c>
    </row>
    <row r="39" spans="2:7" ht="15" customHeight="1" x14ac:dyDescent="0.25">
      <c r="B39" s="78">
        <f>MAX($B$8:B38)+1</f>
        <v>29</v>
      </c>
      <c r="C39" s="85" t="s">
        <v>585</v>
      </c>
      <c r="D39" s="137">
        <f>SUMIFS('WWSCo IS Restatements'!$F$13:$F$196,'WWSCo IS Restatements'!$E$13:$E$196,$C39)</f>
        <v>0</v>
      </c>
      <c r="E39" s="137">
        <f>SUMIFS('WWSCo IS Restatements'!$L$13:$L$196,'WWSCo IS Restatements'!$E$13:$E$196,$C39)</f>
        <v>0</v>
      </c>
      <c r="F39" s="138">
        <f>SUMIFS('WWSCo IS Pro Forma'!$P$13:$P$196,'WWSCo IS Pro Forma'!$E$13:$E$196,$C39)</f>
        <v>0</v>
      </c>
      <c r="G39" s="22">
        <f t="shared" si="1"/>
        <v>0</v>
      </c>
    </row>
    <row r="40" spans="2:7" ht="15" customHeight="1" x14ac:dyDescent="0.25">
      <c r="B40" s="78">
        <f>MAX($B$8:B39)+1</f>
        <v>30</v>
      </c>
      <c r="C40" s="85" t="s">
        <v>406</v>
      </c>
      <c r="D40" s="137">
        <f>SUMIFS('WWSCo IS Restatements'!$F$13:$F$196,'WWSCo IS Restatements'!$E$13:$E$196,$C40)</f>
        <v>1837257.0299999998</v>
      </c>
      <c r="E40" s="137">
        <f>SUMIFS('WWSCo IS Restatements'!$L$13:$L$196,'WWSCo IS Restatements'!$E$13:$E$196,$C40)</f>
        <v>0</v>
      </c>
      <c r="F40" s="138">
        <f>SUMIFS('WWSCo IS Pro Forma'!$P$13:$P$196,'WWSCo IS Pro Forma'!$E$13:$E$196,$C40)</f>
        <v>0</v>
      </c>
      <c r="G40" s="22">
        <f t="shared" si="1"/>
        <v>1837257.0299999998</v>
      </c>
    </row>
    <row r="41" spans="2:7" ht="15" customHeight="1" x14ac:dyDescent="0.25">
      <c r="B41" s="78">
        <f>MAX($B$8:B40)+1</f>
        <v>31</v>
      </c>
      <c r="C41" s="85" t="s">
        <v>410</v>
      </c>
      <c r="D41" s="137">
        <f>SUMIFS('WWSCo IS Restatements'!$F$13:$F$196,'WWSCo IS Restatements'!$E$13:$E$196,$C41)</f>
        <v>721439.98</v>
      </c>
      <c r="E41" s="137">
        <f>SUMIFS('WWSCo IS Restatements'!$L$13:$L$196,'WWSCo IS Restatements'!$E$13:$E$196,$C41)</f>
        <v>0</v>
      </c>
      <c r="F41" s="138">
        <f>SUMIFS('WWSCo IS Pro Forma'!$P$13:$P$196,'WWSCo IS Pro Forma'!$E$13:$E$196,$C41)</f>
        <v>24845</v>
      </c>
      <c r="G41" s="22">
        <f t="shared" si="1"/>
        <v>746284.98</v>
      </c>
    </row>
    <row r="42" spans="2:7" ht="15" customHeight="1" x14ac:dyDescent="0.25">
      <c r="B42" s="78">
        <f>MAX($B$8:B41)+1</f>
        <v>32</v>
      </c>
      <c r="C42" s="85" t="s">
        <v>409</v>
      </c>
      <c r="D42" s="137">
        <f>SUMIFS('WWSCo IS Restatements'!$F$13:$F$196,'WWSCo IS Restatements'!$E$13:$E$196,$C42)</f>
        <v>237847.90000000002</v>
      </c>
      <c r="E42" s="137">
        <f>SUMIFS('WWSCo IS Restatements'!$L$13:$L$196,'WWSCo IS Restatements'!$E$13:$E$196,$C42)</f>
        <v>0</v>
      </c>
      <c r="F42" s="138">
        <f>SUMIFS('WWSCo IS Pro Forma'!$P$13:$P$196,'WWSCo IS Pro Forma'!$E$13:$E$196,$C42)</f>
        <v>32810.786999999982</v>
      </c>
      <c r="G42" s="22">
        <f t="shared" si="1"/>
        <v>270658.68700000003</v>
      </c>
    </row>
    <row r="43" spans="2:7" ht="15" customHeight="1" x14ac:dyDescent="0.25">
      <c r="B43" s="78">
        <f>MAX($B$8:B42)+1</f>
        <v>33</v>
      </c>
      <c r="C43" s="85" t="s">
        <v>408</v>
      </c>
      <c r="D43" s="137">
        <f>SUMIFS('WWSCo IS Restatements'!$F$13:$F$196,'WWSCo IS Restatements'!$E$13:$E$196,$C43)</f>
        <v>200791.87000000002</v>
      </c>
      <c r="E43" s="137">
        <f>SUMIFS('WWSCo IS Restatements'!$L$13:$L$196,'WWSCo IS Restatements'!$E$13:$E$196,$C43)</f>
        <v>0</v>
      </c>
      <c r="F43" s="138">
        <f>SUMIFS('WWSCo IS Pro Forma'!$P$13:$P$196,'WWSCo IS Pro Forma'!$E$13:$E$196,$C43)</f>
        <v>0</v>
      </c>
      <c r="G43" s="22">
        <f t="shared" si="1"/>
        <v>200791.87000000002</v>
      </c>
    </row>
    <row r="44" spans="2:7" ht="15" customHeight="1" x14ac:dyDescent="0.25">
      <c r="B44" s="78">
        <f>MAX($B$8:B43)+1</f>
        <v>34</v>
      </c>
      <c r="C44" s="85" t="s">
        <v>401</v>
      </c>
      <c r="D44" s="137">
        <f>SUMIFS('WWSCo IS Restatements'!$F$13:$F$196,'WWSCo IS Restatements'!$E$13:$E$196,$C44)</f>
        <v>23780.050000000003</v>
      </c>
      <c r="E44" s="137">
        <f>SUMIFS('WWSCo IS Restatements'!$L$13:$L$196,'WWSCo IS Restatements'!$E$13:$E$196,$C44)</f>
        <v>0</v>
      </c>
      <c r="F44" s="138">
        <f>SUMIFS('WWSCo IS Pro Forma'!$P$13:$P$196,'WWSCo IS Pro Forma'!$E$13:$E$196,$C44)</f>
        <v>508.56718000000001</v>
      </c>
      <c r="G44" s="22">
        <f t="shared" si="1"/>
        <v>24288.617180000001</v>
      </c>
    </row>
    <row r="45" spans="2:7" ht="15" customHeight="1" x14ac:dyDescent="0.25">
      <c r="B45" s="78">
        <f>MAX($B$8:B44)+1</f>
        <v>35</v>
      </c>
      <c r="C45" s="85" t="s">
        <v>363</v>
      </c>
      <c r="D45" s="137">
        <f>SUMIFS('WWSCo IS Restatements'!$F$13:$F$196,'WWSCo IS Restatements'!$E$13:$E$196,$C45)</f>
        <v>179080.95999999996</v>
      </c>
      <c r="E45" s="137">
        <f>SUMIFS('WWSCo IS Restatements'!$L$13:$L$196,'WWSCo IS Restatements'!$E$13:$E$196,$C45)</f>
        <v>-71436.5</v>
      </c>
      <c r="F45" s="138">
        <f ca="1">SUMIFS('WWSCo IS Pro Forma'!$P$13:$P$196,'WWSCo IS Pro Forma'!$E$13:$E$196,$C45)</f>
        <v>-573271.01763062365</v>
      </c>
      <c r="G45" s="22">
        <f t="shared" ca="1" si="1"/>
        <v>-465626.55763062369</v>
      </c>
    </row>
    <row r="46" spans="2:7" ht="3.75" customHeight="1" x14ac:dyDescent="0.25">
      <c r="B46" s="78"/>
      <c r="C46" s="83"/>
      <c r="D46" s="22"/>
      <c r="E46" s="22"/>
      <c r="F46" s="22"/>
      <c r="G46" s="23"/>
    </row>
    <row r="47" spans="2:7" ht="15" customHeight="1" x14ac:dyDescent="0.25">
      <c r="B47" s="88">
        <f>MAX($B$8:B46)+1</f>
        <v>36</v>
      </c>
      <c r="C47" s="87" t="s">
        <v>590</v>
      </c>
      <c r="D47" s="22"/>
      <c r="E47" s="22"/>
      <c r="F47" s="22"/>
      <c r="G47" s="23"/>
    </row>
    <row r="48" spans="2:7" ht="15" customHeight="1" x14ac:dyDescent="0.25">
      <c r="B48" s="78">
        <f>MAX($B$8:B47)+1</f>
        <v>37</v>
      </c>
      <c r="C48" s="83" t="s">
        <v>413</v>
      </c>
      <c r="D48" s="137">
        <f>SUMIFS('WWSCo IS Restatements'!$F$13:$F$196,'WWSCo IS Restatements'!$E$13:$E$196,$C48)</f>
        <v>433423.37</v>
      </c>
      <c r="E48" s="137">
        <f>SUMIFS('WWSCo IS Restatements'!$L$13:$L$196,'WWSCo IS Restatements'!$E$13:$E$196,$C48)</f>
        <v>0</v>
      </c>
      <c r="F48" s="138">
        <f>SUMIFS('WWSCo IS Pro Forma'!$P$13:$P$196,'WWSCo IS Pro Forma'!$E$13:$E$196,$C49)</f>
        <v>0</v>
      </c>
      <c r="G48" s="22">
        <f>SUM(D48:F48)</f>
        <v>433423.37</v>
      </c>
    </row>
    <row r="49" spans="2:7" ht="15" customHeight="1" x14ac:dyDescent="0.25">
      <c r="B49" s="78">
        <f>MAX($B$8:B48)+1</f>
        <v>38</v>
      </c>
      <c r="C49" s="83" t="s">
        <v>407</v>
      </c>
      <c r="D49" s="137">
        <f>SUMIFS('WWSCo IS Restatements'!$F$13:$F$196,'WWSCo IS Restatements'!$E$13:$E$196,$C49)</f>
        <v>381906.08999999997</v>
      </c>
      <c r="E49" s="137">
        <f>SUMIFS('WWSCo IS Restatements'!$L$13:$L$196,'WWSCo IS Restatements'!$E$13:$E$196,$C49)</f>
        <v>19908.240000000002</v>
      </c>
      <c r="F49" s="138">
        <f>SUMIFS('WWSCo IS Pro Forma'!$P$13:$P$196,'WWSCo IS Pro Forma'!$E$13:$E$196,$C50)</f>
        <v>0</v>
      </c>
      <c r="G49" s="22">
        <f t="shared" ref="G49" si="2">SUM(D49:F49)</f>
        <v>401814.32999999996</v>
      </c>
    </row>
    <row r="50" spans="2:7" ht="15" customHeight="1" x14ac:dyDescent="0.25">
      <c r="B50" s="78"/>
      <c r="C50" s="83"/>
      <c r="D50" s="22"/>
      <c r="E50" s="22"/>
      <c r="F50" s="22"/>
      <c r="G50" s="23"/>
    </row>
    <row r="51" spans="2:7" ht="15" customHeight="1" x14ac:dyDescent="0.25">
      <c r="B51" s="78">
        <f>MAX($B$8:B50)+1</f>
        <v>39</v>
      </c>
      <c r="C51" s="82" t="s">
        <v>592</v>
      </c>
      <c r="D51" s="22"/>
      <c r="E51" s="22"/>
      <c r="F51" s="22"/>
      <c r="G51" s="23"/>
    </row>
    <row r="52" spans="2:7" ht="15" customHeight="1" x14ac:dyDescent="0.25">
      <c r="B52" s="78">
        <f>MAX($B$8:B51)+1</f>
        <v>40</v>
      </c>
      <c r="C52" s="87" t="s">
        <v>593</v>
      </c>
      <c r="D52" s="22"/>
      <c r="E52" s="22"/>
      <c r="F52" s="22"/>
      <c r="G52" s="23"/>
    </row>
    <row r="53" spans="2:7" ht="15" customHeight="1" x14ac:dyDescent="0.25">
      <c r="B53" s="78">
        <f>MAX($B$8:B52)+1</f>
        <v>41</v>
      </c>
      <c r="C53" s="83" t="s">
        <v>347</v>
      </c>
      <c r="D53" s="22">
        <v>4891554.3</v>
      </c>
      <c r="E53" s="22"/>
      <c r="F53" s="22"/>
      <c r="G53" s="22">
        <f t="shared" ref="G53:G66" si="3">SUM(D53:F53)</f>
        <v>4891554.3</v>
      </c>
    </row>
    <row r="54" spans="2:7" ht="15" customHeight="1" x14ac:dyDescent="0.25">
      <c r="B54" s="78">
        <f>MAX($B$8:B53)+1</f>
        <v>42</v>
      </c>
      <c r="C54" s="83" t="s">
        <v>348</v>
      </c>
      <c r="D54" s="22">
        <v>132700.26</v>
      </c>
      <c r="E54" s="22"/>
      <c r="F54" s="22"/>
      <c r="G54" s="22">
        <f t="shared" si="3"/>
        <v>132700.26</v>
      </c>
    </row>
    <row r="55" spans="2:7" ht="15" customHeight="1" x14ac:dyDescent="0.25">
      <c r="B55" s="78">
        <f>MAX($B$8:B54)+1</f>
        <v>43</v>
      </c>
      <c r="C55" s="83" t="s">
        <v>594</v>
      </c>
      <c r="D55" s="22">
        <v>0</v>
      </c>
      <c r="E55" s="22"/>
      <c r="F55" s="22"/>
      <c r="G55" s="22">
        <f t="shared" si="3"/>
        <v>0</v>
      </c>
    </row>
    <row r="56" spans="2:7" ht="15" customHeight="1" x14ac:dyDescent="0.25">
      <c r="B56" s="78">
        <f>MAX($B$8:B55)+1</f>
        <v>44</v>
      </c>
      <c r="C56" s="83" t="s">
        <v>349</v>
      </c>
      <c r="D56" s="22">
        <v>770776.47000000009</v>
      </c>
      <c r="E56" s="22"/>
      <c r="F56" s="22"/>
      <c r="G56" s="22">
        <f t="shared" si="3"/>
        <v>770776.47000000009</v>
      </c>
    </row>
    <row r="57" spans="2:7" ht="15" customHeight="1" x14ac:dyDescent="0.25">
      <c r="B57" s="78">
        <f>MAX($B$8:B56)+1</f>
        <v>45</v>
      </c>
      <c r="C57" s="83" t="s">
        <v>595</v>
      </c>
      <c r="D57" s="22">
        <v>0</v>
      </c>
      <c r="E57" s="22"/>
      <c r="F57" s="22"/>
      <c r="G57" s="22">
        <f t="shared" si="3"/>
        <v>0</v>
      </c>
    </row>
    <row r="58" spans="2:7" ht="15" customHeight="1" x14ac:dyDescent="0.25">
      <c r="B58" s="78">
        <f>MAX($B$8:B57)+1</f>
        <v>46</v>
      </c>
      <c r="C58" s="83" t="s">
        <v>354</v>
      </c>
      <c r="D58" s="22">
        <v>0</v>
      </c>
      <c r="E58" s="22"/>
      <c r="F58" s="22"/>
      <c r="G58" s="22">
        <f t="shared" si="3"/>
        <v>0</v>
      </c>
    </row>
    <row r="59" spans="2:7" ht="15" customHeight="1" x14ac:dyDescent="0.25">
      <c r="B59" s="78">
        <f>MAX($B$8:B58)+1</f>
        <v>47</v>
      </c>
      <c r="C59" s="83" t="s">
        <v>596</v>
      </c>
      <c r="D59" s="22">
        <v>0</v>
      </c>
      <c r="E59" s="22"/>
      <c r="F59" s="22"/>
      <c r="G59" s="22">
        <f t="shared" si="3"/>
        <v>0</v>
      </c>
    </row>
    <row r="60" spans="2:7" ht="15" customHeight="1" x14ac:dyDescent="0.25">
      <c r="B60" s="78">
        <f>MAX($B$8:B59)+1</f>
        <v>48</v>
      </c>
      <c r="C60" s="83" t="s">
        <v>351</v>
      </c>
      <c r="D60" s="22">
        <v>437870.36</v>
      </c>
      <c r="E60" s="22"/>
      <c r="F60" s="22"/>
      <c r="G60" s="22">
        <f t="shared" si="3"/>
        <v>437870.36</v>
      </c>
    </row>
    <row r="61" spans="2:7" ht="15" customHeight="1" x14ac:dyDescent="0.25">
      <c r="B61" s="78">
        <f>MAX($B$8:B60)+1</f>
        <v>49</v>
      </c>
      <c r="C61" s="83" t="s">
        <v>352</v>
      </c>
      <c r="D61" s="22">
        <v>237252.55999999997</v>
      </c>
      <c r="E61" s="22"/>
      <c r="F61" s="22"/>
      <c r="G61" s="22">
        <f t="shared" si="3"/>
        <v>237252.55999999997</v>
      </c>
    </row>
    <row r="62" spans="2:7" ht="15" customHeight="1" x14ac:dyDescent="0.25">
      <c r="B62" s="78">
        <f>MAX($B$8:B61)+1</f>
        <v>50</v>
      </c>
      <c r="C62" s="83" t="s">
        <v>597</v>
      </c>
      <c r="D62" s="22">
        <v>0</v>
      </c>
      <c r="E62" s="22"/>
      <c r="F62" s="22"/>
      <c r="G62" s="22">
        <f t="shared" si="3"/>
        <v>0</v>
      </c>
    </row>
    <row r="63" spans="2:7" ht="15" customHeight="1" x14ac:dyDescent="0.25">
      <c r="B63" s="78">
        <f>MAX($B$8:B62)+1</f>
        <v>51</v>
      </c>
      <c r="C63" s="83" t="s">
        <v>598</v>
      </c>
      <c r="D63" s="22">
        <v>0</v>
      </c>
      <c r="E63" s="22"/>
      <c r="F63" s="22"/>
      <c r="G63" s="22">
        <f t="shared" si="3"/>
        <v>0</v>
      </c>
    </row>
    <row r="64" spans="2:7" ht="15" customHeight="1" x14ac:dyDescent="0.25">
      <c r="B64" s="78">
        <f>MAX($B$8:B63)+1</f>
        <v>52</v>
      </c>
      <c r="C64" s="83" t="s">
        <v>350</v>
      </c>
      <c r="D64" s="22">
        <v>558871.3899999999</v>
      </c>
      <c r="E64" s="22"/>
      <c r="F64" s="22"/>
      <c r="G64" s="22">
        <f t="shared" si="3"/>
        <v>558871.3899999999</v>
      </c>
    </row>
    <row r="65" spans="2:7" ht="15" customHeight="1" x14ac:dyDescent="0.25">
      <c r="B65" s="78">
        <f>MAX($B$8:B64)+1</f>
        <v>53</v>
      </c>
      <c r="C65" s="83" t="s">
        <v>599</v>
      </c>
      <c r="D65" s="22">
        <v>0</v>
      </c>
      <c r="E65" s="22"/>
      <c r="F65" s="22"/>
      <c r="G65" s="22">
        <f t="shared" si="3"/>
        <v>0</v>
      </c>
    </row>
    <row r="66" spans="2:7" ht="15" customHeight="1" x14ac:dyDescent="0.25">
      <c r="B66" s="78">
        <f>MAX($B$8:B65)+1</f>
        <v>54</v>
      </c>
      <c r="C66" s="83" t="s">
        <v>353</v>
      </c>
      <c r="D66" s="22">
        <v>3103515.36</v>
      </c>
      <c r="E66" s="22"/>
      <c r="F66" s="22"/>
      <c r="G66" s="22">
        <f t="shared" si="3"/>
        <v>3103515.36</v>
      </c>
    </row>
    <row r="67" spans="2:7" ht="15" customHeight="1" x14ac:dyDescent="0.25">
      <c r="B67" s="78"/>
      <c r="C67" s="83"/>
      <c r="D67" s="22"/>
      <c r="E67" s="22"/>
      <c r="F67" s="22"/>
      <c r="G67" s="23"/>
    </row>
    <row r="68" spans="2:7" ht="15" customHeight="1" x14ac:dyDescent="0.25">
      <c r="B68" s="78">
        <f>MAX($B$8:B67)+1</f>
        <v>55</v>
      </c>
      <c r="C68" s="87" t="s">
        <v>341</v>
      </c>
      <c r="D68" s="22"/>
      <c r="E68" s="22"/>
      <c r="F68" s="22"/>
      <c r="G68" s="23"/>
    </row>
    <row r="69" spans="2:7" ht="15" customHeight="1" x14ac:dyDescent="0.25">
      <c r="B69" s="78">
        <f>MAX($B$8:B68)+1</f>
        <v>56</v>
      </c>
      <c r="C69" s="83" t="s">
        <v>341</v>
      </c>
      <c r="D69" s="22">
        <v>63089271.399999991</v>
      </c>
      <c r="E69" s="22"/>
      <c r="F69" s="22"/>
      <c r="G69" s="22">
        <f t="shared" ref="G69:G80" si="4">SUM(D69:F69)</f>
        <v>63089271.399999991</v>
      </c>
    </row>
    <row r="70" spans="2:7" ht="15" customHeight="1" x14ac:dyDescent="0.25">
      <c r="B70" s="78">
        <f>MAX($B$8:B69)+1</f>
        <v>57</v>
      </c>
      <c r="C70" s="83" t="s">
        <v>600</v>
      </c>
      <c r="D70" s="22">
        <v>0</v>
      </c>
      <c r="E70" s="22"/>
      <c r="F70" s="22"/>
      <c r="G70" s="22">
        <f t="shared" si="4"/>
        <v>0</v>
      </c>
    </row>
    <row r="71" spans="2:7" ht="15" customHeight="1" x14ac:dyDescent="0.25">
      <c r="B71" s="78">
        <f>MAX($B$8:B70)+1</f>
        <v>58</v>
      </c>
      <c r="C71" s="83" t="s">
        <v>345</v>
      </c>
      <c r="D71" s="22">
        <v>-24641936.780000001</v>
      </c>
      <c r="E71" s="22"/>
      <c r="F71" s="22"/>
      <c r="G71" s="22">
        <f t="shared" si="4"/>
        <v>-24641936.780000001</v>
      </c>
    </row>
    <row r="72" spans="2:7" ht="15" customHeight="1" x14ac:dyDescent="0.25">
      <c r="B72" s="78">
        <f>MAX($B$8:B71)+1</f>
        <v>59</v>
      </c>
      <c r="C72" s="83" t="s">
        <v>343</v>
      </c>
      <c r="D72" s="22">
        <v>2591142.09</v>
      </c>
      <c r="E72" s="22"/>
      <c r="F72" s="22"/>
      <c r="G72" s="22">
        <f t="shared" si="4"/>
        <v>2591142.09</v>
      </c>
    </row>
    <row r="73" spans="2:7" ht="15" customHeight="1" x14ac:dyDescent="0.25">
      <c r="B73" s="78">
        <f>MAX($B$8:B72)+1</f>
        <v>60</v>
      </c>
      <c r="C73" s="83" t="s">
        <v>601</v>
      </c>
      <c r="D73" s="22">
        <v>0</v>
      </c>
      <c r="E73" s="22"/>
      <c r="F73" s="22"/>
      <c r="G73" s="22">
        <f t="shared" si="4"/>
        <v>0</v>
      </c>
    </row>
    <row r="74" spans="2:7" ht="15" customHeight="1" x14ac:dyDescent="0.25">
      <c r="B74" s="78">
        <f>MAX($B$8:B73)+1</f>
        <v>61</v>
      </c>
      <c r="C74" s="83" t="s">
        <v>602</v>
      </c>
      <c r="D74" s="22">
        <v>0</v>
      </c>
      <c r="E74" s="22"/>
      <c r="F74" s="22"/>
      <c r="G74" s="22">
        <f t="shared" si="4"/>
        <v>0</v>
      </c>
    </row>
    <row r="75" spans="2:7" ht="15" customHeight="1" x14ac:dyDescent="0.25">
      <c r="B75" s="78">
        <f>MAX($B$8:B74)+1</f>
        <v>62</v>
      </c>
      <c r="C75" s="83" t="s">
        <v>346</v>
      </c>
      <c r="D75" s="22">
        <v>0</v>
      </c>
      <c r="E75" s="22"/>
      <c r="F75" s="22"/>
      <c r="G75" s="22">
        <f t="shared" si="4"/>
        <v>0</v>
      </c>
    </row>
    <row r="76" spans="2:7" ht="15" customHeight="1" x14ac:dyDescent="0.25">
      <c r="B76" s="78">
        <f>MAX($B$8:B75)+1</f>
        <v>63</v>
      </c>
      <c r="C76" s="83" t="s">
        <v>344</v>
      </c>
      <c r="D76" s="22">
        <v>404385.61</v>
      </c>
      <c r="E76" s="22"/>
      <c r="F76" s="22"/>
      <c r="G76" s="22">
        <f t="shared" si="4"/>
        <v>404385.61</v>
      </c>
    </row>
    <row r="77" spans="2:7" ht="15" customHeight="1" x14ac:dyDescent="0.25">
      <c r="B77" s="78">
        <f>MAX($B$8:B76)+1</f>
        <v>64</v>
      </c>
      <c r="C77" s="83" t="s">
        <v>1049</v>
      </c>
      <c r="D77" s="22">
        <v>-1930701.4699999997</v>
      </c>
      <c r="E77" s="22"/>
      <c r="F77" s="22"/>
      <c r="G77" s="22">
        <f t="shared" si="4"/>
        <v>-1930701.4699999997</v>
      </c>
    </row>
    <row r="78" spans="2:7" ht="15" customHeight="1" x14ac:dyDescent="0.25">
      <c r="B78" s="78">
        <f>MAX($B$8:B77)+1</f>
        <v>65</v>
      </c>
      <c r="C78" s="83" t="s">
        <v>604</v>
      </c>
      <c r="D78" s="22">
        <v>0</v>
      </c>
      <c r="E78" s="22"/>
      <c r="F78" s="22"/>
      <c r="G78" s="22">
        <f t="shared" si="4"/>
        <v>0</v>
      </c>
    </row>
    <row r="79" spans="2:7" ht="15" customHeight="1" x14ac:dyDescent="0.25">
      <c r="B79" s="78">
        <f>MAX($B$8:B78)+1</f>
        <v>66</v>
      </c>
      <c r="C79" s="83" t="s">
        <v>605</v>
      </c>
      <c r="D79" s="22">
        <v>0</v>
      </c>
      <c r="E79" s="22"/>
      <c r="F79" s="22"/>
      <c r="G79" s="22">
        <f t="shared" si="4"/>
        <v>0</v>
      </c>
    </row>
    <row r="80" spans="2:7" ht="15" customHeight="1" x14ac:dyDescent="0.25">
      <c r="B80" s="78">
        <f>MAX($B$8:B79)+1</f>
        <v>67</v>
      </c>
      <c r="C80" s="83" t="s">
        <v>342</v>
      </c>
      <c r="D80" s="22">
        <v>169668.93000000005</v>
      </c>
      <c r="E80" s="22"/>
      <c r="F80" s="22"/>
      <c r="G80" s="22">
        <f t="shared" si="4"/>
        <v>169668.93000000005</v>
      </c>
    </row>
    <row r="81" spans="2:7" ht="15" customHeight="1" x14ac:dyDescent="0.25">
      <c r="B81" s="78"/>
      <c r="C81" s="83"/>
      <c r="D81" s="22"/>
      <c r="E81" s="22"/>
      <c r="F81" s="22"/>
      <c r="G81" s="23"/>
    </row>
    <row r="82" spans="2:7" ht="15" customHeight="1" x14ac:dyDescent="0.25">
      <c r="B82" s="78">
        <f>MAX($B$8:B81)+1</f>
        <v>68</v>
      </c>
      <c r="C82" s="87" t="s">
        <v>610</v>
      </c>
      <c r="D82" s="22"/>
      <c r="E82" s="22"/>
      <c r="F82" s="22"/>
      <c r="G82" s="23"/>
    </row>
    <row r="83" spans="2:7" ht="15" customHeight="1" x14ac:dyDescent="0.25">
      <c r="B83" s="78">
        <f>MAX($B$8:B82)+1</f>
        <v>69</v>
      </c>
      <c r="C83" s="83" t="s">
        <v>364</v>
      </c>
      <c r="D83" s="22">
        <v>0</v>
      </c>
      <c r="E83" s="22"/>
      <c r="F83" s="22"/>
      <c r="G83" s="22">
        <f t="shared" ref="G83:G92" si="5">SUM(D83:F83)</f>
        <v>0</v>
      </c>
    </row>
    <row r="84" spans="2:7" ht="15" customHeight="1" x14ac:dyDescent="0.25">
      <c r="B84" s="78">
        <f>MAX($B$8:B83)+1</f>
        <v>70</v>
      </c>
      <c r="C84" s="83" t="s">
        <v>359</v>
      </c>
      <c r="D84" s="22">
        <v>-555494.54</v>
      </c>
      <c r="E84" s="22"/>
      <c r="F84" s="22"/>
      <c r="G84" s="22">
        <f t="shared" si="5"/>
        <v>-555494.54</v>
      </c>
    </row>
    <row r="85" spans="2:7" ht="15" customHeight="1" x14ac:dyDescent="0.25">
      <c r="B85" s="78">
        <f>MAX($B$8:B84)+1</f>
        <v>71</v>
      </c>
      <c r="C85" s="83" t="s">
        <v>358</v>
      </c>
      <c r="D85" s="22">
        <v>-17445357.18</v>
      </c>
      <c r="E85" s="22"/>
      <c r="F85" s="22"/>
      <c r="G85" s="22">
        <f t="shared" si="5"/>
        <v>-17445357.18</v>
      </c>
    </row>
    <row r="86" spans="2:7" ht="15" customHeight="1" x14ac:dyDescent="0.25">
      <c r="B86" s="78">
        <f>MAX($B$8:B85)+1</f>
        <v>72</v>
      </c>
      <c r="C86" s="83" t="s">
        <v>360</v>
      </c>
      <c r="D86" s="22">
        <v>-2E-3</v>
      </c>
      <c r="E86" s="22"/>
      <c r="F86" s="22"/>
      <c r="G86" s="22">
        <f t="shared" si="5"/>
        <v>-2E-3</v>
      </c>
    </row>
    <row r="87" spans="2:7" ht="15" customHeight="1" x14ac:dyDescent="0.25">
      <c r="B87" s="78">
        <f>MAX($B$8:B86)+1</f>
        <v>73</v>
      </c>
      <c r="C87" s="83" t="s">
        <v>361</v>
      </c>
      <c r="D87" s="22">
        <v>-25000</v>
      </c>
      <c r="E87" s="22"/>
      <c r="F87" s="22"/>
      <c r="G87" s="22">
        <f t="shared" si="5"/>
        <v>-25000</v>
      </c>
    </row>
    <row r="88" spans="2:7" ht="15" customHeight="1" x14ac:dyDescent="0.25">
      <c r="B88" s="78">
        <f>MAX($B$8:B87)+1</f>
        <v>74</v>
      </c>
      <c r="C88" s="83" t="s">
        <v>606</v>
      </c>
      <c r="D88" s="22">
        <v>0</v>
      </c>
      <c r="E88" s="22"/>
      <c r="F88" s="22"/>
      <c r="G88" s="22">
        <f t="shared" si="5"/>
        <v>0</v>
      </c>
    </row>
    <row r="89" spans="2:7" ht="15" customHeight="1" x14ac:dyDescent="0.25">
      <c r="B89" s="78">
        <f>MAX($B$8:B88)+1</f>
        <v>75</v>
      </c>
      <c r="C89" s="83" t="s">
        <v>607</v>
      </c>
      <c r="D89" s="22">
        <v>0</v>
      </c>
      <c r="E89" s="22"/>
      <c r="F89" s="22"/>
      <c r="G89" s="22">
        <f t="shared" si="5"/>
        <v>0</v>
      </c>
    </row>
    <row r="90" spans="2:7" ht="15" customHeight="1" x14ac:dyDescent="0.25">
      <c r="B90" s="78">
        <f>MAX($B$8:B89)+1</f>
        <v>76</v>
      </c>
      <c r="C90" s="83" t="s">
        <v>608</v>
      </c>
      <c r="D90" s="22">
        <v>0</v>
      </c>
      <c r="E90" s="22"/>
      <c r="F90" s="22"/>
      <c r="G90" s="22">
        <f t="shared" si="5"/>
        <v>0</v>
      </c>
    </row>
    <row r="91" spans="2:7" ht="15" customHeight="1" x14ac:dyDescent="0.25">
      <c r="B91" s="78">
        <f>MAX($B$8:B90)+1</f>
        <v>77</v>
      </c>
      <c r="C91" s="83" t="s">
        <v>609</v>
      </c>
      <c r="D91" s="22">
        <v>0</v>
      </c>
      <c r="E91" s="22"/>
      <c r="F91" s="22"/>
      <c r="G91" s="22">
        <f t="shared" si="5"/>
        <v>0</v>
      </c>
    </row>
    <row r="92" spans="2:7" ht="15" customHeight="1" x14ac:dyDescent="0.25">
      <c r="B92" s="78">
        <f>MAX($B$8:B91)+1</f>
        <v>78</v>
      </c>
      <c r="C92" s="83" t="s">
        <v>362</v>
      </c>
      <c r="D92" s="22">
        <v>-6166548.6579999998</v>
      </c>
      <c r="E92" s="22"/>
      <c r="F92" s="22"/>
      <c r="G92" s="22">
        <f t="shared" si="5"/>
        <v>-6166548.6579999998</v>
      </c>
    </row>
    <row r="93" spans="2:7" ht="15" customHeight="1" x14ac:dyDescent="0.25">
      <c r="B93" s="78"/>
      <c r="C93" s="83"/>
      <c r="D93" s="22"/>
      <c r="E93" s="22"/>
      <c r="F93" s="22"/>
      <c r="G93" s="23"/>
    </row>
    <row r="94" spans="2:7" ht="15" customHeight="1" x14ac:dyDescent="0.25">
      <c r="B94" s="78">
        <f>MAX($B$8:B93)+1</f>
        <v>79</v>
      </c>
      <c r="C94" s="87" t="s">
        <v>611</v>
      </c>
      <c r="D94" s="22"/>
      <c r="E94" s="22"/>
      <c r="F94" s="22"/>
      <c r="G94" s="23"/>
    </row>
    <row r="95" spans="2:7" ht="15" customHeight="1" x14ac:dyDescent="0.25">
      <c r="B95" s="78">
        <f>MAX($B$8:B94)+1</f>
        <v>80</v>
      </c>
      <c r="C95" s="83" t="s">
        <v>612</v>
      </c>
      <c r="D95" s="22">
        <v>0</v>
      </c>
      <c r="E95" s="22"/>
      <c r="F95" s="22"/>
      <c r="G95" s="22">
        <f t="shared" ref="G95:G99" si="6">SUM(D95:F95)</f>
        <v>0</v>
      </c>
    </row>
    <row r="96" spans="2:7" ht="15" customHeight="1" x14ac:dyDescent="0.25">
      <c r="B96" s="78">
        <f>MAX($B$8:B95)+1</f>
        <v>81</v>
      </c>
      <c r="C96" s="83" t="s">
        <v>381</v>
      </c>
      <c r="D96" s="22">
        <v>-429693.23</v>
      </c>
      <c r="E96" s="22"/>
      <c r="F96" s="22"/>
      <c r="G96" s="22">
        <f t="shared" si="6"/>
        <v>-429693.23</v>
      </c>
    </row>
    <row r="97" spans="2:7" ht="15" customHeight="1" x14ac:dyDescent="0.25">
      <c r="B97" s="78">
        <f>MAX($B$8:B96)+1</f>
        <v>82</v>
      </c>
      <c r="C97" s="83" t="s">
        <v>382</v>
      </c>
      <c r="D97" s="22">
        <v>-16754922.059999995</v>
      </c>
      <c r="E97" s="22"/>
      <c r="F97" s="22"/>
      <c r="G97" s="22">
        <f t="shared" si="6"/>
        <v>-16754922.059999995</v>
      </c>
    </row>
    <row r="98" spans="2:7" ht="15" customHeight="1" x14ac:dyDescent="0.25">
      <c r="B98" s="78">
        <f>MAX($B$8:B97)+1</f>
        <v>83</v>
      </c>
      <c r="C98" s="83" t="s">
        <v>383</v>
      </c>
      <c r="D98" s="22">
        <v>8607510.3699999992</v>
      </c>
      <c r="E98" s="22"/>
      <c r="F98" s="22"/>
      <c r="G98" s="22">
        <f t="shared" si="6"/>
        <v>8607510.3699999992</v>
      </c>
    </row>
    <row r="99" spans="2:7" ht="15" customHeight="1" x14ac:dyDescent="0.25">
      <c r="B99" s="78">
        <f>MAX($B$8:B98)+1</f>
        <v>84</v>
      </c>
      <c r="C99" s="83" t="s">
        <v>613</v>
      </c>
      <c r="D99" s="22">
        <v>0</v>
      </c>
      <c r="E99" s="22"/>
      <c r="F99" s="22"/>
      <c r="G99" s="22">
        <f t="shared" si="6"/>
        <v>0</v>
      </c>
    </row>
    <row r="100" spans="2:7" ht="15" customHeight="1" x14ac:dyDescent="0.25">
      <c r="B100" s="78"/>
      <c r="C100" s="83"/>
      <c r="D100" s="22"/>
      <c r="E100" s="22"/>
      <c r="F100" s="22"/>
      <c r="G100" s="23"/>
    </row>
    <row r="101" spans="2:7" ht="15" customHeight="1" x14ac:dyDescent="0.25">
      <c r="B101" s="78">
        <f>MAX($B$8:B100)+1</f>
        <v>85</v>
      </c>
      <c r="C101" s="87" t="s">
        <v>617</v>
      </c>
      <c r="D101" s="22"/>
      <c r="E101" s="22"/>
      <c r="F101" s="22"/>
      <c r="G101" s="23"/>
    </row>
    <row r="102" spans="2:7" ht="15" customHeight="1" x14ac:dyDescent="0.25">
      <c r="B102" s="78">
        <f>MAX($B$8:B101)+1</f>
        <v>86</v>
      </c>
      <c r="C102" s="83" t="s">
        <v>355</v>
      </c>
      <c r="D102" s="22">
        <v>-6126856.6800000034</v>
      </c>
      <c r="E102" s="22"/>
      <c r="F102" s="22"/>
      <c r="G102" s="22">
        <f t="shared" ref="G102:G107" si="7">SUM(D102:F102)</f>
        <v>-6126856.6800000034</v>
      </c>
    </row>
    <row r="103" spans="2:7" ht="15" customHeight="1" x14ac:dyDescent="0.25">
      <c r="B103" s="78">
        <f>MAX($B$8:B102)+1</f>
        <v>87</v>
      </c>
      <c r="C103" s="83" t="s">
        <v>357</v>
      </c>
      <c r="D103" s="22">
        <v>0</v>
      </c>
      <c r="E103" s="22"/>
      <c r="F103" s="22"/>
      <c r="G103" s="22">
        <f t="shared" si="7"/>
        <v>0</v>
      </c>
    </row>
    <row r="104" spans="2:7" ht="15" customHeight="1" x14ac:dyDescent="0.25">
      <c r="B104" s="78">
        <f>MAX($B$8:B103)+1</f>
        <v>88</v>
      </c>
      <c r="C104" s="83" t="s">
        <v>614</v>
      </c>
      <c r="D104" s="22">
        <v>0</v>
      </c>
      <c r="E104" s="22"/>
      <c r="F104" s="22"/>
      <c r="G104" s="22">
        <f t="shared" si="7"/>
        <v>0</v>
      </c>
    </row>
    <row r="105" spans="2:7" ht="15" customHeight="1" x14ac:dyDescent="0.25">
      <c r="B105" s="78">
        <f>MAX($B$8:B104)+1</f>
        <v>89</v>
      </c>
      <c r="C105" s="83" t="s">
        <v>615</v>
      </c>
      <c r="D105" s="22">
        <v>0</v>
      </c>
      <c r="E105" s="22"/>
      <c r="F105" s="22"/>
      <c r="G105" s="22">
        <f t="shared" si="7"/>
        <v>0</v>
      </c>
    </row>
    <row r="106" spans="2:7" ht="15" customHeight="1" x14ac:dyDescent="0.25">
      <c r="B106" s="78">
        <f>MAX($B$8:B105)+1</f>
        <v>90</v>
      </c>
      <c r="C106" s="83" t="s">
        <v>616</v>
      </c>
      <c r="D106" s="22">
        <v>0</v>
      </c>
      <c r="E106" s="22"/>
      <c r="F106" s="22"/>
      <c r="G106" s="22">
        <f t="shared" si="7"/>
        <v>0</v>
      </c>
    </row>
    <row r="107" spans="2:7" ht="15" customHeight="1" x14ac:dyDescent="0.25">
      <c r="B107" s="78">
        <f>MAX($B$8:B106)+1</f>
        <v>91</v>
      </c>
      <c r="C107" s="83" t="s">
        <v>356</v>
      </c>
      <c r="D107" s="22">
        <v>-7864346.8200000022</v>
      </c>
      <c r="E107" s="22"/>
      <c r="F107" s="22"/>
      <c r="G107" s="22">
        <f t="shared" si="7"/>
        <v>-7864346.8200000022</v>
      </c>
    </row>
    <row r="108" spans="2:7" ht="15" customHeight="1" x14ac:dyDescent="0.25">
      <c r="B108" s="78"/>
      <c r="C108" s="83"/>
      <c r="D108" s="22"/>
      <c r="E108" s="22"/>
      <c r="F108" s="22"/>
    </row>
    <row r="109" spans="2:7" ht="15" customHeight="1" x14ac:dyDescent="0.25">
      <c r="B109" s="78"/>
      <c r="C109" s="83"/>
      <c r="D109" s="22"/>
      <c r="E109" s="22"/>
      <c r="F109" s="22"/>
    </row>
    <row r="110" spans="2:7" ht="15" customHeight="1" x14ac:dyDescent="0.25">
      <c r="B110" s="78"/>
      <c r="C110" s="83"/>
      <c r="D110" s="22"/>
      <c r="E110" s="22"/>
      <c r="F110" s="22"/>
    </row>
    <row r="111" spans="2:7" ht="15" customHeight="1" x14ac:dyDescent="0.25">
      <c r="B111" s="78"/>
      <c r="C111" s="83"/>
      <c r="D111" s="22"/>
      <c r="E111" s="22"/>
      <c r="F111" s="22"/>
    </row>
    <row r="112" spans="2:7" ht="15" customHeight="1" x14ac:dyDescent="0.25">
      <c r="B112" s="78"/>
      <c r="C112" s="83"/>
      <c r="D112" s="22"/>
      <c r="E112" s="22"/>
      <c r="F112" s="22"/>
    </row>
    <row r="113" spans="2:6" ht="15" customHeight="1" x14ac:dyDescent="0.25">
      <c r="B113" s="78"/>
      <c r="C113" s="83"/>
      <c r="D113" s="22"/>
      <c r="E113" s="22"/>
      <c r="F113" s="22"/>
    </row>
    <row r="114" spans="2:6" ht="15" customHeight="1" x14ac:dyDescent="0.25">
      <c r="B114" s="78"/>
      <c r="C114" s="83"/>
      <c r="D114" s="22"/>
      <c r="E114" s="22"/>
      <c r="F114" s="22"/>
    </row>
    <row r="115" spans="2:6" ht="15" customHeight="1" x14ac:dyDescent="0.25">
      <c r="B115" s="78"/>
      <c r="C115" s="83"/>
      <c r="D115" s="22"/>
      <c r="E115" s="22"/>
      <c r="F115" s="22"/>
    </row>
    <row r="116" spans="2:6" ht="15" customHeight="1" x14ac:dyDescent="0.25">
      <c r="B116" s="78"/>
      <c r="C116" s="83"/>
      <c r="D116" s="22"/>
      <c r="E116" s="22"/>
      <c r="F116" s="22"/>
    </row>
    <row r="117" spans="2:6" ht="15" customHeight="1" x14ac:dyDescent="0.25">
      <c r="B117" s="78"/>
      <c r="C117" s="83"/>
      <c r="D117" s="22"/>
      <c r="E117" s="22"/>
      <c r="F117" s="22"/>
    </row>
    <row r="118" spans="2:6" ht="15" customHeight="1" x14ac:dyDescent="0.25">
      <c r="B118" s="78"/>
      <c r="C118" s="83"/>
      <c r="D118" s="22"/>
      <c r="E118" s="22"/>
      <c r="F118" s="22"/>
    </row>
    <row r="119" spans="2:6" ht="15" customHeight="1" x14ac:dyDescent="0.25">
      <c r="B119" s="78"/>
      <c r="C119" s="83"/>
      <c r="D119" s="22"/>
      <c r="E119" s="22"/>
      <c r="F119" s="22"/>
    </row>
    <row r="120" spans="2:6" ht="15" customHeight="1" x14ac:dyDescent="0.25">
      <c r="B120" s="78"/>
      <c r="C120" s="83"/>
      <c r="D120" s="22"/>
      <c r="E120" s="22"/>
      <c r="F120" s="22"/>
    </row>
    <row r="121" spans="2:6" ht="15" customHeight="1" x14ac:dyDescent="0.25">
      <c r="B121" s="78"/>
      <c r="C121" s="83"/>
      <c r="D121" s="22"/>
      <c r="E121" s="22"/>
      <c r="F121" s="22"/>
    </row>
    <row r="122" spans="2:6" ht="15" customHeight="1" x14ac:dyDescent="0.25">
      <c r="B122" s="78"/>
      <c r="C122" s="83"/>
      <c r="D122" s="22"/>
      <c r="E122" s="22"/>
      <c r="F122" s="22"/>
    </row>
    <row r="123" spans="2:6" ht="15" customHeight="1" x14ac:dyDescent="0.25">
      <c r="B123" s="78"/>
      <c r="C123" s="83"/>
      <c r="D123" s="22"/>
      <c r="E123" s="22"/>
      <c r="F123" s="22"/>
    </row>
    <row r="124" spans="2:6" ht="15" customHeight="1" x14ac:dyDescent="0.25">
      <c r="B124" s="78"/>
      <c r="C124" s="83"/>
      <c r="D124" s="22"/>
      <c r="E124" s="22"/>
      <c r="F124" s="22"/>
    </row>
    <row r="125" spans="2:6" ht="15" customHeight="1" x14ac:dyDescent="0.25">
      <c r="B125" s="78"/>
      <c r="C125" s="83"/>
      <c r="D125" s="22"/>
      <c r="E125" s="22"/>
      <c r="F125" s="22"/>
    </row>
    <row r="126" spans="2:6" ht="15" customHeight="1" x14ac:dyDescent="0.25">
      <c r="B126" s="78"/>
      <c r="C126" s="83"/>
      <c r="D126" s="22"/>
      <c r="E126" s="22"/>
      <c r="F126" s="22"/>
    </row>
    <row r="127" spans="2:6" ht="15" customHeight="1" x14ac:dyDescent="0.25">
      <c r="B127" s="78"/>
      <c r="C127" s="83"/>
      <c r="D127" s="22"/>
      <c r="E127" s="22"/>
      <c r="F127" s="22"/>
    </row>
    <row r="128" spans="2:6" ht="15" customHeight="1" x14ac:dyDescent="0.25">
      <c r="B128" s="78"/>
      <c r="C128" s="83"/>
      <c r="D128" s="22"/>
      <c r="E128" s="22"/>
      <c r="F128" s="22"/>
    </row>
    <row r="129" spans="2:6" ht="15" customHeight="1" x14ac:dyDescent="0.25">
      <c r="B129" s="78"/>
      <c r="C129" s="83"/>
      <c r="D129" s="22"/>
      <c r="E129" s="22"/>
      <c r="F129" s="22"/>
    </row>
    <row r="130" spans="2:6" ht="15" customHeight="1" x14ac:dyDescent="0.25">
      <c r="B130" s="78"/>
      <c r="C130" s="83"/>
      <c r="D130" s="22"/>
      <c r="E130" s="22"/>
      <c r="F130" s="22"/>
    </row>
    <row r="131" spans="2:6" ht="15" customHeight="1" x14ac:dyDescent="0.25">
      <c r="B131" s="78"/>
      <c r="C131" s="83"/>
      <c r="D131" s="22"/>
      <c r="E131" s="22"/>
      <c r="F131" s="22"/>
    </row>
    <row r="132" spans="2:6" ht="15" customHeight="1" x14ac:dyDescent="0.25">
      <c r="B132" s="78"/>
      <c r="C132" s="83"/>
      <c r="D132" s="22"/>
      <c r="E132" s="22"/>
      <c r="F132" s="22"/>
    </row>
    <row r="133" spans="2:6" ht="15" customHeight="1" x14ac:dyDescent="0.25">
      <c r="B133" s="78"/>
      <c r="C133" s="83"/>
      <c r="D133" s="22"/>
      <c r="E133" s="22"/>
      <c r="F133" s="22"/>
    </row>
    <row r="134" spans="2:6" ht="15" customHeight="1" x14ac:dyDescent="0.25">
      <c r="B134" s="78"/>
      <c r="C134" s="83"/>
      <c r="D134" s="22"/>
      <c r="E134" s="22"/>
      <c r="F134" s="22"/>
    </row>
    <row r="135" spans="2:6" ht="15" customHeight="1" x14ac:dyDescent="0.25">
      <c r="B135" s="78"/>
      <c r="C135" s="83"/>
      <c r="D135" s="22"/>
      <c r="E135" s="22"/>
      <c r="F135" s="22"/>
    </row>
    <row r="136" spans="2:6" ht="15" customHeight="1" x14ac:dyDescent="0.25">
      <c r="B136" s="78"/>
      <c r="C136" s="83"/>
      <c r="D136" s="22"/>
      <c r="E136" s="22"/>
      <c r="F136" s="22"/>
    </row>
    <row r="137" spans="2:6" ht="15" customHeight="1" x14ac:dyDescent="0.25">
      <c r="B137" s="78"/>
      <c r="C137" s="83"/>
      <c r="D137" s="22"/>
      <c r="E137" s="22"/>
      <c r="F137" s="22"/>
    </row>
    <row r="138" spans="2:6" ht="15" customHeight="1" x14ac:dyDescent="0.25">
      <c r="B138" s="78"/>
      <c r="C138" s="83"/>
      <c r="D138" s="22"/>
      <c r="E138" s="22"/>
      <c r="F138" s="22"/>
    </row>
    <row r="139" spans="2:6" ht="15" customHeight="1" x14ac:dyDescent="0.25">
      <c r="B139" s="78"/>
      <c r="C139" s="83"/>
      <c r="D139" s="22"/>
      <c r="E139" s="22"/>
      <c r="F139" s="22"/>
    </row>
    <row r="140" spans="2:6" ht="15" customHeight="1" x14ac:dyDescent="0.25">
      <c r="B140" s="78"/>
      <c r="C140" s="83"/>
      <c r="D140" s="22"/>
      <c r="E140" s="22"/>
      <c r="F140" s="22"/>
    </row>
    <row r="141" spans="2:6" ht="15" customHeight="1" x14ac:dyDescent="0.25">
      <c r="B141" s="78"/>
      <c r="C141" s="83"/>
      <c r="D141" s="23"/>
      <c r="E141" s="23"/>
      <c r="F141" s="23"/>
    </row>
    <row r="142" spans="2:6" ht="15" customHeight="1" x14ac:dyDescent="0.25">
      <c r="B142" s="78"/>
      <c r="C142" s="84"/>
      <c r="D142" s="23"/>
      <c r="E142" s="23"/>
      <c r="F142" s="23"/>
    </row>
    <row r="143" spans="2:6" ht="15" customHeight="1" x14ac:dyDescent="0.25">
      <c r="B143" s="78"/>
      <c r="C143" s="83"/>
      <c r="D143" s="22"/>
      <c r="E143" s="22"/>
      <c r="F143" s="22"/>
    </row>
    <row r="144" spans="2:6" ht="15" customHeight="1" x14ac:dyDescent="0.25">
      <c r="B144" s="78"/>
      <c r="C144" s="83"/>
      <c r="D144" s="22"/>
      <c r="E144" s="22"/>
      <c r="F144" s="22"/>
    </row>
    <row r="145" spans="2:6" ht="15" customHeight="1" x14ac:dyDescent="0.25">
      <c r="B145" s="78"/>
      <c r="C145" s="83"/>
      <c r="D145" s="23"/>
      <c r="E145" s="23"/>
      <c r="F145" s="23"/>
    </row>
    <row r="146" spans="2:6" ht="15" customHeight="1" x14ac:dyDescent="0.25">
      <c r="B146" s="78"/>
      <c r="C146" s="84"/>
      <c r="D146" s="23"/>
      <c r="E146" s="23"/>
      <c r="F146" s="23"/>
    </row>
    <row r="147" spans="2:6" ht="15" customHeight="1" x14ac:dyDescent="0.25">
      <c r="B147" s="78"/>
      <c r="C147" s="83"/>
      <c r="D147" s="22"/>
      <c r="E147" s="22"/>
      <c r="F147" s="22"/>
    </row>
    <row r="148" spans="2:6" ht="15" customHeight="1" x14ac:dyDescent="0.25">
      <c r="B148" s="78"/>
      <c r="C148" s="83"/>
      <c r="D148" s="23"/>
      <c r="E148" s="23"/>
      <c r="F148" s="23"/>
    </row>
    <row r="149" spans="2:6" ht="15" customHeight="1" x14ac:dyDescent="0.25">
      <c r="B149" s="78"/>
      <c r="C149" s="84"/>
      <c r="D149" s="23"/>
      <c r="E149" s="23"/>
      <c r="F149" s="23"/>
    </row>
    <row r="150" spans="2:6" ht="15" customHeight="1" x14ac:dyDescent="0.25">
      <c r="B150" s="78"/>
      <c r="C150" s="83"/>
      <c r="D150" s="22"/>
      <c r="E150" s="22"/>
      <c r="F150" s="22"/>
    </row>
    <row r="151" spans="2:6" ht="15" customHeight="1" x14ac:dyDescent="0.25">
      <c r="B151" s="78"/>
      <c r="C151" s="83"/>
      <c r="D151" s="22"/>
      <c r="E151" s="22"/>
      <c r="F151" s="22"/>
    </row>
    <row r="152" spans="2:6" ht="15" customHeight="1" x14ac:dyDescent="0.25">
      <c r="B152" s="78"/>
      <c r="C152" s="83"/>
      <c r="D152" s="22"/>
      <c r="E152" s="22"/>
      <c r="F152" s="22"/>
    </row>
    <row r="153" spans="2:6" ht="15" customHeight="1" x14ac:dyDescent="0.25">
      <c r="B153" s="78"/>
      <c r="C153" s="83"/>
      <c r="D153" s="22"/>
      <c r="E153" s="22"/>
      <c r="F153" s="22"/>
    </row>
    <row r="154" spans="2:6" ht="15" customHeight="1" x14ac:dyDescent="0.25">
      <c r="B154" s="78"/>
      <c r="C154" s="83"/>
      <c r="D154" s="22"/>
      <c r="E154" s="22"/>
      <c r="F154" s="22"/>
    </row>
    <row r="155" spans="2:6" ht="15" customHeight="1" x14ac:dyDescent="0.25">
      <c r="B155" s="78"/>
      <c r="C155" s="83"/>
      <c r="D155" s="22"/>
      <c r="E155" s="22"/>
      <c r="F155" s="22"/>
    </row>
    <row r="156" spans="2:6" ht="15" customHeight="1" x14ac:dyDescent="0.25">
      <c r="B156" s="78"/>
      <c r="C156" s="83"/>
      <c r="D156" s="22"/>
      <c r="E156" s="22"/>
      <c r="F156" s="22"/>
    </row>
    <row r="157" spans="2:6" ht="15" customHeight="1" x14ac:dyDescent="0.25">
      <c r="B157" s="78"/>
      <c r="C157" s="83"/>
      <c r="D157" s="22"/>
      <c r="E157" s="22"/>
      <c r="F157" s="22"/>
    </row>
    <row r="158" spans="2:6" ht="15" customHeight="1" x14ac:dyDescent="0.25">
      <c r="B158" s="78"/>
      <c r="C158" s="83"/>
      <c r="D158" s="23"/>
      <c r="E158" s="23"/>
      <c r="F158" s="23"/>
    </row>
    <row r="159" spans="2:6" ht="15" customHeight="1" x14ac:dyDescent="0.25">
      <c r="B159" s="78"/>
      <c r="C159" s="84"/>
      <c r="D159" s="23"/>
      <c r="E159" s="23"/>
      <c r="F159" s="23"/>
    </row>
    <row r="160" spans="2:6" ht="15" customHeight="1" x14ac:dyDescent="0.25">
      <c r="B160" s="78"/>
      <c r="C160" s="83"/>
      <c r="D160" s="22"/>
      <c r="E160" s="22"/>
      <c r="F160" s="22"/>
    </row>
    <row r="161" spans="2:6" ht="15" customHeight="1" x14ac:dyDescent="0.25">
      <c r="B161" s="78"/>
      <c r="C161" s="83"/>
      <c r="D161" s="22"/>
      <c r="E161" s="22"/>
      <c r="F161" s="22"/>
    </row>
    <row r="162" spans="2:6" ht="15" customHeight="1" x14ac:dyDescent="0.25">
      <c r="B162" s="78"/>
      <c r="C162" s="83"/>
      <c r="D162" s="22"/>
      <c r="E162" s="22"/>
      <c r="F162" s="22"/>
    </row>
    <row r="163" spans="2:6" ht="15" customHeight="1" x14ac:dyDescent="0.25">
      <c r="B163" s="78"/>
      <c r="C163" s="83"/>
      <c r="D163" s="22"/>
      <c r="E163" s="22"/>
      <c r="F163" s="22"/>
    </row>
    <row r="164" spans="2:6" ht="15" customHeight="1" x14ac:dyDescent="0.25">
      <c r="B164" s="78"/>
      <c r="C164" s="83"/>
      <c r="D164" s="22"/>
      <c r="E164" s="22"/>
      <c r="F164" s="22"/>
    </row>
    <row r="165" spans="2:6" ht="15" customHeight="1" x14ac:dyDescent="0.25">
      <c r="B165" s="78"/>
      <c r="C165" s="83"/>
      <c r="D165" s="22"/>
      <c r="E165" s="22"/>
      <c r="F165" s="22"/>
    </row>
    <row r="166" spans="2:6" ht="15" customHeight="1" x14ac:dyDescent="0.25">
      <c r="B166" s="78"/>
      <c r="C166" s="83"/>
      <c r="D166" s="22"/>
      <c r="E166" s="22"/>
      <c r="F166" s="22"/>
    </row>
    <row r="167" spans="2:6" ht="15" customHeight="1" x14ac:dyDescent="0.25">
      <c r="B167" s="78"/>
      <c r="C167" s="83"/>
      <c r="D167" s="22"/>
      <c r="E167" s="22"/>
      <c r="F167" s="22"/>
    </row>
    <row r="168" spans="2:6" ht="15" customHeight="1" x14ac:dyDescent="0.25">
      <c r="B168" s="78"/>
      <c r="C168" s="83"/>
      <c r="D168" s="22"/>
      <c r="E168" s="22"/>
      <c r="F168" s="22"/>
    </row>
    <row r="169" spans="2:6" ht="15" customHeight="1" x14ac:dyDescent="0.25">
      <c r="B169" s="78"/>
      <c r="C169" s="83"/>
      <c r="D169" s="22"/>
      <c r="E169" s="22"/>
      <c r="F169" s="22"/>
    </row>
    <row r="170" spans="2:6" ht="15" customHeight="1" x14ac:dyDescent="0.25">
      <c r="B170" s="78"/>
      <c r="C170" s="83"/>
      <c r="D170" s="22"/>
      <c r="E170" s="22"/>
      <c r="F170" s="22"/>
    </row>
    <row r="171" spans="2:6" ht="15" customHeight="1" x14ac:dyDescent="0.25">
      <c r="B171" s="78"/>
      <c r="C171" s="83"/>
      <c r="D171" s="22"/>
      <c r="E171" s="22"/>
      <c r="F171" s="22"/>
    </row>
    <row r="172" spans="2:6" ht="15" customHeight="1" x14ac:dyDescent="0.25">
      <c r="B172" s="78"/>
      <c r="C172" s="83"/>
      <c r="D172" s="22"/>
      <c r="E172" s="22"/>
      <c r="F172" s="22"/>
    </row>
    <row r="173" spans="2:6" ht="15" customHeight="1" x14ac:dyDescent="0.25">
      <c r="B173" s="78"/>
      <c r="C173" s="83"/>
      <c r="D173" s="22"/>
      <c r="E173" s="22"/>
      <c r="F173" s="22"/>
    </row>
    <row r="174" spans="2:6" ht="15" customHeight="1" x14ac:dyDescent="0.25">
      <c r="B174" s="78"/>
      <c r="C174" s="83"/>
      <c r="D174" s="22"/>
      <c r="E174" s="22"/>
      <c r="F174" s="22"/>
    </row>
    <row r="175" spans="2:6" ht="15" customHeight="1" x14ac:dyDescent="0.25">
      <c r="B175" s="78"/>
      <c r="C175" s="83"/>
      <c r="D175" s="22"/>
      <c r="E175" s="22"/>
      <c r="F175" s="22"/>
    </row>
    <row r="176" spans="2:6" ht="15" customHeight="1" x14ac:dyDescent="0.25">
      <c r="B176" s="78"/>
      <c r="C176" s="83"/>
      <c r="D176" s="22"/>
      <c r="E176" s="22"/>
      <c r="F176" s="22"/>
    </row>
    <row r="177" spans="2:6" ht="15" customHeight="1" x14ac:dyDescent="0.25">
      <c r="B177" s="78"/>
      <c r="C177" s="83"/>
      <c r="D177" s="22"/>
      <c r="E177" s="22"/>
      <c r="F177" s="22"/>
    </row>
    <row r="178" spans="2:6" ht="15" customHeight="1" x14ac:dyDescent="0.25">
      <c r="B178" s="78"/>
      <c r="C178" s="83"/>
      <c r="D178" s="22"/>
      <c r="E178" s="22"/>
      <c r="F178" s="22"/>
    </row>
    <row r="179" spans="2:6" ht="15" customHeight="1" x14ac:dyDescent="0.25">
      <c r="B179" s="78"/>
      <c r="C179" s="83"/>
      <c r="D179" s="22"/>
      <c r="E179" s="22"/>
      <c r="F179" s="22"/>
    </row>
    <row r="180" spans="2:6" ht="15" customHeight="1" x14ac:dyDescent="0.25">
      <c r="B180" s="78"/>
      <c r="C180" s="83"/>
      <c r="D180" s="22"/>
      <c r="E180" s="22"/>
      <c r="F180" s="22"/>
    </row>
    <row r="181" spans="2:6" ht="15" customHeight="1" x14ac:dyDescent="0.25">
      <c r="B181" s="78"/>
      <c r="C181" s="83"/>
      <c r="D181" s="22"/>
      <c r="E181" s="22"/>
      <c r="F181" s="22"/>
    </row>
    <row r="182" spans="2:6" ht="15" customHeight="1" x14ac:dyDescent="0.25">
      <c r="B182" s="78"/>
      <c r="C182" s="83"/>
      <c r="D182" s="22"/>
      <c r="E182" s="22"/>
      <c r="F182" s="22"/>
    </row>
    <row r="183" spans="2:6" ht="15" customHeight="1" x14ac:dyDescent="0.25">
      <c r="B183" s="78"/>
      <c r="C183" s="83"/>
      <c r="D183" s="22"/>
      <c r="E183" s="22"/>
      <c r="F183" s="22"/>
    </row>
    <row r="184" spans="2:6" ht="15" customHeight="1" x14ac:dyDescent="0.25">
      <c r="B184" s="78"/>
      <c r="C184" s="83"/>
      <c r="D184" s="22"/>
      <c r="E184" s="22"/>
      <c r="F184" s="22"/>
    </row>
    <row r="185" spans="2:6" ht="15" customHeight="1" x14ac:dyDescent="0.25">
      <c r="B185" s="78"/>
      <c r="C185" s="83"/>
      <c r="D185" s="22"/>
      <c r="E185" s="22"/>
      <c r="F185" s="22"/>
    </row>
    <row r="186" spans="2:6" ht="15" customHeight="1" x14ac:dyDescent="0.25">
      <c r="B186" s="78"/>
      <c r="C186" s="83"/>
      <c r="D186" s="22"/>
      <c r="E186" s="22"/>
      <c r="F186" s="22"/>
    </row>
    <row r="187" spans="2:6" ht="15" customHeight="1" x14ac:dyDescent="0.25">
      <c r="B187" s="78"/>
      <c r="C187" s="83"/>
      <c r="D187" s="22"/>
      <c r="E187" s="22"/>
      <c r="F187" s="22"/>
    </row>
    <row r="188" spans="2:6" ht="15" customHeight="1" x14ac:dyDescent="0.25">
      <c r="B188" s="78"/>
      <c r="C188" s="83"/>
      <c r="D188" s="23"/>
      <c r="E188" s="23"/>
      <c r="F188" s="23"/>
    </row>
    <row r="189" spans="2:6" ht="15" customHeight="1" x14ac:dyDescent="0.25">
      <c r="B189" s="78"/>
      <c r="C189" s="84"/>
      <c r="D189" s="23"/>
      <c r="E189" s="23"/>
      <c r="F189" s="23"/>
    </row>
    <row r="190" spans="2:6" ht="15" customHeight="1" x14ac:dyDescent="0.25">
      <c r="B190" s="78"/>
      <c r="C190" s="83"/>
      <c r="D190" s="22"/>
      <c r="E190" s="23"/>
      <c r="F190" s="23"/>
    </row>
    <row r="191" spans="2:6" ht="15" customHeight="1" x14ac:dyDescent="0.25">
      <c r="B191" s="78"/>
      <c r="C191" s="83"/>
      <c r="D191" s="22"/>
      <c r="E191" s="22"/>
      <c r="F191" s="22"/>
    </row>
    <row r="192" spans="2:6" ht="15" customHeight="1" x14ac:dyDescent="0.25">
      <c r="B192" s="78"/>
      <c r="C192" s="83"/>
      <c r="D192" s="22"/>
      <c r="E192" s="22"/>
      <c r="F192" s="22"/>
    </row>
    <row r="193" spans="2:6" ht="15" customHeight="1" x14ac:dyDescent="0.25">
      <c r="B193" s="78"/>
      <c r="C193" s="83"/>
      <c r="D193" s="23"/>
      <c r="E193" s="23"/>
      <c r="F193" s="23"/>
    </row>
    <row r="194" spans="2:6" ht="15" customHeight="1" x14ac:dyDescent="0.25">
      <c r="B194" s="78"/>
      <c r="C194" s="84"/>
      <c r="D194" s="23"/>
      <c r="E194" s="23"/>
      <c r="F194" s="23"/>
    </row>
    <row r="195" spans="2:6" ht="15" customHeight="1" x14ac:dyDescent="0.25">
      <c r="B195" s="78"/>
      <c r="C195" s="83"/>
      <c r="D195" s="22"/>
      <c r="E195" s="22"/>
      <c r="F195" s="2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F789-7F2C-4B00-A4AD-5232890DADE8}">
  <sheetPr>
    <tabColor rgb="FF00B050"/>
  </sheetPr>
  <dimension ref="A1:G195"/>
  <sheetViews>
    <sheetView workbookViewId="0"/>
  </sheetViews>
  <sheetFormatPr defaultRowHeight="15" customHeight="1" x14ac:dyDescent="0.25"/>
  <cols>
    <col min="1" max="1" width="1.42578125" customWidth="1"/>
    <col min="2" max="2" width="5.7109375" customWidth="1"/>
    <col min="3" max="3" width="57.140625" style="57" customWidth="1"/>
    <col min="4" max="7" width="17.85546875" style="23" customWidth="1"/>
  </cols>
  <sheetData>
    <row r="1" spans="1:7" ht="7.5" customHeight="1" x14ac:dyDescent="0.25">
      <c r="A1" s="51" t="str" cm="1">
        <f t="array" aca="1" ref="A1" ca="1">MID(CELL("filename",A1),FIND("]",CELL("filename",A1))+1,255)</f>
        <v>EP Inputs</v>
      </c>
    </row>
    <row r="2" spans="1:7" x14ac:dyDescent="0.25">
      <c r="B2" s="24" t="s">
        <v>451</v>
      </c>
    </row>
    <row r="3" spans="1:7" x14ac:dyDescent="0.25">
      <c r="B3" s="1" t="s">
        <v>618</v>
      </c>
    </row>
    <row r="4" spans="1:7" ht="7.5" customHeight="1" x14ac:dyDescent="0.25">
      <c r="B4" s="1"/>
    </row>
    <row r="5" spans="1:7" s="6" customFormat="1" x14ac:dyDescent="0.25">
      <c r="C5" s="80"/>
      <c r="D5" s="88"/>
      <c r="E5" s="88" t="s">
        <v>423</v>
      </c>
      <c r="F5" s="88" t="s">
        <v>423</v>
      </c>
      <c r="G5" s="88"/>
    </row>
    <row r="6" spans="1:7" s="6" customFormat="1" x14ac:dyDescent="0.25">
      <c r="B6" s="16" t="s">
        <v>417</v>
      </c>
      <c r="C6" s="80"/>
      <c r="D6" s="88"/>
      <c r="E6" s="88" t="s">
        <v>424</v>
      </c>
      <c r="F6" s="88" t="s">
        <v>450</v>
      </c>
      <c r="G6" s="88"/>
    </row>
    <row r="7" spans="1:7" s="6" customFormat="1" x14ac:dyDescent="0.25">
      <c r="B7" s="17" t="s">
        <v>418</v>
      </c>
      <c r="C7" s="59" t="s">
        <v>588</v>
      </c>
      <c r="D7" s="158" t="s">
        <v>39</v>
      </c>
      <c r="E7" s="158" t="s">
        <v>425</v>
      </c>
      <c r="F7" s="158" t="s">
        <v>425</v>
      </c>
      <c r="G7" s="158" t="s">
        <v>518</v>
      </c>
    </row>
    <row r="8" spans="1:7" x14ac:dyDescent="0.25">
      <c r="B8" s="2"/>
      <c r="C8" s="81" t="s">
        <v>419</v>
      </c>
      <c r="D8" s="20" t="s">
        <v>420</v>
      </c>
      <c r="E8" s="20" t="s">
        <v>421</v>
      </c>
      <c r="F8" s="20" t="s">
        <v>422</v>
      </c>
      <c r="G8" s="20" t="s">
        <v>430</v>
      </c>
    </row>
    <row r="9" spans="1:7" ht="3.75" customHeight="1" x14ac:dyDescent="0.25">
      <c r="B9" s="2"/>
      <c r="C9" s="81"/>
      <c r="D9" s="20"/>
      <c r="E9" s="20"/>
      <c r="F9" s="20"/>
    </row>
    <row r="10" spans="1:7" ht="15" customHeight="1" x14ac:dyDescent="0.25">
      <c r="B10" s="88">
        <f>MAX($B$8:B9)+1</f>
        <v>1</v>
      </c>
      <c r="C10" s="82" t="s">
        <v>589</v>
      </c>
      <c r="D10" s="79"/>
      <c r="E10" s="79"/>
      <c r="F10" s="79"/>
    </row>
    <row r="11" spans="1:7" ht="15" customHeight="1" x14ac:dyDescent="0.25">
      <c r="B11" s="78">
        <f>MAX($B$8:B10)+1</f>
        <v>2</v>
      </c>
      <c r="C11" s="82" t="s">
        <v>40</v>
      </c>
      <c r="D11" s="20"/>
      <c r="E11" s="20"/>
      <c r="F11" s="20"/>
    </row>
    <row r="12" spans="1:7" ht="15" customHeight="1" x14ac:dyDescent="0.25">
      <c r="B12" s="78">
        <f>MAX($B$8:B11)+1</f>
        <v>3</v>
      </c>
      <c r="C12" s="86" t="s">
        <v>384</v>
      </c>
      <c r="D12" s="137">
        <f>-SUMIFS('EP IS Restatements'!$F$13:$F$196,'EP IS Restatements'!$E$13:$E$196,$C12)</f>
        <v>4607902.5600000005</v>
      </c>
      <c r="E12" s="137">
        <f>-SUMIFS('EP IS Restatements'!$L$13:$L$196,'EP IS Restatements'!$E$13:$E$196,$C12)</f>
        <v>0</v>
      </c>
      <c r="F12" s="138">
        <f>-SUMIFS('EP IS Pro Forma'!$R$13:$R$195,'EP IS Pro Forma'!$E$13:$E$195,$C12)</f>
        <v>2360507.6644406775</v>
      </c>
      <c r="G12" s="22">
        <f>SUM(D12:F12)</f>
        <v>6968410.224440678</v>
      </c>
    </row>
    <row r="13" spans="1:7" ht="15" customHeight="1" x14ac:dyDescent="0.25">
      <c r="B13" s="78">
        <f>MAX($B$8:B12)+1</f>
        <v>4</v>
      </c>
      <c r="C13" s="85" t="s">
        <v>587</v>
      </c>
      <c r="D13" s="137">
        <f>-SUMIFS('EP IS Restatements'!$F$13:$F$196,'EP IS Restatements'!$E$13:$E$196,$C13)</f>
        <v>717</v>
      </c>
      <c r="E13" s="137">
        <f>-SUMIFS('EP IS Restatements'!$L$13:$L$196,'EP IS Restatements'!$E$13:$E$196,$C13)</f>
        <v>0</v>
      </c>
      <c r="F13" s="138">
        <f>-SUMIFS('EP IS Pro Forma'!$R$13:$R$195,'EP IS Pro Forma'!$E$13:$E$195,$C13)</f>
        <v>512.14285714285711</v>
      </c>
      <c r="G13" s="22">
        <f t="shared" ref="G13:G17" si="0">SUM(D13:F13)</f>
        <v>1229.1428571428571</v>
      </c>
    </row>
    <row r="14" spans="1:7" ht="15" customHeight="1" x14ac:dyDescent="0.25">
      <c r="B14" s="78">
        <f>MAX($B$8:B13)+1</f>
        <v>5</v>
      </c>
      <c r="C14" s="85" t="s">
        <v>388</v>
      </c>
      <c r="D14" s="137">
        <f>-SUMIFS('EP IS Restatements'!$F$13:$F$196,'EP IS Restatements'!$E$13:$E$196,$C14)</f>
        <v>0</v>
      </c>
      <c r="E14" s="137">
        <f>-SUMIFS('EP IS Restatements'!$L$13:$L$196,'EP IS Restatements'!$E$13:$E$196,$C14)</f>
        <v>0</v>
      </c>
      <c r="F14" s="138">
        <f>-SUMIFS('EP IS Pro Forma'!$R$13:$R$195,'EP IS Pro Forma'!$E$13:$E$195,$C14)</f>
        <v>0</v>
      </c>
      <c r="G14" s="22">
        <f t="shared" si="0"/>
        <v>0</v>
      </c>
    </row>
    <row r="15" spans="1:7" ht="15" customHeight="1" x14ac:dyDescent="0.25">
      <c r="B15" s="78">
        <f>MAX($B$8:B14)+1</f>
        <v>6</v>
      </c>
      <c r="C15" s="85" t="s">
        <v>387</v>
      </c>
      <c r="D15" s="137">
        <f>-SUMIFS('EP IS Restatements'!$F$13:$F$196,'EP IS Restatements'!$E$13:$E$196,$C15)</f>
        <v>192053.98</v>
      </c>
      <c r="E15" s="137">
        <f>-SUMIFS('EP IS Restatements'!$L$13:$L$196,'EP IS Restatements'!$E$13:$E$196,$C15)</f>
        <v>0</v>
      </c>
      <c r="F15" s="138">
        <f>-SUMIFS('EP IS Pro Forma'!$R$13:$R$195,'EP IS Pro Forma'!$E$13:$E$195,$C15)</f>
        <v>137181.4142857143</v>
      </c>
      <c r="G15" s="22">
        <f t="shared" si="0"/>
        <v>329235.39428571431</v>
      </c>
    </row>
    <row r="16" spans="1:7" ht="15" customHeight="1" x14ac:dyDescent="0.25">
      <c r="B16" s="78">
        <f>MAX($B$8:B15)+1</f>
        <v>7</v>
      </c>
      <c r="C16" s="85" t="s">
        <v>411</v>
      </c>
      <c r="D16" s="137">
        <f>-SUMIFS('EP IS Restatements'!$F$13:$F$196,'EP IS Restatements'!$E$13:$E$196,$C16)</f>
        <v>113258.04000000001</v>
      </c>
      <c r="E16" s="137">
        <f>-SUMIFS('EP IS Restatements'!$L$13:$L$196,'EP IS Restatements'!$E$13:$E$196,$C16)</f>
        <v>-113258.04000000001</v>
      </c>
      <c r="F16" s="138">
        <f>-SUMIFS('EP IS Pro Forma'!$R$13:$R$195,'EP IS Pro Forma'!$E$13:$E$195,$C16)</f>
        <v>0</v>
      </c>
      <c r="G16" s="22">
        <f t="shared" si="0"/>
        <v>0</v>
      </c>
    </row>
    <row r="17" spans="2:7" ht="15" customHeight="1" x14ac:dyDescent="0.25">
      <c r="B17" s="78">
        <f>MAX($B$8:B16)+1</f>
        <v>8</v>
      </c>
      <c r="C17" s="85" t="s">
        <v>386</v>
      </c>
      <c r="D17" s="137">
        <f>-SUMIFS('EP IS Restatements'!$F$13:$F$196,'EP IS Restatements'!$E$13:$E$196,$C17)</f>
        <v>35980.949999999997</v>
      </c>
      <c r="E17" s="137">
        <f>-SUMIFS('EP IS Restatements'!$L$13:$L$196,'EP IS Restatements'!$E$13:$E$196,$C17)</f>
        <v>0</v>
      </c>
      <c r="F17" s="138">
        <f>-SUMIFS('EP IS Pro Forma'!$R$13:$R$195,'EP IS Pro Forma'!$E$13:$E$195,$C17)</f>
        <v>25700.678571428572</v>
      </c>
      <c r="G17" s="22">
        <f t="shared" si="0"/>
        <v>61681.62857142857</v>
      </c>
    </row>
    <row r="18" spans="2:7" ht="3.75" customHeight="1" x14ac:dyDescent="0.25">
      <c r="B18" s="78"/>
      <c r="C18" s="83"/>
      <c r="D18" s="22"/>
      <c r="E18" s="22"/>
      <c r="F18" s="22"/>
    </row>
    <row r="19" spans="2:7" ht="15" customHeight="1" x14ac:dyDescent="0.25">
      <c r="B19" s="88">
        <f>MAX($B$8:B18)+1</f>
        <v>9</v>
      </c>
      <c r="C19" s="82" t="s">
        <v>41</v>
      </c>
      <c r="D19" s="22"/>
      <c r="E19" s="22"/>
      <c r="F19" s="22"/>
    </row>
    <row r="20" spans="2:7" ht="15" customHeight="1" x14ac:dyDescent="0.25">
      <c r="B20" s="78">
        <f>MAX($B$8:B19)+1</f>
        <v>10</v>
      </c>
      <c r="C20" s="85" t="s">
        <v>391</v>
      </c>
      <c r="D20" s="137">
        <f>SUMIFS('EP IS Restatements'!$F$13:$F$196,'EP IS Restatements'!$E$13:$E$196,$C20)</f>
        <v>976737.39000000025</v>
      </c>
      <c r="E20" s="137">
        <f>SUMIFS('EP IS Restatements'!$L$13:$L$196,'EP IS Restatements'!$E$13:$E$196,$C20)</f>
        <v>0</v>
      </c>
      <c r="F20" s="138">
        <f>SUMIFS('EP IS Pro Forma'!$R$13:$R$195,'EP IS Pro Forma'!$E$13:$E$195,$C20)</f>
        <v>959891.44955577399</v>
      </c>
      <c r="G20" s="22">
        <f>SUM(D20:F20)</f>
        <v>1936628.8395557743</v>
      </c>
    </row>
    <row r="21" spans="2:7" ht="15" customHeight="1" x14ac:dyDescent="0.25">
      <c r="B21" s="78">
        <f>MAX($B$8:B20)+1</f>
        <v>11</v>
      </c>
      <c r="C21" s="85" t="s">
        <v>586</v>
      </c>
      <c r="D21" s="137">
        <f>SUMIFS('EP IS Restatements'!$F$13:$F$196,'EP IS Restatements'!$E$13:$E$196,$C21)</f>
        <v>0</v>
      </c>
      <c r="E21" s="137">
        <f>SUMIFS('EP IS Restatements'!$L$13:$L$196,'EP IS Restatements'!$E$13:$E$196,$C21)</f>
        <v>0</v>
      </c>
      <c r="F21" s="138">
        <f>SUMIFS('EP IS Pro Forma'!$R$13:$R$195,'EP IS Pro Forma'!$E$13:$E$195,$C21)</f>
        <v>0</v>
      </c>
      <c r="G21" s="22">
        <f t="shared" ref="G21:G45" si="1">SUM(D21:F21)</f>
        <v>0</v>
      </c>
    </row>
    <row r="22" spans="2:7" ht="15" customHeight="1" x14ac:dyDescent="0.25">
      <c r="B22" s="78">
        <f>MAX($B$8:B21)+1</f>
        <v>12</v>
      </c>
      <c r="C22" s="85" t="s">
        <v>396</v>
      </c>
      <c r="D22" s="137">
        <f>SUMIFS('EP IS Restatements'!$F$13:$F$196,'EP IS Restatements'!$E$13:$E$196,$C22)</f>
        <v>689810.07</v>
      </c>
      <c r="E22" s="137">
        <f>SUMIFS('EP IS Restatements'!$L$13:$L$196,'EP IS Restatements'!$E$13:$E$196,$C22)</f>
        <v>0</v>
      </c>
      <c r="F22" s="138">
        <f>SUMIFS('EP IS Pro Forma'!$R$13:$R$195,'EP IS Pro Forma'!$E$13:$E$195,$C22)</f>
        <v>720696.90633422113</v>
      </c>
      <c r="G22" s="22">
        <f t="shared" si="1"/>
        <v>1410506.9763342212</v>
      </c>
    </row>
    <row r="23" spans="2:7" ht="15" customHeight="1" x14ac:dyDescent="0.25">
      <c r="B23" s="78">
        <f>MAX($B$8:B22)+1</f>
        <v>13</v>
      </c>
      <c r="C23" s="85" t="s">
        <v>389</v>
      </c>
      <c r="D23" s="137">
        <f>SUMIFS('EP IS Restatements'!$F$13:$F$196,'EP IS Restatements'!$E$13:$E$196,$C23)</f>
        <v>1231737.52</v>
      </c>
      <c r="E23" s="137">
        <f>SUMIFS('EP IS Restatements'!$L$13:$L$196,'EP IS Restatements'!$E$13:$E$196,$C23)</f>
        <v>128967.24500000011</v>
      </c>
      <c r="F23" s="138">
        <f>SUMIFS('EP IS Pro Forma'!$R$13:$R$195,'EP IS Pro Forma'!$E$13:$E$195,$C23)</f>
        <v>706939.56164533296</v>
      </c>
      <c r="G23" s="22">
        <f t="shared" si="1"/>
        <v>2067644.3266453331</v>
      </c>
    </row>
    <row r="24" spans="2:7" ht="15" customHeight="1" x14ac:dyDescent="0.25">
      <c r="B24" s="78">
        <f>MAX($B$8:B23)+1</f>
        <v>14</v>
      </c>
      <c r="C24" s="85" t="s">
        <v>403</v>
      </c>
      <c r="D24" s="137">
        <f>SUMIFS('EP IS Restatements'!$F$13:$F$196,'EP IS Restatements'!$E$13:$E$196,$C24)</f>
        <v>97482.08</v>
      </c>
      <c r="E24" s="137">
        <f>SUMIFS('EP IS Restatements'!$L$13:$L$196,'EP IS Restatements'!$E$13:$E$196,$C24)</f>
        <v>0</v>
      </c>
      <c r="F24" s="138">
        <f>SUMIFS('EP IS Pro Forma'!$R$13:$R$195,'EP IS Pro Forma'!$E$13:$E$195,$C24)</f>
        <v>73306.524159999986</v>
      </c>
      <c r="G24" s="22">
        <f t="shared" si="1"/>
        <v>170788.60415999999</v>
      </c>
    </row>
    <row r="25" spans="2:7" ht="15" customHeight="1" x14ac:dyDescent="0.25">
      <c r="B25" s="78">
        <f>MAX($B$8:B24)+1</f>
        <v>15</v>
      </c>
      <c r="C25" s="85" t="s">
        <v>394</v>
      </c>
      <c r="D25" s="137">
        <f>SUMIFS('EP IS Restatements'!$F$13:$F$196,'EP IS Restatements'!$E$13:$E$196,$C25)</f>
        <v>119295.03999999999</v>
      </c>
      <c r="E25" s="137">
        <f>SUMIFS('EP IS Restatements'!$L$13:$L$196,'EP IS Restatements'!$E$13:$E$196,$C25)</f>
        <v>1553.44</v>
      </c>
      <c r="F25" s="138">
        <f>SUMIFS('EP IS Pro Forma'!$R$13:$R$195,'EP IS Pro Forma'!$E$13:$E$195,$C25)</f>
        <v>90878.056959999973</v>
      </c>
      <c r="G25" s="22">
        <f t="shared" si="1"/>
        <v>211726.53695999997</v>
      </c>
    </row>
    <row r="26" spans="2:7" ht="15" customHeight="1" x14ac:dyDescent="0.25">
      <c r="B26" s="78">
        <f>MAX($B$8:B25)+1</f>
        <v>16</v>
      </c>
      <c r="C26" s="85" t="s">
        <v>400</v>
      </c>
      <c r="D26" s="137">
        <f>SUMIFS('EP IS Restatements'!$F$13:$F$196,'EP IS Restatements'!$E$13:$E$196,$C26)</f>
        <v>0</v>
      </c>
      <c r="E26" s="137">
        <f>SUMIFS('EP IS Restatements'!$L$13:$L$196,'EP IS Restatements'!$E$13:$E$196,$C26)</f>
        <v>0</v>
      </c>
      <c r="F26" s="138">
        <f>SUMIFS('EP IS Pro Forma'!$R$13:$R$195,'EP IS Pro Forma'!$E$13:$E$195,$C26)</f>
        <v>0</v>
      </c>
      <c r="G26" s="22">
        <f t="shared" si="1"/>
        <v>0</v>
      </c>
    </row>
    <row r="27" spans="2:7" ht="15" customHeight="1" x14ac:dyDescent="0.25">
      <c r="B27" s="78">
        <f>MAX($B$8:B26)+1</f>
        <v>17</v>
      </c>
      <c r="C27" s="85" t="s">
        <v>392</v>
      </c>
      <c r="D27" s="137">
        <f>SUMIFS('EP IS Restatements'!$F$13:$F$196,'EP IS Restatements'!$E$13:$E$196,$C27)</f>
        <v>67776.39</v>
      </c>
      <c r="E27" s="137">
        <f>SUMIFS('EP IS Restatements'!$L$13:$L$196,'EP IS Restatements'!$E$13:$E$196,$C27)</f>
        <v>11296.065000000002</v>
      </c>
      <c r="F27" s="138">
        <f>SUMIFS('EP IS Pro Forma'!$R$13:$R$195,'EP IS Pro Forma'!$E$13:$E$195,$C27)</f>
        <v>59462.48616</v>
      </c>
      <c r="G27" s="22">
        <f t="shared" si="1"/>
        <v>138534.94115999999</v>
      </c>
    </row>
    <row r="28" spans="2:7" ht="15" customHeight="1" x14ac:dyDescent="0.25">
      <c r="B28" s="78">
        <f>MAX($B$8:B27)+1</f>
        <v>18</v>
      </c>
      <c r="C28" s="85" t="s">
        <v>398</v>
      </c>
      <c r="D28" s="137">
        <f>SUMIFS('EP IS Restatements'!$F$13:$F$196,'EP IS Restatements'!$E$13:$E$196,$C28)</f>
        <v>0</v>
      </c>
      <c r="E28" s="137">
        <f>SUMIFS('EP IS Restatements'!$L$13:$L$196,'EP IS Restatements'!$E$13:$E$196,$C28)</f>
        <v>0</v>
      </c>
      <c r="F28" s="138">
        <f>SUMIFS('EP IS Pro Forma'!$R$13:$R$195,'EP IS Pro Forma'!$E$13:$E$195,$C28)</f>
        <v>0</v>
      </c>
      <c r="G28" s="22">
        <f t="shared" si="1"/>
        <v>0</v>
      </c>
    </row>
    <row r="29" spans="2:7" ht="15" customHeight="1" x14ac:dyDescent="0.25">
      <c r="B29" s="78">
        <f>MAX($B$8:B28)+1</f>
        <v>19</v>
      </c>
      <c r="C29" s="85" t="s">
        <v>399</v>
      </c>
      <c r="D29" s="137">
        <f>SUMIFS('EP IS Restatements'!$F$13:$F$196,'EP IS Restatements'!$E$13:$E$196,$C29)</f>
        <v>189044.69</v>
      </c>
      <c r="E29" s="137">
        <f>SUMIFS('EP IS Restatements'!$L$13:$L$196,'EP IS Restatements'!$E$13:$E$196,$C29)</f>
        <v>-187351.91515000002</v>
      </c>
      <c r="F29" s="138">
        <f>SUMIFS('EP IS Pro Forma'!$R$13:$R$195,'EP IS Pro Forma'!$E$13:$E$195,$C29)</f>
        <v>70366.996770285725</v>
      </c>
      <c r="G29" s="22">
        <f t="shared" si="1"/>
        <v>72059.771620285712</v>
      </c>
    </row>
    <row r="30" spans="2:7" ht="15" customHeight="1" x14ac:dyDescent="0.25">
      <c r="B30" s="78">
        <f>MAX($B$8:B29)+1</f>
        <v>20</v>
      </c>
      <c r="C30" s="85" t="s">
        <v>412</v>
      </c>
      <c r="D30" s="137">
        <f>SUMIFS('EP IS Restatements'!$F$13:$F$196,'EP IS Restatements'!$E$13:$E$196,$C30)</f>
        <v>34636.660000000003</v>
      </c>
      <c r="E30" s="137">
        <f>SUMIFS('EP IS Restatements'!$L$13:$L$196,'EP IS Restatements'!$E$13:$E$196,$C30)</f>
        <v>-34636.660000000003</v>
      </c>
      <c r="F30" s="138">
        <f>SUMIFS('EP IS Pro Forma'!$R$13:$R$195,'EP IS Pro Forma'!$E$13:$E$195,$C30)</f>
        <v>0</v>
      </c>
      <c r="G30" s="22">
        <f t="shared" si="1"/>
        <v>0</v>
      </c>
    </row>
    <row r="31" spans="2:7" ht="15" customHeight="1" x14ac:dyDescent="0.25">
      <c r="B31" s="78">
        <f>MAX($B$8:B30)+1</f>
        <v>21</v>
      </c>
      <c r="C31" s="85" t="s">
        <v>402</v>
      </c>
      <c r="D31" s="137">
        <f>SUMIFS('EP IS Restatements'!$F$13:$F$196,'EP IS Restatements'!$E$13:$E$196,$C31)</f>
        <v>165835.63</v>
      </c>
      <c r="E31" s="137">
        <f>SUMIFS('EP IS Restatements'!$L$13:$L$196,'EP IS Restatements'!$E$13:$E$196,$C31)</f>
        <v>0</v>
      </c>
      <c r="F31" s="138">
        <f>SUMIFS('EP IS Pro Forma'!$R$13:$R$195,'EP IS Pro Forma'!$E$13:$E$195,$C31)</f>
        <v>124708.39376000001</v>
      </c>
      <c r="G31" s="22">
        <f t="shared" si="1"/>
        <v>290544.02376000001</v>
      </c>
    </row>
    <row r="32" spans="2:7" ht="15" customHeight="1" x14ac:dyDescent="0.25">
      <c r="B32" s="78">
        <f>MAX($B$8:B31)+1</f>
        <v>22</v>
      </c>
      <c r="C32" s="85" t="s">
        <v>404</v>
      </c>
      <c r="D32" s="137">
        <f>SUMIFS('EP IS Restatements'!$F$13:$F$196,'EP IS Restatements'!$E$13:$E$196,$C32)</f>
        <v>73263.03</v>
      </c>
      <c r="E32" s="137">
        <f>SUMIFS('EP IS Restatements'!$L$13:$L$196,'EP IS Restatements'!$E$13:$E$196,$C32)</f>
        <v>0</v>
      </c>
      <c r="F32" s="138">
        <f>SUMIFS('EP IS Pro Forma'!$R$13:$R$195,'EP IS Pro Forma'!$E$13:$E$195,$C32)</f>
        <v>55093.798559999996</v>
      </c>
      <c r="G32" s="22">
        <f t="shared" si="1"/>
        <v>128356.82855999999</v>
      </c>
    </row>
    <row r="33" spans="2:7" ht="15" customHeight="1" x14ac:dyDescent="0.25">
      <c r="B33" s="78">
        <f>MAX($B$8:B32)+1</f>
        <v>23</v>
      </c>
      <c r="C33" s="85" t="s">
        <v>395</v>
      </c>
      <c r="D33" s="137">
        <f>SUMIFS('EP IS Restatements'!$F$13:$F$196,'EP IS Restatements'!$E$13:$E$196,$C33)</f>
        <v>31195.38</v>
      </c>
      <c r="E33" s="137">
        <f>SUMIFS('EP IS Restatements'!$L$13:$L$196,'EP IS Restatements'!$E$13:$E$196,$C33)</f>
        <v>-14639.411666666669</v>
      </c>
      <c r="F33" s="138">
        <f>SUMIFS('EP IS Pro Forma'!$R$13:$R$195,'EP IS Pro Forma'!$E$13:$E$195,$C33)</f>
        <v>12450.088186666664</v>
      </c>
      <c r="G33" s="22">
        <f t="shared" si="1"/>
        <v>29006.056519999995</v>
      </c>
    </row>
    <row r="34" spans="2:7" ht="15" customHeight="1" x14ac:dyDescent="0.25">
      <c r="B34" s="78">
        <f>MAX($B$8:B33)+1</f>
        <v>24</v>
      </c>
      <c r="C34" s="85" t="s">
        <v>397</v>
      </c>
      <c r="D34" s="137">
        <f>SUMIFS('EP IS Restatements'!$F$13:$F$196,'EP IS Restatements'!$E$13:$E$196,$C34)</f>
        <v>0</v>
      </c>
      <c r="E34" s="137">
        <f>SUMIFS('EP IS Restatements'!$L$13:$L$196,'EP IS Restatements'!$E$13:$E$196,$C34)</f>
        <v>0</v>
      </c>
      <c r="F34" s="138">
        <f>SUMIFS('EP IS Pro Forma'!$R$13:$R$195,'EP IS Pro Forma'!$E$13:$E$195,$C34)</f>
        <v>18902.166666666668</v>
      </c>
      <c r="G34" s="22">
        <f t="shared" si="1"/>
        <v>18902.166666666668</v>
      </c>
    </row>
    <row r="35" spans="2:7" ht="15" customHeight="1" x14ac:dyDescent="0.25">
      <c r="B35" s="78">
        <f>MAX($B$8:B34)+1</f>
        <v>25</v>
      </c>
      <c r="C35" s="85" t="s">
        <v>531</v>
      </c>
      <c r="D35" s="137">
        <f>SUMIFS('EP IS Restatements'!$F$13:$F$196,'EP IS Restatements'!$E$13:$E$196,$C35)</f>
        <v>0</v>
      </c>
      <c r="E35" s="137">
        <f>SUMIFS('EP IS Restatements'!$L$13:$L$196,'EP IS Restatements'!$E$13:$E$196,$C35)</f>
        <v>0</v>
      </c>
      <c r="F35" s="138">
        <f>SUMIFS('EP IS Pro Forma'!$R$13:$R$195,'EP IS Pro Forma'!$E$13:$E$195,$C35)</f>
        <v>0</v>
      </c>
      <c r="G35" s="22">
        <f t="shared" si="1"/>
        <v>0</v>
      </c>
    </row>
    <row r="36" spans="2:7" ht="15" customHeight="1" x14ac:dyDescent="0.25">
      <c r="B36" s="78">
        <f>MAX($B$8:B35)+1</f>
        <v>26</v>
      </c>
      <c r="C36" s="85" t="s">
        <v>393</v>
      </c>
      <c r="D36" s="137">
        <f>SUMIFS('EP IS Restatements'!$F$13:$F$196,'EP IS Restatements'!$E$13:$E$196,$C36)</f>
        <v>26576.429999999997</v>
      </c>
      <c r="E36" s="137">
        <f>SUMIFS('EP IS Restatements'!$L$13:$L$196,'EP IS Restatements'!$E$13:$E$196,$C36)</f>
        <v>0</v>
      </c>
      <c r="F36" s="138">
        <f>SUMIFS('EP IS Pro Forma'!$R$13:$R$195,'EP IS Pro Forma'!$E$13:$E$195,$C36)</f>
        <v>19985.475359999997</v>
      </c>
      <c r="G36" s="22">
        <f t="shared" si="1"/>
        <v>46561.90535999999</v>
      </c>
    </row>
    <row r="37" spans="2:7" ht="15" customHeight="1" x14ac:dyDescent="0.25">
      <c r="B37" s="78">
        <f>MAX($B$8:B36)+1</f>
        <v>27</v>
      </c>
      <c r="C37" s="85" t="s">
        <v>390</v>
      </c>
      <c r="D37" s="137">
        <f>SUMIFS('EP IS Restatements'!$F$13:$F$196,'EP IS Restatements'!$E$13:$E$196,$C37)</f>
        <v>272035.27999999997</v>
      </c>
      <c r="E37" s="137">
        <f>SUMIFS('EP IS Restatements'!$L$13:$L$196,'EP IS Restatements'!$E$13:$E$196,$C37)</f>
        <v>53154.58</v>
      </c>
      <c r="F37" s="138">
        <f>SUMIFS('EP IS Pro Forma'!$R$13:$R$195,'EP IS Pro Forma'!$E$13:$E$195,$C37)</f>
        <v>244542.77472000002</v>
      </c>
      <c r="G37" s="22">
        <f t="shared" si="1"/>
        <v>569732.63471999997</v>
      </c>
    </row>
    <row r="38" spans="2:7" ht="15" customHeight="1" x14ac:dyDescent="0.25">
      <c r="B38" s="78">
        <f>MAX($B$8:B37)+1</f>
        <v>28</v>
      </c>
      <c r="C38" s="85" t="s">
        <v>405</v>
      </c>
      <c r="D38" s="137">
        <f>SUMIFS('EP IS Restatements'!$F$13:$F$196,'EP IS Restatements'!$E$13:$E$196,$C38)</f>
        <v>16159.47</v>
      </c>
      <c r="E38" s="137">
        <f>SUMIFS('EP IS Restatements'!$L$13:$L$196,'EP IS Restatements'!$E$13:$E$196,$C38)</f>
        <v>7843.8977000000068</v>
      </c>
      <c r="F38" s="138">
        <f>SUMIFS('EP IS Pro Forma'!$R$13:$R$195,'EP IS Pro Forma'!$E$13:$E$195,$C38)</f>
        <v>0</v>
      </c>
      <c r="G38" s="22">
        <f t="shared" si="1"/>
        <v>24003.367700000006</v>
      </c>
    </row>
    <row r="39" spans="2:7" ht="15" customHeight="1" x14ac:dyDescent="0.25">
      <c r="B39" s="78">
        <f>MAX($B$8:B38)+1</f>
        <v>29</v>
      </c>
      <c r="C39" s="85" t="s">
        <v>585</v>
      </c>
      <c r="D39" s="137">
        <f>SUMIFS('EP IS Restatements'!$F$13:$F$196,'EP IS Restatements'!$E$13:$E$196,$C39)</f>
        <v>0</v>
      </c>
      <c r="E39" s="137">
        <f>SUMIFS('EP IS Restatements'!$L$13:$L$196,'EP IS Restatements'!$E$13:$E$196,$C39)</f>
        <v>0</v>
      </c>
      <c r="F39" s="138">
        <f>SUMIFS('EP IS Pro Forma'!$R$13:$R$195,'EP IS Pro Forma'!$E$13:$E$195,$C39)</f>
        <v>0</v>
      </c>
      <c r="G39" s="22">
        <f t="shared" si="1"/>
        <v>0</v>
      </c>
    </row>
    <row r="40" spans="2:7" ht="15" customHeight="1" x14ac:dyDescent="0.25">
      <c r="B40" s="78">
        <f>MAX($B$8:B39)+1</f>
        <v>30</v>
      </c>
      <c r="C40" s="85" t="s">
        <v>406</v>
      </c>
      <c r="D40" s="137">
        <f>SUMIFS('EP IS Restatements'!$F$13:$F$196,'EP IS Restatements'!$E$13:$E$196,$C40)</f>
        <v>348166.75</v>
      </c>
      <c r="E40" s="137">
        <f>SUMIFS('EP IS Restatements'!$L$13:$L$196,'EP IS Restatements'!$E$13:$E$196,$C40)</f>
        <v>0</v>
      </c>
      <c r="F40" s="138">
        <f>SUMIFS('EP IS Pro Forma'!$R$13:$R$195,'EP IS Pro Forma'!$E$13:$E$195,$C40)</f>
        <v>0</v>
      </c>
      <c r="G40" s="22">
        <f t="shared" si="1"/>
        <v>348166.75</v>
      </c>
    </row>
    <row r="41" spans="2:7" ht="15" customHeight="1" x14ac:dyDescent="0.25">
      <c r="B41" s="78">
        <f>MAX($B$8:B40)+1</f>
        <v>31</v>
      </c>
      <c r="C41" s="85" t="s">
        <v>410</v>
      </c>
      <c r="D41" s="137">
        <f>SUMIFS('EP IS Restatements'!$F$13:$F$196,'EP IS Restatements'!$E$13:$E$196,$C41)</f>
        <v>209358.05000000002</v>
      </c>
      <c r="E41" s="137">
        <f>SUMIFS('EP IS Restatements'!$L$13:$L$196,'EP IS Restatements'!$E$13:$E$196,$C41)</f>
        <v>0</v>
      </c>
      <c r="F41" s="138">
        <f>SUMIFS('EP IS Pro Forma'!$R$13:$R$195,'EP IS Pro Forma'!$E$13:$E$195,$C41)</f>
        <v>0</v>
      </c>
      <c r="G41" s="22">
        <f t="shared" si="1"/>
        <v>209358.05000000002</v>
      </c>
    </row>
    <row r="42" spans="2:7" ht="15" customHeight="1" x14ac:dyDescent="0.25">
      <c r="B42" s="78">
        <f>MAX($B$8:B41)+1</f>
        <v>32</v>
      </c>
      <c r="C42" s="85" t="s">
        <v>409</v>
      </c>
      <c r="D42" s="137">
        <f>SUMIFS('EP IS Restatements'!$F$13:$F$196,'EP IS Restatements'!$E$13:$E$196,$C42)</f>
        <v>144401.5</v>
      </c>
      <c r="E42" s="137">
        <f>SUMIFS('EP IS Restatements'!$L$13:$L$196,'EP IS Restatements'!$E$13:$E$196,$C42)</f>
        <v>0</v>
      </c>
      <c r="F42" s="138">
        <f>SUMIFS('EP IS Pro Forma'!$R$13:$R$195,'EP IS Pro Forma'!$E$13:$E$195,$C42)</f>
        <v>91443.70000000007</v>
      </c>
      <c r="G42" s="22">
        <f t="shared" si="1"/>
        <v>235845.20000000007</v>
      </c>
    </row>
    <row r="43" spans="2:7" ht="15" customHeight="1" x14ac:dyDescent="0.25">
      <c r="B43" s="78">
        <f>MAX($B$8:B42)+1</f>
        <v>33</v>
      </c>
      <c r="C43" s="85" t="s">
        <v>408</v>
      </c>
      <c r="D43" s="137">
        <f>SUMIFS('EP IS Restatements'!$F$13:$F$196,'EP IS Restatements'!$E$13:$E$196,$C43)</f>
        <v>75441.990000000005</v>
      </c>
      <c r="E43" s="137">
        <f>SUMIFS('EP IS Restatements'!$L$13:$L$196,'EP IS Restatements'!$E$13:$E$196,$C43)</f>
        <v>0</v>
      </c>
      <c r="F43" s="138">
        <f>SUMIFS('EP IS Pro Forma'!$R$13:$R$195,'EP IS Pro Forma'!$E$13:$E$195,$C43)</f>
        <v>0</v>
      </c>
      <c r="G43" s="22">
        <f t="shared" si="1"/>
        <v>75441.990000000005</v>
      </c>
    </row>
    <row r="44" spans="2:7" ht="15" customHeight="1" x14ac:dyDescent="0.25">
      <c r="B44" s="78">
        <f>MAX($B$8:B43)+1</f>
        <v>34</v>
      </c>
      <c r="C44" s="85" t="s">
        <v>401</v>
      </c>
      <c r="D44" s="137">
        <f>SUMIFS('EP IS Restatements'!$F$13:$F$196,'EP IS Restatements'!$E$13:$E$196,$C44)</f>
        <v>3965.53</v>
      </c>
      <c r="E44" s="137">
        <f>SUMIFS('EP IS Restatements'!$L$13:$L$196,'EP IS Restatements'!$E$13:$E$196,$C44)</f>
        <v>11197.49</v>
      </c>
      <c r="F44" s="138">
        <f>SUMIFS('EP IS Pro Forma'!$R$13:$R$195,'EP IS Pro Forma'!$E$13:$E$195,$C44)</f>
        <v>11386.015611428569</v>
      </c>
      <c r="G44" s="22">
        <f t="shared" si="1"/>
        <v>26549.035611428568</v>
      </c>
    </row>
    <row r="45" spans="2:7" ht="15" customHeight="1" x14ac:dyDescent="0.25">
      <c r="B45" s="78">
        <f>MAX($B$8:B44)+1</f>
        <v>35</v>
      </c>
      <c r="C45" s="85" t="s">
        <v>363</v>
      </c>
      <c r="D45" s="137">
        <f>SUMIFS('EP IS Restatements'!$F$13:$F$196,'EP IS Restatements'!$E$13:$E$196,$C45)</f>
        <v>837172.92</v>
      </c>
      <c r="E45" s="137">
        <f>SUMIFS('EP IS Restatements'!$L$13:$L$196,'EP IS Restatements'!$E$13:$E$196,$C45)</f>
        <v>-146608.74000000002</v>
      </c>
      <c r="F45" s="138">
        <f ca="1">SUMIFS('EP IS Pro Forma'!$R$13:$R$195,'EP IS Pro Forma'!$E$13:$E$195,$C45)</f>
        <v>435226.05887437414</v>
      </c>
      <c r="G45" s="22">
        <f t="shared" ca="1" si="1"/>
        <v>1125790.2388743742</v>
      </c>
    </row>
    <row r="46" spans="2:7" ht="3.75" customHeight="1" x14ac:dyDescent="0.25">
      <c r="B46" s="78"/>
      <c r="C46" s="83"/>
      <c r="D46" s="22"/>
      <c r="E46" s="22"/>
      <c r="F46" s="22"/>
    </row>
    <row r="47" spans="2:7" ht="15" customHeight="1" x14ac:dyDescent="0.25">
      <c r="B47" s="88">
        <f>MAX($B$8:B46)+1</f>
        <v>36</v>
      </c>
      <c r="C47" s="87" t="s">
        <v>590</v>
      </c>
      <c r="D47" s="22"/>
      <c r="E47" s="22"/>
      <c r="F47" s="22"/>
    </row>
    <row r="48" spans="2:7" ht="15" customHeight="1" x14ac:dyDescent="0.25">
      <c r="B48" s="78">
        <f>MAX($B$8:B47)+1</f>
        <v>37</v>
      </c>
      <c r="C48" s="83" t="s">
        <v>413</v>
      </c>
      <c r="D48" s="137">
        <f>SUMIFS('EP IS Restatements'!$F$13:$F$196,'EP IS Restatements'!$E$13:$E$196,$C48)</f>
        <v>280474.66000000003</v>
      </c>
      <c r="E48" s="137">
        <f>SUMIFS('EP IS Restatements'!$L$13:$L$196,'EP IS Restatements'!$E$13:$E$196,$C48)</f>
        <v>0</v>
      </c>
      <c r="F48" s="138">
        <f>SUMIFS('EP IS Pro Forma'!$R$13:$R$195,'EP IS Pro Forma'!$E$13:$E$195,$C48)</f>
        <v>0</v>
      </c>
      <c r="G48" s="22">
        <f t="shared" ref="G48:G49" si="2">SUM(D48:F48)</f>
        <v>280474.66000000003</v>
      </c>
    </row>
    <row r="49" spans="2:7" ht="15" customHeight="1" x14ac:dyDescent="0.25">
      <c r="B49" s="78">
        <f>MAX($B$8:B48)+1</f>
        <v>38</v>
      </c>
      <c r="C49" s="83" t="s">
        <v>407</v>
      </c>
      <c r="D49" s="137">
        <f>SUMIFS('EP IS Restatements'!$F$13:$F$196,'EP IS Restatements'!$E$13:$E$196,$C49)</f>
        <v>-228047.09</v>
      </c>
      <c r="E49" s="137">
        <f>SUMIFS('EP IS Restatements'!$L$13:$L$196,'EP IS Restatements'!$E$13:$E$196,$C49)</f>
        <v>1809.76</v>
      </c>
      <c r="F49" s="138">
        <f>SUMIFS('EP IS Pro Forma'!$R$13:$R$195,'EP IS Pro Forma'!$E$13:$E$195,$C49)</f>
        <v>0</v>
      </c>
      <c r="G49" s="22">
        <f t="shared" si="2"/>
        <v>-226237.33</v>
      </c>
    </row>
    <row r="50" spans="2:7" ht="15" customHeight="1" x14ac:dyDescent="0.25">
      <c r="B50" s="78"/>
      <c r="C50" s="83"/>
      <c r="D50" s="22"/>
      <c r="E50" s="22"/>
      <c r="F50" s="22"/>
    </row>
    <row r="51" spans="2:7" ht="15" customHeight="1" x14ac:dyDescent="0.25">
      <c r="B51" s="78">
        <f>MAX($B$8:B50)+1</f>
        <v>39</v>
      </c>
      <c r="C51" s="82" t="s">
        <v>592</v>
      </c>
      <c r="D51" s="22"/>
      <c r="E51" s="22"/>
      <c r="F51" s="22"/>
    </row>
    <row r="52" spans="2:7" ht="15" customHeight="1" x14ac:dyDescent="0.25">
      <c r="B52" s="78">
        <f>MAX($B$8:B51)+1</f>
        <v>40</v>
      </c>
      <c r="C52" s="87" t="s">
        <v>593</v>
      </c>
      <c r="D52" s="22"/>
      <c r="E52" s="22"/>
      <c r="F52" s="22"/>
    </row>
    <row r="53" spans="2:7" ht="15" customHeight="1" x14ac:dyDescent="0.25">
      <c r="B53" s="78">
        <f>MAX($B$8:B52)+1</f>
        <v>41</v>
      </c>
      <c r="C53" s="83" t="s">
        <v>347</v>
      </c>
      <c r="D53" s="22">
        <v>-3337087.54</v>
      </c>
      <c r="E53" s="22"/>
      <c r="F53" s="22"/>
      <c r="G53" s="22">
        <f t="shared" ref="G53:G66" si="3">SUM(D53:F53)</f>
        <v>-3337087.54</v>
      </c>
    </row>
    <row r="54" spans="2:7" ht="15" customHeight="1" x14ac:dyDescent="0.25">
      <c r="B54" s="78">
        <f>MAX($B$8:B53)+1</f>
        <v>42</v>
      </c>
      <c r="C54" s="83" t="s">
        <v>348</v>
      </c>
      <c r="D54" s="22">
        <v>62356.68</v>
      </c>
      <c r="E54" s="22"/>
      <c r="F54" s="22"/>
      <c r="G54" s="22">
        <f t="shared" si="3"/>
        <v>62356.68</v>
      </c>
    </row>
    <row r="55" spans="2:7" ht="15" customHeight="1" x14ac:dyDescent="0.25">
      <c r="B55" s="78">
        <f>MAX($B$8:B54)+1</f>
        <v>43</v>
      </c>
      <c r="C55" s="83" t="s">
        <v>594</v>
      </c>
      <c r="D55" s="22">
        <v>0</v>
      </c>
      <c r="E55" s="22"/>
      <c r="F55" s="22"/>
      <c r="G55" s="22">
        <f t="shared" si="3"/>
        <v>0</v>
      </c>
    </row>
    <row r="56" spans="2:7" ht="15" customHeight="1" x14ac:dyDescent="0.25">
      <c r="B56" s="78">
        <f>MAX($B$8:B55)+1</f>
        <v>44</v>
      </c>
      <c r="C56" s="83" t="s">
        <v>349</v>
      </c>
      <c r="D56" s="22">
        <v>502847.39000000007</v>
      </c>
      <c r="E56" s="22"/>
      <c r="F56" s="22"/>
      <c r="G56" s="22">
        <f t="shared" si="3"/>
        <v>502847.39000000007</v>
      </c>
    </row>
    <row r="57" spans="2:7" ht="15" customHeight="1" x14ac:dyDescent="0.25">
      <c r="B57" s="78">
        <f>MAX($B$8:B56)+1</f>
        <v>45</v>
      </c>
      <c r="C57" s="83" t="s">
        <v>595</v>
      </c>
      <c r="D57" s="22">
        <v>0</v>
      </c>
      <c r="E57" s="22"/>
      <c r="F57" s="22"/>
      <c r="G57" s="22">
        <f t="shared" si="3"/>
        <v>0</v>
      </c>
    </row>
    <row r="58" spans="2:7" ht="15" customHeight="1" x14ac:dyDescent="0.25">
      <c r="B58" s="78">
        <f>MAX($B$8:B57)+1</f>
        <v>46</v>
      </c>
      <c r="C58" s="83" t="s">
        <v>354</v>
      </c>
      <c r="D58" s="22">
        <v>809.21</v>
      </c>
      <c r="E58" s="22"/>
      <c r="F58" s="22"/>
      <c r="G58" s="22">
        <f t="shared" si="3"/>
        <v>809.21</v>
      </c>
    </row>
    <row r="59" spans="2:7" ht="15" customHeight="1" x14ac:dyDescent="0.25">
      <c r="B59" s="78">
        <f>MAX($B$8:B58)+1</f>
        <v>47</v>
      </c>
      <c r="C59" s="83" t="s">
        <v>596</v>
      </c>
      <c r="D59" s="22">
        <v>0</v>
      </c>
      <c r="E59" s="22"/>
      <c r="F59" s="22"/>
      <c r="G59" s="22">
        <f t="shared" si="3"/>
        <v>0</v>
      </c>
    </row>
    <row r="60" spans="2:7" ht="15" customHeight="1" x14ac:dyDescent="0.25">
      <c r="B60" s="78">
        <f>MAX($B$8:B59)+1</f>
        <v>48</v>
      </c>
      <c r="C60" s="83" t="s">
        <v>351</v>
      </c>
      <c r="D60" s="22">
        <v>166290.12000000002</v>
      </c>
      <c r="E60" s="22"/>
      <c r="F60" s="22"/>
      <c r="G60" s="22">
        <f t="shared" si="3"/>
        <v>166290.12000000002</v>
      </c>
    </row>
    <row r="61" spans="2:7" ht="15" customHeight="1" x14ac:dyDescent="0.25">
      <c r="B61" s="78">
        <f>MAX($B$8:B60)+1</f>
        <v>49</v>
      </c>
      <c r="C61" s="83" t="s">
        <v>352</v>
      </c>
      <c r="D61" s="22">
        <v>-48111.07</v>
      </c>
      <c r="E61" s="22"/>
      <c r="F61" s="22"/>
      <c r="G61" s="22">
        <f t="shared" si="3"/>
        <v>-48111.07</v>
      </c>
    </row>
    <row r="62" spans="2:7" ht="15" customHeight="1" x14ac:dyDescent="0.25">
      <c r="B62" s="78">
        <f>MAX($B$8:B61)+1</f>
        <v>50</v>
      </c>
      <c r="C62" s="83" t="s">
        <v>597</v>
      </c>
      <c r="D62" s="22">
        <v>0</v>
      </c>
      <c r="E62" s="22"/>
      <c r="F62" s="22"/>
      <c r="G62" s="22">
        <f t="shared" si="3"/>
        <v>0</v>
      </c>
    </row>
    <row r="63" spans="2:7" ht="15" customHeight="1" x14ac:dyDescent="0.25">
      <c r="B63" s="78">
        <f>MAX($B$8:B62)+1</f>
        <v>51</v>
      </c>
      <c r="C63" s="83" t="s">
        <v>598</v>
      </c>
      <c r="D63" s="22">
        <v>0</v>
      </c>
      <c r="E63" s="22"/>
      <c r="F63" s="22"/>
      <c r="G63" s="22">
        <f t="shared" si="3"/>
        <v>0</v>
      </c>
    </row>
    <row r="64" spans="2:7" ht="15" customHeight="1" x14ac:dyDescent="0.25">
      <c r="B64" s="78">
        <f>MAX($B$8:B63)+1</f>
        <v>52</v>
      </c>
      <c r="C64" s="83" t="s">
        <v>350</v>
      </c>
      <c r="D64" s="22">
        <v>338857.43</v>
      </c>
      <c r="E64" s="22"/>
      <c r="F64" s="22"/>
      <c r="G64" s="22">
        <f t="shared" si="3"/>
        <v>338857.43</v>
      </c>
    </row>
    <row r="65" spans="2:7" ht="15" customHeight="1" x14ac:dyDescent="0.25">
      <c r="B65" s="78">
        <f>MAX($B$8:B64)+1</f>
        <v>53</v>
      </c>
      <c r="C65" s="83" t="s">
        <v>599</v>
      </c>
      <c r="D65" s="22">
        <v>0</v>
      </c>
      <c r="E65" s="22"/>
      <c r="F65" s="22"/>
      <c r="G65" s="22">
        <f t="shared" si="3"/>
        <v>0</v>
      </c>
    </row>
    <row r="66" spans="2:7" ht="15" customHeight="1" x14ac:dyDescent="0.25">
      <c r="B66" s="78">
        <f>MAX($B$8:B65)+1</f>
        <v>54</v>
      </c>
      <c r="C66" s="83" t="s">
        <v>353</v>
      </c>
      <c r="D66" s="22">
        <v>29059935.510000002</v>
      </c>
      <c r="E66" s="22"/>
      <c r="F66" s="22"/>
      <c r="G66" s="22">
        <f t="shared" si="3"/>
        <v>29059935.510000002</v>
      </c>
    </row>
    <row r="67" spans="2:7" ht="3.75" customHeight="1" x14ac:dyDescent="0.25">
      <c r="B67" s="78"/>
      <c r="C67" s="83"/>
      <c r="D67" s="22"/>
      <c r="E67" s="22"/>
      <c r="F67" s="22"/>
    </row>
    <row r="68" spans="2:7" ht="15" customHeight="1" x14ac:dyDescent="0.25">
      <c r="B68" s="78">
        <f>MAX($B$8:B67)+1</f>
        <v>55</v>
      </c>
      <c r="C68" s="87" t="s">
        <v>341</v>
      </c>
      <c r="D68" s="22"/>
      <c r="E68" s="22"/>
      <c r="F68" s="22"/>
    </row>
    <row r="69" spans="2:7" ht="15" customHeight="1" x14ac:dyDescent="0.25">
      <c r="B69" s="78">
        <f>MAX($B$8:B68)+1</f>
        <v>56</v>
      </c>
      <c r="C69" s="83" t="s">
        <v>341</v>
      </c>
      <c r="D69" s="22">
        <v>50315384.719999984</v>
      </c>
      <c r="E69" s="22"/>
      <c r="F69" s="22"/>
      <c r="G69" s="22">
        <f t="shared" ref="G69:G80" si="4">SUM(D69:F69)</f>
        <v>50315384.719999984</v>
      </c>
    </row>
    <row r="70" spans="2:7" ht="15" customHeight="1" x14ac:dyDescent="0.25">
      <c r="B70" s="78">
        <f>MAX($B$8:B69)+1</f>
        <v>57</v>
      </c>
      <c r="C70" s="83" t="s">
        <v>600</v>
      </c>
      <c r="D70" s="22">
        <v>0</v>
      </c>
      <c r="E70" s="22"/>
      <c r="F70" s="22"/>
      <c r="G70" s="22">
        <f t="shared" si="4"/>
        <v>0</v>
      </c>
    </row>
    <row r="71" spans="2:7" ht="15" customHeight="1" x14ac:dyDescent="0.25">
      <c r="B71" s="78">
        <f>MAX($B$8:B70)+1</f>
        <v>58</v>
      </c>
      <c r="C71" s="83" t="s">
        <v>345</v>
      </c>
      <c r="D71" s="22">
        <v>-19290613.920000002</v>
      </c>
      <c r="E71" s="22"/>
      <c r="F71" s="22"/>
      <c r="G71" s="22">
        <f t="shared" si="4"/>
        <v>-19290613.920000002</v>
      </c>
    </row>
    <row r="72" spans="2:7" ht="15" customHeight="1" x14ac:dyDescent="0.25">
      <c r="B72" s="78">
        <f>MAX($B$8:B71)+1</f>
        <v>59</v>
      </c>
      <c r="C72" s="83" t="s">
        <v>343</v>
      </c>
      <c r="D72" s="22">
        <v>647058.26</v>
      </c>
      <c r="E72" s="22"/>
      <c r="F72" s="22"/>
      <c r="G72" s="22">
        <f t="shared" si="4"/>
        <v>647058.26</v>
      </c>
    </row>
    <row r="73" spans="2:7" ht="15" customHeight="1" x14ac:dyDescent="0.25">
      <c r="B73" s="78">
        <f>MAX($B$8:B72)+1</f>
        <v>60</v>
      </c>
      <c r="C73" s="83" t="s">
        <v>601</v>
      </c>
      <c r="D73" s="22">
        <v>0</v>
      </c>
      <c r="E73" s="22"/>
      <c r="F73" s="22"/>
      <c r="G73" s="22">
        <f t="shared" si="4"/>
        <v>0</v>
      </c>
    </row>
    <row r="74" spans="2:7" ht="15" customHeight="1" x14ac:dyDescent="0.25">
      <c r="B74" s="78">
        <f>MAX($B$8:B73)+1</f>
        <v>61</v>
      </c>
      <c r="C74" s="83" t="s">
        <v>602</v>
      </c>
      <c r="D74" s="22">
        <v>0</v>
      </c>
      <c r="E74" s="22"/>
      <c r="F74" s="22"/>
      <c r="G74" s="22">
        <f t="shared" si="4"/>
        <v>0</v>
      </c>
    </row>
    <row r="75" spans="2:7" ht="15" customHeight="1" x14ac:dyDescent="0.25">
      <c r="B75" s="78">
        <f>MAX($B$8:B74)+1</f>
        <v>62</v>
      </c>
      <c r="C75" s="83" t="s">
        <v>346</v>
      </c>
      <c r="D75" s="22">
        <v>0</v>
      </c>
      <c r="E75" s="22"/>
      <c r="F75" s="22"/>
      <c r="G75" s="22">
        <f t="shared" si="4"/>
        <v>0</v>
      </c>
    </row>
    <row r="76" spans="2:7" ht="15" customHeight="1" x14ac:dyDescent="0.25">
      <c r="B76" s="78">
        <f>MAX($B$8:B75)+1</f>
        <v>63</v>
      </c>
      <c r="C76" s="83" t="s">
        <v>344</v>
      </c>
      <c r="D76" s="22">
        <v>279918</v>
      </c>
      <c r="E76" s="22"/>
      <c r="F76" s="22"/>
      <c r="G76" s="22">
        <f t="shared" si="4"/>
        <v>279918</v>
      </c>
    </row>
    <row r="77" spans="2:7" ht="15" customHeight="1" x14ac:dyDescent="0.25">
      <c r="B77" s="78">
        <f>MAX($B$8:B76)+1</f>
        <v>64</v>
      </c>
      <c r="C77" s="83" t="s">
        <v>603</v>
      </c>
      <c r="D77" s="22">
        <v>0</v>
      </c>
      <c r="E77" s="22"/>
      <c r="F77" s="22"/>
      <c r="G77" s="22">
        <f t="shared" si="4"/>
        <v>0</v>
      </c>
    </row>
    <row r="78" spans="2:7" ht="15" customHeight="1" x14ac:dyDescent="0.25">
      <c r="B78" s="78">
        <f>MAX($B$8:B77)+1</f>
        <v>65</v>
      </c>
      <c r="C78" s="83" t="s">
        <v>604</v>
      </c>
      <c r="D78" s="22">
        <v>0</v>
      </c>
      <c r="E78" s="22"/>
      <c r="F78" s="22"/>
      <c r="G78" s="22">
        <f t="shared" si="4"/>
        <v>0</v>
      </c>
    </row>
    <row r="79" spans="2:7" ht="15" customHeight="1" x14ac:dyDescent="0.25">
      <c r="B79" s="78">
        <f>MAX($B$8:B78)+1</f>
        <v>66</v>
      </c>
      <c r="C79" s="83" t="s">
        <v>605</v>
      </c>
      <c r="D79" s="22">
        <v>0</v>
      </c>
      <c r="E79" s="22"/>
      <c r="F79" s="22"/>
      <c r="G79" s="22">
        <f t="shared" si="4"/>
        <v>0</v>
      </c>
    </row>
    <row r="80" spans="2:7" ht="15" customHeight="1" x14ac:dyDescent="0.25">
      <c r="B80" s="78">
        <f>MAX($B$8:B79)+1</f>
        <v>67</v>
      </c>
      <c r="C80" s="83" t="s">
        <v>342</v>
      </c>
      <c r="D80" s="22">
        <v>395458.32</v>
      </c>
      <c r="E80" s="22"/>
      <c r="F80" s="22"/>
      <c r="G80" s="22">
        <f t="shared" si="4"/>
        <v>395458.32</v>
      </c>
    </row>
    <row r="81" spans="2:7" ht="3.75" customHeight="1" x14ac:dyDescent="0.25">
      <c r="B81" s="78"/>
      <c r="C81" s="83"/>
      <c r="D81" s="22"/>
      <c r="E81" s="22"/>
      <c r="F81" s="22"/>
    </row>
    <row r="82" spans="2:7" ht="15" customHeight="1" x14ac:dyDescent="0.25">
      <c r="B82" s="78">
        <f>MAX($B$8:B81)+1</f>
        <v>68</v>
      </c>
      <c r="C82" s="87" t="s">
        <v>610</v>
      </c>
      <c r="D82" s="22"/>
      <c r="E82" s="22"/>
      <c r="F82" s="22"/>
    </row>
    <row r="83" spans="2:7" ht="15" customHeight="1" x14ac:dyDescent="0.25">
      <c r="B83" s="78">
        <f>MAX($B$8:B82)+1</f>
        <v>69</v>
      </c>
      <c r="C83" s="83" t="s">
        <v>364</v>
      </c>
      <c r="D83" s="22">
        <v>0</v>
      </c>
      <c r="E83" s="22"/>
      <c r="F83" s="22"/>
      <c r="G83" s="22">
        <f t="shared" ref="G83:G92" si="5">SUM(D83:F83)</f>
        <v>0</v>
      </c>
    </row>
    <row r="84" spans="2:7" ht="15" customHeight="1" x14ac:dyDescent="0.25">
      <c r="B84" s="78">
        <f>MAX($B$8:B83)+1</f>
        <v>70</v>
      </c>
      <c r="C84" s="83" t="s">
        <v>359</v>
      </c>
      <c r="D84" s="22">
        <v>76684.899999999994</v>
      </c>
      <c r="E84" s="22"/>
      <c r="F84" s="22"/>
      <c r="G84" s="22">
        <f t="shared" si="5"/>
        <v>76684.899999999994</v>
      </c>
    </row>
    <row r="85" spans="2:7" ht="15" customHeight="1" x14ac:dyDescent="0.25">
      <c r="B85" s="78">
        <f>MAX($B$8:B84)+1</f>
        <v>71</v>
      </c>
      <c r="C85" s="83" t="s">
        <v>358</v>
      </c>
      <c r="D85" s="22">
        <v>-5278789.0599999996</v>
      </c>
      <c r="E85" s="22"/>
      <c r="F85" s="22"/>
      <c r="G85" s="22">
        <f t="shared" si="5"/>
        <v>-5278789.0599999996</v>
      </c>
    </row>
    <row r="86" spans="2:7" ht="15" customHeight="1" x14ac:dyDescent="0.25">
      <c r="B86" s="78">
        <f>MAX($B$8:B85)+1</f>
        <v>72</v>
      </c>
      <c r="C86" s="83" t="s">
        <v>360</v>
      </c>
      <c r="D86" s="22">
        <v>279.85000000000002</v>
      </c>
      <c r="E86" s="22"/>
      <c r="F86" s="22"/>
      <c r="G86" s="22">
        <f t="shared" si="5"/>
        <v>279.85000000000002</v>
      </c>
    </row>
    <row r="87" spans="2:7" ht="15" customHeight="1" x14ac:dyDescent="0.25">
      <c r="B87" s="78">
        <f>MAX($B$8:B86)+1</f>
        <v>73</v>
      </c>
      <c r="C87" s="83" t="s">
        <v>361</v>
      </c>
      <c r="D87" s="22">
        <v>0</v>
      </c>
      <c r="E87" s="22"/>
      <c r="F87" s="22"/>
      <c r="G87" s="22">
        <f t="shared" si="5"/>
        <v>0</v>
      </c>
    </row>
    <row r="88" spans="2:7" ht="15" customHeight="1" x14ac:dyDescent="0.25">
      <c r="B88" s="78">
        <f>MAX($B$8:B87)+1</f>
        <v>74</v>
      </c>
      <c r="C88" s="83" t="s">
        <v>606</v>
      </c>
      <c r="D88" s="22">
        <v>0</v>
      </c>
      <c r="E88" s="22"/>
      <c r="F88" s="22"/>
      <c r="G88" s="22">
        <f t="shared" si="5"/>
        <v>0</v>
      </c>
    </row>
    <row r="89" spans="2:7" ht="15" customHeight="1" x14ac:dyDescent="0.25">
      <c r="B89" s="78">
        <f>MAX($B$8:B88)+1</f>
        <v>75</v>
      </c>
      <c r="C89" s="83" t="s">
        <v>607</v>
      </c>
      <c r="D89" s="22">
        <v>0</v>
      </c>
      <c r="E89" s="22"/>
      <c r="F89" s="22"/>
      <c r="G89" s="22">
        <f t="shared" si="5"/>
        <v>0</v>
      </c>
    </row>
    <row r="90" spans="2:7" ht="15" customHeight="1" x14ac:dyDescent="0.25">
      <c r="B90" s="78">
        <f>MAX($B$8:B89)+1</f>
        <v>76</v>
      </c>
      <c r="C90" s="83" t="s">
        <v>608</v>
      </c>
      <c r="D90" s="22">
        <v>0</v>
      </c>
      <c r="E90" s="22"/>
      <c r="F90" s="22"/>
      <c r="G90" s="22">
        <f t="shared" si="5"/>
        <v>0</v>
      </c>
    </row>
    <row r="91" spans="2:7" ht="15" customHeight="1" x14ac:dyDescent="0.25">
      <c r="B91" s="78">
        <f>MAX($B$8:B90)+1</f>
        <v>77</v>
      </c>
      <c r="C91" s="83" t="s">
        <v>609</v>
      </c>
      <c r="D91" s="22">
        <v>0</v>
      </c>
      <c r="E91" s="22"/>
      <c r="F91" s="22"/>
      <c r="G91" s="22">
        <f t="shared" si="5"/>
        <v>0</v>
      </c>
    </row>
    <row r="92" spans="2:7" ht="15" customHeight="1" x14ac:dyDescent="0.25">
      <c r="B92" s="78">
        <f>MAX($B$8:B91)+1</f>
        <v>78</v>
      </c>
      <c r="C92" s="83" t="s">
        <v>362</v>
      </c>
      <c r="D92" s="22">
        <v>-2494874.11</v>
      </c>
      <c r="E92" s="22"/>
      <c r="F92" s="22"/>
      <c r="G92" s="22">
        <f t="shared" si="5"/>
        <v>-2494874.11</v>
      </c>
    </row>
    <row r="93" spans="2:7" ht="3.75" customHeight="1" x14ac:dyDescent="0.25">
      <c r="B93" s="78"/>
      <c r="C93" s="83"/>
      <c r="D93" s="22"/>
      <c r="E93" s="22"/>
      <c r="F93" s="22"/>
    </row>
    <row r="94" spans="2:7" ht="15" customHeight="1" x14ac:dyDescent="0.25">
      <c r="B94" s="78">
        <f>MAX($B$8:B93)+1</f>
        <v>79</v>
      </c>
      <c r="C94" s="87" t="s">
        <v>611</v>
      </c>
      <c r="D94" s="22"/>
      <c r="E94" s="22"/>
      <c r="F94" s="22"/>
    </row>
    <row r="95" spans="2:7" ht="15" customHeight="1" x14ac:dyDescent="0.25">
      <c r="B95" s="78">
        <f>MAX($B$8:B94)+1</f>
        <v>80</v>
      </c>
      <c r="C95" s="83" t="s">
        <v>612</v>
      </c>
      <c r="D95" s="22">
        <v>0</v>
      </c>
      <c r="E95" s="22"/>
      <c r="F95" s="22"/>
      <c r="G95" s="22">
        <f t="shared" ref="G95:G99" si="6">SUM(D95:F95)</f>
        <v>0</v>
      </c>
    </row>
    <row r="96" spans="2:7" ht="15" customHeight="1" x14ac:dyDescent="0.25">
      <c r="B96" s="78">
        <f>MAX($B$8:B95)+1</f>
        <v>81</v>
      </c>
      <c r="C96" s="83" t="s">
        <v>381</v>
      </c>
      <c r="D96" s="22">
        <v>-65238.99</v>
      </c>
      <c r="E96" s="22"/>
      <c r="F96" s="22"/>
      <c r="G96" s="22">
        <f t="shared" si="6"/>
        <v>-65238.99</v>
      </c>
    </row>
    <row r="97" spans="2:7" ht="15" customHeight="1" x14ac:dyDescent="0.25">
      <c r="B97" s="78">
        <f>MAX($B$8:B96)+1</f>
        <v>82</v>
      </c>
      <c r="C97" s="83" t="s">
        <v>382</v>
      </c>
      <c r="D97" s="22">
        <v>-33500008.920000002</v>
      </c>
      <c r="E97" s="22"/>
      <c r="F97" s="22"/>
      <c r="G97" s="22">
        <f t="shared" si="6"/>
        <v>-33500008.920000002</v>
      </c>
    </row>
    <row r="98" spans="2:7" ht="15" customHeight="1" x14ac:dyDescent="0.25">
      <c r="B98" s="78">
        <f>MAX($B$8:B97)+1</f>
        <v>83</v>
      </c>
      <c r="C98" s="83" t="s">
        <v>383</v>
      </c>
      <c r="D98" s="22">
        <v>12837979.970000001</v>
      </c>
      <c r="E98" s="22"/>
      <c r="F98" s="22"/>
      <c r="G98" s="22">
        <f t="shared" si="6"/>
        <v>12837979.970000001</v>
      </c>
    </row>
    <row r="99" spans="2:7" ht="15" customHeight="1" x14ac:dyDescent="0.25">
      <c r="B99" s="78">
        <f>MAX($B$8:B98)+1</f>
        <v>84</v>
      </c>
      <c r="C99" s="83" t="s">
        <v>613</v>
      </c>
      <c r="D99" s="22">
        <v>0</v>
      </c>
      <c r="E99" s="22"/>
      <c r="F99" s="22"/>
      <c r="G99" s="22">
        <f t="shared" si="6"/>
        <v>0</v>
      </c>
    </row>
    <row r="100" spans="2:7" ht="3.75" customHeight="1" x14ac:dyDescent="0.25">
      <c r="B100" s="78"/>
      <c r="C100" s="83"/>
      <c r="D100" s="22"/>
      <c r="E100" s="22"/>
      <c r="F100" s="22"/>
    </row>
    <row r="101" spans="2:7" ht="15" customHeight="1" x14ac:dyDescent="0.25">
      <c r="B101" s="78">
        <f>MAX($B$8:B100)+1</f>
        <v>85</v>
      </c>
      <c r="C101" s="87" t="s">
        <v>617</v>
      </c>
      <c r="D101" s="22"/>
      <c r="E101" s="22"/>
      <c r="F101" s="22"/>
    </row>
    <row r="102" spans="2:7" ht="15" customHeight="1" x14ac:dyDescent="0.25">
      <c r="B102" s="78">
        <f>MAX($B$8:B101)+1</f>
        <v>86</v>
      </c>
      <c r="C102" s="83" t="s">
        <v>355</v>
      </c>
      <c r="D102" s="22">
        <v>-33605349.939999998</v>
      </c>
      <c r="E102" s="22"/>
      <c r="F102" s="22"/>
      <c r="G102" s="22">
        <f t="shared" ref="G102:G107" si="7">SUM(D102:F102)</f>
        <v>-33605349.939999998</v>
      </c>
    </row>
    <row r="103" spans="2:7" ht="15" customHeight="1" x14ac:dyDescent="0.25">
      <c r="B103" s="78">
        <f>MAX($B$8:B102)+1</f>
        <v>87</v>
      </c>
      <c r="C103" s="83" t="s">
        <v>357</v>
      </c>
      <c r="D103" s="22">
        <v>0</v>
      </c>
      <c r="E103" s="22"/>
      <c r="F103" s="22"/>
      <c r="G103" s="22">
        <f t="shared" si="7"/>
        <v>0</v>
      </c>
    </row>
    <row r="104" spans="2:7" ht="15" customHeight="1" x14ac:dyDescent="0.25">
      <c r="B104" s="78">
        <f>MAX($B$8:B103)+1</f>
        <v>88</v>
      </c>
      <c r="C104" s="83" t="s">
        <v>614</v>
      </c>
      <c r="D104" s="22">
        <v>0</v>
      </c>
      <c r="E104" s="22"/>
      <c r="F104" s="22"/>
      <c r="G104" s="22">
        <f t="shared" si="7"/>
        <v>0</v>
      </c>
    </row>
    <row r="105" spans="2:7" ht="15" customHeight="1" x14ac:dyDescent="0.25">
      <c r="B105" s="78">
        <f>MAX($B$8:B104)+1</f>
        <v>89</v>
      </c>
      <c r="C105" s="83" t="s">
        <v>615</v>
      </c>
      <c r="D105" s="22">
        <v>0</v>
      </c>
      <c r="E105" s="22"/>
      <c r="F105" s="22"/>
      <c r="G105" s="22">
        <f t="shared" si="7"/>
        <v>0</v>
      </c>
    </row>
    <row r="106" spans="2:7" ht="15" customHeight="1" x14ac:dyDescent="0.25">
      <c r="B106" s="78">
        <f>MAX($B$8:B105)+1</f>
        <v>90</v>
      </c>
      <c r="C106" s="83" t="s">
        <v>616</v>
      </c>
      <c r="D106" s="22">
        <v>0</v>
      </c>
      <c r="E106" s="22"/>
      <c r="F106" s="22"/>
      <c r="G106" s="22">
        <f t="shared" si="7"/>
        <v>0</v>
      </c>
    </row>
    <row r="107" spans="2:7" ht="15" customHeight="1" x14ac:dyDescent="0.25">
      <c r="B107" s="78">
        <f>MAX($B$8:B106)+1</f>
        <v>91</v>
      </c>
      <c r="C107" s="83" t="s">
        <v>356</v>
      </c>
      <c r="D107" s="22">
        <v>712606.83999999799</v>
      </c>
      <c r="E107" s="22"/>
      <c r="F107" s="22"/>
      <c r="G107" s="22">
        <f t="shared" si="7"/>
        <v>712606.83999999799</v>
      </c>
    </row>
    <row r="108" spans="2:7" ht="15" customHeight="1" x14ac:dyDescent="0.25">
      <c r="B108" s="78"/>
      <c r="C108" s="83"/>
      <c r="D108" s="22"/>
      <c r="E108" s="22"/>
      <c r="F108" s="22"/>
    </row>
    <row r="109" spans="2:7" ht="15" customHeight="1" x14ac:dyDescent="0.25">
      <c r="B109" s="78"/>
      <c r="C109" s="83"/>
      <c r="D109" s="22"/>
      <c r="E109" s="22"/>
      <c r="F109" s="22"/>
    </row>
    <row r="110" spans="2:7" ht="15" customHeight="1" x14ac:dyDescent="0.25">
      <c r="B110" s="78"/>
      <c r="C110" s="83"/>
      <c r="D110" s="22"/>
      <c r="E110" s="22"/>
      <c r="F110" s="22"/>
    </row>
    <row r="111" spans="2:7" ht="15" customHeight="1" x14ac:dyDescent="0.25">
      <c r="B111" s="78"/>
      <c r="C111" s="83"/>
      <c r="D111" s="22"/>
      <c r="E111" s="22"/>
      <c r="F111" s="22"/>
    </row>
    <row r="112" spans="2:7" ht="15" customHeight="1" x14ac:dyDescent="0.25">
      <c r="B112" s="78"/>
      <c r="C112" s="83"/>
      <c r="D112" s="22"/>
      <c r="E112" s="22"/>
      <c r="F112" s="22"/>
    </row>
    <row r="113" spans="2:6" ht="15" customHeight="1" x14ac:dyDescent="0.25">
      <c r="B113" s="78"/>
      <c r="C113" s="83"/>
      <c r="D113" s="22"/>
      <c r="E113" s="22"/>
      <c r="F113" s="22"/>
    </row>
    <row r="114" spans="2:6" ht="15" customHeight="1" x14ac:dyDescent="0.25">
      <c r="B114" s="78"/>
      <c r="C114" s="83"/>
      <c r="D114" s="22"/>
      <c r="E114" s="22"/>
      <c r="F114" s="22"/>
    </row>
    <row r="115" spans="2:6" ht="15" customHeight="1" x14ac:dyDescent="0.25">
      <c r="B115" s="78"/>
      <c r="C115" s="83"/>
      <c r="D115" s="22"/>
      <c r="E115" s="22"/>
      <c r="F115" s="22"/>
    </row>
    <row r="116" spans="2:6" ht="15" customHeight="1" x14ac:dyDescent="0.25">
      <c r="B116" s="78"/>
      <c r="C116" s="83"/>
      <c r="D116" s="22"/>
      <c r="E116" s="22"/>
      <c r="F116" s="22"/>
    </row>
    <row r="117" spans="2:6" ht="15" customHeight="1" x14ac:dyDescent="0.25">
      <c r="B117" s="78"/>
      <c r="C117" s="83"/>
      <c r="D117" s="22"/>
      <c r="E117" s="22"/>
      <c r="F117" s="22"/>
    </row>
    <row r="118" spans="2:6" ht="15" customHeight="1" x14ac:dyDescent="0.25">
      <c r="B118" s="78"/>
      <c r="C118" s="83"/>
      <c r="D118" s="22"/>
      <c r="E118" s="22"/>
      <c r="F118" s="22"/>
    </row>
    <row r="119" spans="2:6" ht="15" customHeight="1" x14ac:dyDescent="0.25">
      <c r="B119" s="78"/>
      <c r="C119" s="83"/>
      <c r="D119" s="22"/>
      <c r="E119" s="22"/>
      <c r="F119" s="22"/>
    </row>
    <row r="120" spans="2:6" ht="15" customHeight="1" x14ac:dyDescent="0.25">
      <c r="B120" s="78"/>
      <c r="C120" s="83"/>
      <c r="D120" s="22"/>
      <c r="E120" s="22"/>
      <c r="F120" s="22"/>
    </row>
    <row r="121" spans="2:6" ht="15" customHeight="1" x14ac:dyDescent="0.25">
      <c r="B121" s="78"/>
      <c r="C121" s="83"/>
      <c r="D121" s="22"/>
      <c r="E121" s="22"/>
      <c r="F121" s="22"/>
    </row>
    <row r="122" spans="2:6" ht="15" customHeight="1" x14ac:dyDescent="0.25">
      <c r="B122" s="78"/>
      <c r="C122" s="83"/>
      <c r="D122" s="22"/>
      <c r="E122" s="22"/>
      <c r="F122" s="22"/>
    </row>
    <row r="123" spans="2:6" ht="15" customHeight="1" x14ac:dyDescent="0.25">
      <c r="B123" s="78"/>
      <c r="C123" s="83"/>
      <c r="D123" s="22"/>
      <c r="E123" s="22"/>
      <c r="F123" s="22"/>
    </row>
    <row r="124" spans="2:6" ht="15" customHeight="1" x14ac:dyDescent="0.25">
      <c r="B124" s="78"/>
      <c r="C124" s="83"/>
      <c r="D124" s="22"/>
      <c r="E124" s="22"/>
      <c r="F124" s="22"/>
    </row>
    <row r="125" spans="2:6" ht="15" customHeight="1" x14ac:dyDescent="0.25">
      <c r="B125" s="78"/>
      <c r="C125" s="83"/>
      <c r="D125" s="22"/>
      <c r="E125" s="22"/>
      <c r="F125" s="22"/>
    </row>
    <row r="126" spans="2:6" ht="15" customHeight="1" x14ac:dyDescent="0.25">
      <c r="B126" s="78"/>
      <c r="C126" s="83"/>
      <c r="D126" s="22"/>
      <c r="E126" s="22"/>
      <c r="F126" s="22"/>
    </row>
    <row r="127" spans="2:6" ht="15" customHeight="1" x14ac:dyDescent="0.25">
      <c r="B127" s="78"/>
      <c r="C127" s="83"/>
      <c r="D127" s="22"/>
      <c r="E127" s="22"/>
      <c r="F127" s="22"/>
    </row>
    <row r="128" spans="2:6" ht="15" customHeight="1" x14ac:dyDescent="0.25">
      <c r="B128" s="78"/>
      <c r="C128" s="83"/>
      <c r="D128" s="22"/>
      <c r="E128" s="22"/>
      <c r="F128" s="22"/>
    </row>
    <row r="129" spans="2:6" ht="15" customHeight="1" x14ac:dyDescent="0.25">
      <c r="B129" s="78"/>
      <c r="C129" s="83"/>
      <c r="D129" s="22"/>
      <c r="E129" s="22"/>
      <c r="F129" s="22"/>
    </row>
    <row r="130" spans="2:6" ht="15" customHeight="1" x14ac:dyDescent="0.25">
      <c r="B130" s="78"/>
      <c r="C130" s="83"/>
      <c r="D130" s="22"/>
      <c r="E130" s="22"/>
      <c r="F130" s="22"/>
    </row>
    <row r="131" spans="2:6" ht="15" customHeight="1" x14ac:dyDescent="0.25">
      <c r="B131" s="78"/>
      <c r="C131" s="83"/>
      <c r="D131" s="22"/>
      <c r="E131" s="22"/>
      <c r="F131" s="22"/>
    </row>
    <row r="132" spans="2:6" ht="15" customHeight="1" x14ac:dyDescent="0.25">
      <c r="B132" s="78"/>
      <c r="C132" s="83"/>
      <c r="D132" s="22"/>
      <c r="E132" s="22"/>
      <c r="F132" s="22"/>
    </row>
    <row r="133" spans="2:6" ht="15" customHeight="1" x14ac:dyDescent="0.25">
      <c r="B133" s="78"/>
      <c r="C133" s="83"/>
      <c r="D133" s="22"/>
      <c r="E133" s="22"/>
      <c r="F133" s="22"/>
    </row>
    <row r="134" spans="2:6" ht="15" customHeight="1" x14ac:dyDescent="0.25">
      <c r="B134" s="78"/>
      <c r="C134" s="83"/>
      <c r="D134" s="22"/>
      <c r="E134" s="22"/>
      <c r="F134" s="22"/>
    </row>
    <row r="135" spans="2:6" ht="15" customHeight="1" x14ac:dyDescent="0.25">
      <c r="B135" s="78"/>
      <c r="C135" s="83"/>
      <c r="D135" s="22"/>
      <c r="E135" s="22"/>
      <c r="F135" s="22"/>
    </row>
    <row r="136" spans="2:6" ht="15" customHeight="1" x14ac:dyDescent="0.25">
      <c r="B136" s="78"/>
      <c r="C136" s="83"/>
      <c r="D136" s="22"/>
      <c r="E136" s="22"/>
      <c r="F136" s="22"/>
    </row>
    <row r="137" spans="2:6" ht="15" customHeight="1" x14ac:dyDescent="0.25">
      <c r="B137" s="78"/>
      <c r="C137" s="83"/>
      <c r="D137" s="22"/>
      <c r="E137" s="22"/>
      <c r="F137" s="22"/>
    </row>
    <row r="138" spans="2:6" ht="15" customHeight="1" x14ac:dyDescent="0.25">
      <c r="B138" s="78"/>
      <c r="C138" s="83"/>
      <c r="D138" s="22"/>
      <c r="E138" s="22"/>
      <c r="F138" s="22"/>
    </row>
    <row r="139" spans="2:6" ht="15" customHeight="1" x14ac:dyDescent="0.25">
      <c r="B139" s="78"/>
      <c r="C139" s="83"/>
      <c r="D139" s="22"/>
      <c r="E139" s="22"/>
      <c r="F139" s="22"/>
    </row>
    <row r="140" spans="2:6" ht="15" customHeight="1" x14ac:dyDescent="0.25">
      <c r="B140" s="78"/>
      <c r="C140" s="83"/>
      <c r="D140" s="22"/>
      <c r="E140" s="22"/>
      <c r="F140" s="22"/>
    </row>
    <row r="141" spans="2:6" ht="15" customHeight="1" x14ac:dyDescent="0.25">
      <c r="B141" s="78"/>
      <c r="C141" s="83"/>
    </row>
    <row r="142" spans="2:6" ht="15" customHeight="1" x14ac:dyDescent="0.25">
      <c r="B142" s="78"/>
      <c r="C142" s="84"/>
    </row>
    <row r="143" spans="2:6" ht="15" customHeight="1" x14ac:dyDescent="0.25">
      <c r="B143" s="78"/>
      <c r="C143" s="83"/>
      <c r="D143" s="22"/>
      <c r="E143" s="22"/>
      <c r="F143" s="22"/>
    </row>
    <row r="144" spans="2:6" ht="15" customHeight="1" x14ac:dyDescent="0.25">
      <c r="B144" s="78"/>
      <c r="C144" s="83"/>
      <c r="D144" s="22"/>
      <c r="E144" s="22"/>
      <c r="F144" s="22"/>
    </row>
    <row r="145" spans="2:6" ht="15" customHeight="1" x14ac:dyDescent="0.25">
      <c r="B145" s="78"/>
      <c r="C145" s="83"/>
    </row>
    <row r="146" spans="2:6" ht="15" customHeight="1" x14ac:dyDescent="0.25">
      <c r="B146" s="78"/>
      <c r="C146" s="84"/>
    </row>
    <row r="147" spans="2:6" ht="15" customHeight="1" x14ac:dyDescent="0.25">
      <c r="B147" s="78"/>
      <c r="C147" s="83"/>
      <c r="D147" s="22"/>
      <c r="E147" s="22"/>
      <c r="F147" s="22"/>
    </row>
    <row r="148" spans="2:6" ht="15" customHeight="1" x14ac:dyDescent="0.25">
      <c r="B148" s="78"/>
      <c r="C148" s="83"/>
    </row>
    <row r="149" spans="2:6" ht="15" customHeight="1" x14ac:dyDescent="0.25">
      <c r="B149" s="78"/>
      <c r="C149" s="84"/>
    </row>
    <row r="150" spans="2:6" ht="15" customHeight="1" x14ac:dyDescent="0.25">
      <c r="B150" s="78"/>
      <c r="C150" s="83"/>
      <c r="D150" s="22"/>
      <c r="E150" s="22"/>
      <c r="F150" s="22"/>
    </row>
    <row r="151" spans="2:6" ht="15" customHeight="1" x14ac:dyDescent="0.25">
      <c r="B151" s="78"/>
      <c r="C151" s="83"/>
      <c r="D151" s="22"/>
      <c r="E151" s="22"/>
      <c r="F151" s="22"/>
    </row>
    <row r="152" spans="2:6" ht="15" customHeight="1" x14ac:dyDescent="0.25">
      <c r="B152" s="78"/>
      <c r="C152" s="83"/>
      <c r="D152" s="22"/>
      <c r="E152" s="22"/>
      <c r="F152" s="22"/>
    </row>
    <row r="153" spans="2:6" ht="15" customHeight="1" x14ac:dyDescent="0.25">
      <c r="B153" s="78"/>
      <c r="C153" s="83"/>
      <c r="D153" s="22"/>
      <c r="E153" s="22"/>
      <c r="F153" s="22"/>
    </row>
    <row r="154" spans="2:6" ht="15" customHeight="1" x14ac:dyDescent="0.25">
      <c r="B154" s="78"/>
      <c r="C154" s="83"/>
      <c r="D154" s="22"/>
      <c r="E154" s="22"/>
      <c r="F154" s="22"/>
    </row>
    <row r="155" spans="2:6" ht="15" customHeight="1" x14ac:dyDescent="0.25">
      <c r="B155" s="78"/>
      <c r="C155" s="83"/>
      <c r="D155" s="22"/>
      <c r="E155" s="22"/>
      <c r="F155" s="22"/>
    </row>
    <row r="156" spans="2:6" ht="15" customHeight="1" x14ac:dyDescent="0.25">
      <c r="B156" s="78"/>
      <c r="C156" s="83"/>
      <c r="D156" s="22"/>
      <c r="E156" s="22"/>
      <c r="F156" s="22"/>
    </row>
    <row r="157" spans="2:6" ht="15" customHeight="1" x14ac:dyDescent="0.25">
      <c r="B157" s="78"/>
      <c r="C157" s="83"/>
      <c r="D157" s="22"/>
      <c r="E157" s="22"/>
      <c r="F157" s="22"/>
    </row>
    <row r="158" spans="2:6" ht="15" customHeight="1" x14ac:dyDescent="0.25">
      <c r="B158" s="78"/>
      <c r="C158" s="83"/>
    </row>
    <row r="159" spans="2:6" ht="15" customHeight="1" x14ac:dyDescent="0.25">
      <c r="B159" s="78"/>
      <c r="C159" s="84"/>
    </row>
    <row r="160" spans="2:6" ht="15" customHeight="1" x14ac:dyDescent="0.25">
      <c r="B160" s="78"/>
      <c r="C160" s="83"/>
      <c r="D160" s="22"/>
      <c r="E160" s="22"/>
      <c r="F160" s="22"/>
    </row>
    <row r="161" spans="2:6" ht="15" customHeight="1" x14ac:dyDescent="0.25">
      <c r="B161" s="78"/>
      <c r="C161" s="83"/>
      <c r="D161" s="22"/>
      <c r="E161" s="22"/>
      <c r="F161" s="22"/>
    </row>
    <row r="162" spans="2:6" ht="15" customHeight="1" x14ac:dyDescent="0.25">
      <c r="B162" s="78"/>
      <c r="C162" s="83"/>
      <c r="D162" s="22"/>
      <c r="E162" s="22"/>
      <c r="F162" s="22"/>
    </row>
    <row r="163" spans="2:6" ht="15" customHeight="1" x14ac:dyDescent="0.25">
      <c r="B163" s="78"/>
      <c r="C163" s="83"/>
      <c r="D163" s="22"/>
      <c r="E163" s="22"/>
      <c r="F163" s="22"/>
    </row>
    <row r="164" spans="2:6" ht="15" customHeight="1" x14ac:dyDescent="0.25">
      <c r="B164" s="78"/>
      <c r="C164" s="83"/>
      <c r="D164" s="22"/>
      <c r="E164" s="22"/>
      <c r="F164" s="22"/>
    </row>
    <row r="165" spans="2:6" ht="15" customHeight="1" x14ac:dyDescent="0.25">
      <c r="B165" s="78"/>
      <c r="C165" s="83"/>
      <c r="D165" s="22"/>
      <c r="E165" s="22"/>
      <c r="F165" s="22"/>
    </row>
    <row r="166" spans="2:6" ht="15" customHeight="1" x14ac:dyDescent="0.25">
      <c r="B166" s="78"/>
      <c r="C166" s="83"/>
      <c r="D166" s="22"/>
      <c r="E166" s="22"/>
      <c r="F166" s="22"/>
    </row>
    <row r="167" spans="2:6" ht="15" customHeight="1" x14ac:dyDescent="0.25">
      <c r="B167" s="78"/>
      <c r="C167" s="83"/>
      <c r="D167" s="22"/>
      <c r="E167" s="22"/>
      <c r="F167" s="22"/>
    </row>
    <row r="168" spans="2:6" ht="15" customHeight="1" x14ac:dyDescent="0.25">
      <c r="B168" s="78"/>
      <c r="C168" s="83"/>
      <c r="D168" s="22"/>
      <c r="E168" s="22"/>
      <c r="F168" s="22"/>
    </row>
    <row r="169" spans="2:6" ht="15" customHeight="1" x14ac:dyDescent="0.25">
      <c r="B169" s="78"/>
      <c r="C169" s="83"/>
      <c r="D169" s="22"/>
      <c r="E169" s="22"/>
      <c r="F169" s="22"/>
    </row>
    <row r="170" spans="2:6" ht="15" customHeight="1" x14ac:dyDescent="0.25">
      <c r="B170" s="78"/>
      <c r="C170" s="83"/>
      <c r="D170" s="22"/>
      <c r="E170" s="22"/>
      <c r="F170" s="22"/>
    </row>
    <row r="171" spans="2:6" ht="15" customHeight="1" x14ac:dyDescent="0.25">
      <c r="B171" s="78"/>
      <c r="C171" s="83"/>
      <c r="D171" s="22"/>
      <c r="E171" s="22"/>
      <c r="F171" s="22"/>
    </row>
    <row r="172" spans="2:6" ht="15" customHeight="1" x14ac:dyDescent="0.25">
      <c r="B172" s="78"/>
      <c r="C172" s="83"/>
      <c r="D172" s="22"/>
      <c r="E172" s="22"/>
      <c r="F172" s="22"/>
    </row>
    <row r="173" spans="2:6" ht="15" customHeight="1" x14ac:dyDescent="0.25">
      <c r="B173" s="78"/>
      <c r="C173" s="83"/>
      <c r="D173" s="22"/>
      <c r="E173" s="22"/>
      <c r="F173" s="22"/>
    </row>
    <row r="174" spans="2:6" ht="15" customHeight="1" x14ac:dyDescent="0.25">
      <c r="B174" s="78"/>
      <c r="C174" s="83"/>
      <c r="D174" s="22"/>
      <c r="E174" s="22"/>
      <c r="F174" s="22"/>
    </row>
    <row r="175" spans="2:6" ht="15" customHeight="1" x14ac:dyDescent="0.25">
      <c r="B175" s="78"/>
      <c r="C175" s="83"/>
      <c r="D175" s="22"/>
      <c r="E175" s="22"/>
      <c r="F175" s="22"/>
    </row>
    <row r="176" spans="2:6" ht="15" customHeight="1" x14ac:dyDescent="0.25">
      <c r="B176" s="78"/>
      <c r="C176" s="83"/>
      <c r="D176" s="22"/>
      <c r="E176" s="22"/>
      <c r="F176" s="22"/>
    </row>
    <row r="177" spans="2:6" ht="15" customHeight="1" x14ac:dyDescent="0.25">
      <c r="B177" s="78"/>
      <c r="C177" s="83"/>
      <c r="D177" s="22"/>
      <c r="E177" s="22"/>
      <c r="F177" s="22"/>
    </row>
    <row r="178" spans="2:6" ht="15" customHeight="1" x14ac:dyDescent="0.25">
      <c r="B178" s="78"/>
      <c r="C178" s="83"/>
      <c r="D178" s="22"/>
      <c r="E178" s="22"/>
      <c r="F178" s="22"/>
    </row>
    <row r="179" spans="2:6" ht="15" customHeight="1" x14ac:dyDescent="0.25">
      <c r="B179" s="78"/>
      <c r="C179" s="83"/>
      <c r="D179" s="22"/>
      <c r="E179" s="22"/>
      <c r="F179" s="22"/>
    </row>
    <row r="180" spans="2:6" ht="15" customHeight="1" x14ac:dyDescent="0.25">
      <c r="B180" s="78"/>
      <c r="C180" s="83"/>
      <c r="D180" s="22"/>
      <c r="E180" s="22"/>
      <c r="F180" s="22"/>
    </row>
    <row r="181" spans="2:6" ht="15" customHeight="1" x14ac:dyDescent="0.25">
      <c r="B181" s="78"/>
      <c r="C181" s="83"/>
      <c r="D181" s="22"/>
      <c r="E181" s="22"/>
      <c r="F181" s="22"/>
    </row>
    <row r="182" spans="2:6" ht="15" customHeight="1" x14ac:dyDescent="0.25">
      <c r="B182" s="78"/>
      <c r="C182" s="83"/>
      <c r="D182" s="22"/>
      <c r="E182" s="22"/>
      <c r="F182" s="22"/>
    </row>
    <row r="183" spans="2:6" ht="15" customHeight="1" x14ac:dyDescent="0.25">
      <c r="B183" s="78"/>
      <c r="C183" s="83"/>
      <c r="D183" s="22"/>
      <c r="E183" s="22"/>
      <c r="F183" s="22"/>
    </row>
    <row r="184" spans="2:6" ht="15" customHeight="1" x14ac:dyDescent="0.25">
      <c r="B184" s="78"/>
      <c r="C184" s="83"/>
      <c r="D184" s="22"/>
      <c r="E184" s="22"/>
      <c r="F184" s="22"/>
    </row>
    <row r="185" spans="2:6" ht="15" customHeight="1" x14ac:dyDescent="0.25">
      <c r="B185" s="78"/>
      <c r="C185" s="83"/>
      <c r="D185" s="22"/>
      <c r="E185" s="22"/>
      <c r="F185" s="22"/>
    </row>
    <row r="186" spans="2:6" ht="15" customHeight="1" x14ac:dyDescent="0.25">
      <c r="B186" s="78"/>
      <c r="C186" s="83"/>
      <c r="D186" s="22"/>
      <c r="E186" s="22"/>
      <c r="F186" s="22"/>
    </row>
    <row r="187" spans="2:6" ht="15" customHeight="1" x14ac:dyDescent="0.25">
      <c r="B187" s="78"/>
      <c r="C187" s="83"/>
      <c r="D187" s="22"/>
      <c r="E187" s="22"/>
      <c r="F187" s="22"/>
    </row>
    <row r="188" spans="2:6" ht="15" customHeight="1" x14ac:dyDescent="0.25">
      <c r="B188" s="78"/>
      <c r="C188" s="83"/>
    </row>
    <row r="189" spans="2:6" ht="15" customHeight="1" x14ac:dyDescent="0.25">
      <c r="B189" s="78"/>
      <c r="C189" s="84"/>
    </row>
    <row r="190" spans="2:6" ht="15" customHeight="1" x14ac:dyDescent="0.25">
      <c r="B190" s="78"/>
      <c r="C190" s="83"/>
      <c r="D190" s="22"/>
    </row>
    <row r="191" spans="2:6" ht="15" customHeight="1" x14ac:dyDescent="0.25">
      <c r="B191" s="78"/>
      <c r="C191" s="83"/>
      <c r="D191" s="22"/>
      <c r="E191" s="22"/>
      <c r="F191" s="22"/>
    </row>
    <row r="192" spans="2:6" ht="15" customHeight="1" x14ac:dyDescent="0.25">
      <c r="B192" s="78"/>
      <c r="C192" s="83"/>
      <c r="D192" s="22"/>
      <c r="E192" s="22"/>
      <c r="F192" s="22"/>
    </row>
    <row r="193" spans="2:6" ht="15" customHeight="1" x14ac:dyDescent="0.25">
      <c r="B193" s="78"/>
      <c r="C193" s="83"/>
    </row>
    <row r="194" spans="2:6" ht="15" customHeight="1" x14ac:dyDescent="0.25">
      <c r="B194" s="78"/>
      <c r="C194" s="84"/>
    </row>
    <row r="195" spans="2:6" ht="15" customHeight="1" x14ac:dyDescent="0.25">
      <c r="B195" s="78"/>
      <c r="C195" s="83"/>
      <c r="D195" s="22"/>
      <c r="E195" s="22"/>
      <c r="F195" s="2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C4BE-5E6F-49F4-95B8-700F2164730E}">
  <sheetPr>
    <tabColor rgb="FF00B050"/>
  </sheetPr>
  <dimension ref="B1:H31"/>
  <sheetViews>
    <sheetView workbookViewId="0"/>
  </sheetViews>
  <sheetFormatPr defaultRowHeight="15" x14ac:dyDescent="0.25"/>
  <cols>
    <col min="1" max="1" width="1.42578125" customWidth="1"/>
    <col min="2" max="2" width="5.85546875" customWidth="1"/>
    <col min="4" max="4" width="73.7109375" style="57" customWidth="1"/>
    <col min="5" max="7" width="14.28515625" customWidth="1"/>
    <col min="8" max="8" width="14.28515625" style="2" customWidth="1"/>
    <col min="9" max="9" width="14.28515625" customWidth="1"/>
  </cols>
  <sheetData>
    <row r="1" spans="2:8" ht="7.5" customHeight="1" x14ac:dyDescent="0.25"/>
    <row r="2" spans="2:8" x14ac:dyDescent="0.25">
      <c r="B2" s="24" t="s">
        <v>451</v>
      </c>
      <c r="E2" s="4"/>
      <c r="F2" s="4"/>
      <c r="G2" s="4"/>
    </row>
    <row r="3" spans="2:8" x14ac:dyDescent="0.25">
      <c r="B3" s="1" t="s">
        <v>1077</v>
      </c>
      <c r="E3" s="139"/>
      <c r="F3" s="139"/>
      <c r="G3" s="139"/>
    </row>
    <row r="4" spans="2:8" ht="7.5" customHeight="1" x14ac:dyDescent="0.25">
      <c r="E4" s="136"/>
      <c r="F4" s="136"/>
      <c r="G4" s="136"/>
    </row>
    <row r="5" spans="2:8" x14ac:dyDescent="0.25">
      <c r="B5" s="16" t="s">
        <v>417</v>
      </c>
      <c r="E5" s="197" t="s">
        <v>39</v>
      </c>
      <c r="F5" s="197"/>
      <c r="G5" s="197"/>
    </row>
    <row r="6" spans="2:8" x14ac:dyDescent="0.25">
      <c r="B6" s="136" t="s">
        <v>418</v>
      </c>
      <c r="C6" s="130" t="s">
        <v>1064</v>
      </c>
      <c r="D6" s="59" t="s">
        <v>482</v>
      </c>
      <c r="E6" s="3" t="s">
        <v>340</v>
      </c>
      <c r="F6" s="3" t="s">
        <v>1065</v>
      </c>
      <c r="G6" s="3" t="s">
        <v>339</v>
      </c>
      <c r="H6" s="136" t="s">
        <v>1066</v>
      </c>
    </row>
    <row r="7" spans="2:8" s="141" customFormat="1" x14ac:dyDescent="0.25">
      <c r="B7" s="19"/>
      <c r="C7" s="19" t="s">
        <v>419</v>
      </c>
      <c r="D7" s="81" t="s">
        <v>420</v>
      </c>
      <c r="E7" s="19" t="s">
        <v>421</v>
      </c>
      <c r="F7" s="19" t="s">
        <v>422</v>
      </c>
      <c r="G7" s="19" t="s">
        <v>430</v>
      </c>
      <c r="H7" s="47" t="s">
        <v>431</v>
      </c>
    </row>
    <row r="8" spans="2:8" ht="3.75" customHeight="1" x14ac:dyDescent="0.25">
      <c r="B8" s="139"/>
      <c r="C8" s="139"/>
      <c r="D8" s="140"/>
      <c r="E8" s="5"/>
      <c r="F8" s="5"/>
      <c r="G8" s="5"/>
      <c r="H8" s="16"/>
    </row>
    <row r="9" spans="2:8" x14ac:dyDescent="0.25">
      <c r="B9" s="2">
        <v>1</v>
      </c>
      <c r="D9" s="7" t="s">
        <v>1067</v>
      </c>
    </row>
    <row r="10" spans="2:8" x14ac:dyDescent="0.25">
      <c r="B10" s="2">
        <v>2</v>
      </c>
      <c r="C10" t="s">
        <v>365</v>
      </c>
      <c r="D10" s="57" t="s">
        <v>366</v>
      </c>
      <c r="E10" s="15">
        <v>0</v>
      </c>
      <c r="F10" s="15">
        <v>-40424.050000000003</v>
      </c>
      <c r="G10" s="15">
        <f>SUM(E10:F10)</f>
        <v>-40424.050000000003</v>
      </c>
      <c r="H10" s="2" t="s">
        <v>1068</v>
      </c>
    </row>
    <row r="11" spans="2:8" x14ac:dyDescent="0.25">
      <c r="B11" s="2">
        <v>3</v>
      </c>
      <c r="C11" t="s">
        <v>367</v>
      </c>
      <c r="D11" s="57" t="s">
        <v>368</v>
      </c>
      <c r="E11" s="15">
        <v>0</v>
      </c>
      <c r="F11" s="15">
        <v>-1212796</v>
      </c>
      <c r="G11" s="15">
        <f>SUM(E11:F11)</f>
        <v>-1212796</v>
      </c>
      <c r="H11" s="2" t="s">
        <v>1068</v>
      </c>
    </row>
    <row r="12" spans="2:8" x14ac:dyDescent="0.25">
      <c r="B12" s="2">
        <v>4</v>
      </c>
      <c r="C12" t="s">
        <v>369</v>
      </c>
      <c r="D12" s="57" t="s">
        <v>370</v>
      </c>
      <c r="E12" s="15">
        <v>0</v>
      </c>
      <c r="F12" s="15">
        <v>442517.46</v>
      </c>
      <c r="G12" s="15">
        <f>SUM(E12:F12)</f>
        <v>442517.46</v>
      </c>
      <c r="H12" s="2" t="s">
        <v>1068</v>
      </c>
    </row>
    <row r="13" spans="2:8" x14ac:dyDescent="0.25">
      <c r="B13" s="2">
        <v>5</v>
      </c>
      <c r="C13" t="s">
        <v>371</v>
      </c>
      <c r="D13" s="57" t="s">
        <v>372</v>
      </c>
      <c r="E13" s="15">
        <v>0</v>
      </c>
      <c r="F13" s="15">
        <v>-1410721.638</v>
      </c>
      <c r="G13" s="15">
        <f>SUM(E13:F13)</f>
        <v>-1410721.638</v>
      </c>
      <c r="H13" s="2" t="s">
        <v>1068</v>
      </c>
    </row>
    <row r="14" spans="2:8" s="6" customFormat="1" x14ac:dyDescent="0.25">
      <c r="B14" s="16">
        <v>6</v>
      </c>
      <c r="D14" s="131" t="s">
        <v>1069</v>
      </c>
      <c r="E14" s="132">
        <f>SUM(E10:E13)</f>
        <v>0</v>
      </c>
      <c r="F14" s="132">
        <f>SUM(F10:F13)</f>
        <v>-2221424.2280000001</v>
      </c>
      <c r="G14" s="132">
        <f>SUM(G10:G13)</f>
        <v>-2221424.2280000001</v>
      </c>
      <c r="H14" s="16"/>
    </row>
    <row r="15" spans="2:8" ht="7.5" customHeight="1" x14ac:dyDescent="0.25">
      <c r="B15" s="2"/>
      <c r="E15" s="15"/>
      <c r="F15" s="15"/>
      <c r="G15" s="15"/>
    </row>
    <row r="16" spans="2:8" x14ac:dyDescent="0.25">
      <c r="B16" s="2">
        <v>7</v>
      </c>
      <c r="D16" s="7" t="s">
        <v>380</v>
      </c>
      <c r="E16" s="15"/>
      <c r="F16" s="15"/>
      <c r="G16" s="15"/>
    </row>
    <row r="17" spans="2:8" x14ac:dyDescent="0.25">
      <c r="B17" s="2">
        <v>8</v>
      </c>
      <c r="C17" t="s">
        <v>373</v>
      </c>
      <c r="D17" s="57" t="s">
        <v>374</v>
      </c>
      <c r="E17" s="15">
        <v>0</v>
      </c>
      <c r="F17" s="15">
        <v>-77254.52</v>
      </c>
      <c r="G17" s="15">
        <f>SUM(E17:F17)</f>
        <v>-77254.52</v>
      </c>
      <c r="H17" s="2" t="s">
        <v>1070</v>
      </c>
    </row>
    <row r="18" spans="2:8" x14ac:dyDescent="0.25">
      <c r="B18" s="2">
        <v>9</v>
      </c>
      <c r="C18" t="s">
        <v>375</v>
      </c>
      <c r="D18" s="57" t="s">
        <v>376</v>
      </c>
      <c r="E18" s="15">
        <v>-322.08</v>
      </c>
      <c r="F18" s="15">
        <v>-18436.14</v>
      </c>
      <c r="G18" s="15">
        <f>SUM(E18:F18)</f>
        <v>-18758.22</v>
      </c>
      <c r="H18" s="2" t="s">
        <v>1068</v>
      </c>
    </row>
    <row r="19" spans="2:8" x14ac:dyDescent="0.25">
      <c r="B19" s="2">
        <v>10</v>
      </c>
      <c r="C19" t="s">
        <v>377</v>
      </c>
      <c r="D19" s="57" t="s">
        <v>378</v>
      </c>
      <c r="E19" s="15">
        <v>0.89</v>
      </c>
      <c r="F19" s="15">
        <v>640.95000000000005</v>
      </c>
      <c r="G19" s="15">
        <f>SUM(E19:F19)</f>
        <v>641.84</v>
      </c>
      <c r="H19" s="2" t="s">
        <v>1068</v>
      </c>
    </row>
    <row r="20" spans="2:8" x14ac:dyDescent="0.25">
      <c r="B20" s="2">
        <v>11</v>
      </c>
      <c r="C20" t="s">
        <v>379</v>
      </c>
      <c r="D20" s="57" t="s">
        <v>1071</v>
      </c>
      <c r="E20" s="15">
        <v>-471164.69000000006</v>
      </c>
      <c r="F20" s="15">
        <f>-1013801.47+112800</f>
        <v>-901001.47</v>
      </c>
      <c r="G20" s="15">
        <f>SUM(E20:F20)</f>
        <v>-1372166.1600000001</v>
      </c>
      <c r="H20" s="2" t="s">
        <v>1068</v>
      </c>
    </row>
    <row r="21" spans="2:8" x14ac:dyDescent="0.25">
      <c r="B21" s="2">
        <v>12</v>
      </c>
      <c r="D21" s="131" t="s">
        <v>1072</v>
      </c>
      <c r="E21" s="132">
        <f>SUM(E17:E20)</f>
        <v>-471485.88000000006</v>
      </c>
      <c r="F21" s="132">
        <f>SUM(F17:F20)</f>
        <v>-996051.17999999993</v>
      </c>
      <c r="G21" s="132">
        <f>SUM(G17:G20)</f>
        <v>-1467537.06</v>
      </c>
    </row>
    <row r="22" spans="2:8" ht="6.75" customHeight="1" x14ac:dyDescent="0.25">
      <c r="B22" s="2"/>
      <c r="E22" s="62"/>
      <c r="F22" s="62"/>
      <c r="G22" s="62"/>
    </row>
    <row r="23" spans="2:8" s="133" customFormat="1" ht="15.75" thickBot="1" x14ac:dyDescent="0.3">
      <c r="B23" s="193">
        <v>13</v>
      </c>
      <c r="D23" s="133" t="s">
        <v>1073</v>
      </c>
      <c r="E23" s="134">
        <f>SUMIFS($E$10:$E$21,$H$10:$H$21,"YES")</f>
        <v>-471485.88000000006</v>
      </c>
      <c r="F23" s="134">
        <f>SUMIFS($F$10:$F$21,$H$10:$H$21,"YES")</f>
        <v>-3140220.8880000003</v>
      </c>
      <c r="G23" s="134">
        <f>SUM(E23:F23)</f>
        <v>-3611706.7680000002</v>
      </c>
      <c r="H23" s="135"/>
    </row>
    <row r="24" spans="2:8" ht="15.75" thickTop="1" x14ac:dyDescent="0.25">
      <c r="B24" s="190"/>
    </row>
    <row r="25" spans="2:8" ht="3.75" customHeight="1" x14ac:dyDescent="0.25">
      <c r="B25" s="190"/>
    </row>
    <row r="26" spans="2:8" x14ac:dyDescent="0.25">
      <c r="B26" s="190">
        <v>14</v>
      </c>
      <c r="D26" s="57" t="s">
        <v>1114</v>
      </c>
      <c r="E26" s="28">
        <f>E20/E30</f>
        <v>-25946.080495155667</v>
      </c>
      <c r="F26" s="28">
        <v>-56449</v>
      </c>
      <c r="G26" s="192">
        <f>SUM(E26:F26)</f>
        <v>-82395.080495155664</v>
      </c>
    </row>
    <row r="27" spans="2:8" ht="3.75" customHeight="1" x14ac:dyDescent="0.25">
      <c r="B27" s="190"/>
    </row>
    <row r="28" spans="2:8" x14ac:dyDescent="0.25">
      <c r="B28" s="190">
        <v>15</v>
      </c>
      <c r="D28" s="191" t="s">
        <v>1074</v>
      </c>
      <c r="E28" s="195">
        <v>30826204.139999997</v>
      </c>
    </row>
    <row r="29" spans="2:8" x14ac:dyDescent="0.25">
      <c r="B29" s="190">
        <v>16</v>
      </c>
      <c r="D29" s="191" t="s">
        <v>1075</v>
      </c>
      <c r="E29" s="196">
        <v>1697536.3199999998</v>
      </c>
    </row>
    <row r="30" spans="2:8" x14ac:dyDescent="0.25">
      <c r="B30" s="190">
        <v>17</v>
      </c>
      <c r="D30" s="191" t="s">
        <v>1115</v>
      </c>
      <c r="E30" s="194">
        <v>18.159378257073168</v>
      </c>
    </row>
    <row r="31" spans="2:8" x14ac:dyDescent="0.25">
      <c r="B31" s="190"/>
    </row>
  </sheetData>
  <mergeCells count="1">
    <mergeCell ref="E5:G5"/>
  </mergeCells>
  <conditionalFormatting sqref="H1:H1048576">
    <cfRule type="cellIs" dxfId="0" priority="1" operator="equal">
      <formula>"No"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8F26-B070-485F-83FB-CC473489FD53}">
  <sheetPr>
    <tabColor rgb="FF00B050"/>
  </sheetPr>
  <dimension ref="A1:M196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5" width="39.28515625" customWidth="1"/>
    <col min="6" max="13" width="17.85546875" customWidth="1"/>
  </cols>
  <sheetData>
    <row r="1" spans="1:13" ht="7.5" customHeight="1" x14ac:dyDescent="0.25">
      <c r="A1" s="51" t="str" cm="1">
        <f t="array" aca="1" ref="A1" ca="1">MID(CELL("filename",A1),FIND("]",CELL("filename",A1))+1,255)</f>
        <v>WWSCo IS Restatements</v>
      </c>
    </row>
    <row r="2" spans="1:13" x14ac:dyDescent="0.25">
      <c r="B2" s="24" t="s">
        <v>451</v>
      </c>
      <c r="C2" s="46"/>
    </row>
    <row r="3" spans="1:13" x14ac:dyDescent="0.25">
      <c r="B3" s="1" t="s">
        <v>532</v>
      </c>
      <c r="C3" s="46"/>
      <c r="G3" s="197" t="s">
        <v>433</v>
      </c>
      <c r="H3" s="197"/>
    </row>
    <row r="4" spans="1:13" ht="7.5" customHeight="1" x14ac:dyDescent="0.25">
      <c r="B4" s="1"/>
      <c r="C4" s="46"/>
    </row>
    <row r="5" spans="1:13" s="6" customFormat="1" x14ac:dyDescent="0.25">
      <c r="C5" s="16"/>
      <c r="F5" s="16"/>
      <c r="G5" s="16" t="s">
        <v>414</v>
      </c>
      <c r="H5" s="16" t="s">
        <v>428</v>
      </c>
      <c r="I5" s="16" t="str">
        <f ca="1">RIGHT('WP RA3'!$A$1,3)</f>
        <v>RA3</v>
      </c>
      <c r="J5" s="16" t="str">
        <f ca="1">RIGHT('WP RA4'!$A$1,3)</f>
        <v>RA4</v>
      </c>
      <c r="K5" s="16" t="s">
        <v>985</v>
      </c>
      <c r="L5" s="16" t="s">
        <v>423</v>
      </c>
      <c r="M5" s="16"/>
    </row>
    <row r="6" spans="1:13" s="6" customFormat="1" x14ac:dyDescent="0.25">
      <c r="B6" s="16" t="s">
        <v>417</v>
      </c>
      <c r="C6" s="16"/>
      <c r="F6" s="16" t="s">
        <v>426</v>
      </c>
      <c r="G6" s="16" t="s">
        <v>415</v>
      </c>
      <c r="H6" s="16"/>
      <c r="I6" s="16" t="s">
        <v>487</v>
      </c>
      <c r="J6" s="16" t="s">
        <v>946</v>
      </c>
      <c r="K6" s="16" t="s">
        <v>986</v>
      </c>
      <c r="L6" s="16" t="s">
        <v>424</v>
      </c>
      <c r="M6" s="16" t="s">
        <v>426</v>
      </c>
    </row>
    <row r="7" spans="1:13" s="6" customFormat="1" x14ac:dyDescent="0.25">
      <c r="B7" s="17" t="s">
        <v>418</v>
      </c>
      <c r="C7" s="17" t="s">
        <v>0</v>
      </c>
      <c r="D7" s="18" t="s">
        <v>1</v>
      </c>
      <c r="E7" s="17" t="s">
        <v>429</v>
      </c>
      <c r="F7" s="17" t="s">
        <v>39</v>
      </c>
      <c r="G7" s="17" t="s">
        <v>416</v>
      </c>
      <c r="H7" s="17" t="s">
        <v>405</v>
      </c>
      <c r="I7" s="17" t="s">
        <v>488</v>
      </c>
      <c r="J7" s="17" t="s">
        <v>582</v>
      </c>
      <c r="K7" s="17" t="s">
        <v>582</v>
      </c>
      <c r="L7" s="17" t="s">
        <v>425</v>
      </c>
      <c r="M7" s="17" t="s">
        <v>427</v>
      </c>
    </row>
    <row r="8" spans="1:13" x14ac:dyDescent="0.25">
      <c r="B8" s="2"/>
      <c r="C8" s="19" t="s">
        <v>419</v>
      </c>
      <c r="D8" s="19" t="s">
        <v>420</v>
      </c>
      <c r="E8" s="19" t="s">
        <v>421</v>
      </c>
      <c r="F8" s="19" t="s">
        <v>422</v>
      </c>
      <c r="G8" s="19" t="s">
        <v>430</v>
      </c>
      <c r="H8" s="20" t="s">
        <v>431</v>
      </c>
      <c r="I8" s="20" t="s">
        <v>434</v>
      </c>
      <c r="J8" s="19" t="s">
        <v>435</v>
      </c>
      <c r="K8" s="19" t="s">
        <v>436</v>
      </c>
      <c r="L8" s="19" t="s">
        <v>447</v>
      </c>
      <c r="M8" s="19" t="s">
        <v>448</v>
      </c>
    </row>
    <row r="9" spans="1:13" ht="3.75" customHeight="1" x14ac:dyDescent="0.25">
      <c r="B9" s="2"/>
      <c r="C9" s="19"/>
      <c r="D9" s="19"/>
      <c r="E9" s="19"/>
      <c r="F9" s="19"/>
      <c r="G9" s="19"/>
      <c r="H9" s="20"/>
      <c r="I9" s="20"/>
      <c r="J9" s="19"/>
      <c r="K9" s="19"/>
      <c r="L9" s="19"/>
      <c r="M9" s="19"/>
    </row>
    <row r="10" spans="1:13" x14ac:dyDescent="0.25">
      <c r="B10" s="78">
        <v>1</v>
      </c>
      <c r="C10" s="20"/>
      <c r="D10" s="142" t="s">
        <v>510</v>
      </c>
      <c r="E10" s="20"/>
      <c r="F10" s="79">
        <f>SUM(F$13:F$196)</f>
        <v>-1393715.8799999994</v>
      </c>
      <c r="G10" s="79">
        <f t="shared" ref="G10:M10" si="0">SUM(G$13:G$196)</f>
        <v>-84087.329999999973</v>
      </c>
      <c r="H10" s="79">
        <f t="shared" si="0"/>
        <v>-5466.8852499999921</v>
      </c>
      <c r="I10" s="79">
        <f t="shared" si="0"/>
        <v>-106650</v>
      </c>
      <c r="J10" s="79">
        <f t="shared" si="0"/>
        <v>-15325.019999999999</v>
      </c>
      <c r="K10" s="79">
        <f t="shared" si="0"/>
        <v>29929.191900000002</v>
      </c>
      <c r="L10" s="79">
        <f t="shared" si="0"/>
        <v>-181600.04334999996</v>
      </c>
      <c r="M10" s="79">
        <f t="shared" si="0"/>
        <v>-1575315.9233500012</v>
      </c>
    </row>
    <row r="11" spans="1:13" ht="3.75" customHeight="1" x14ac:dyDescent="0.25">
      <c r="B11" s="7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5">
      <c r="B12" s="78">
        <v>2</v>
      </c>
      <c r="C12" s="143"/>
      <c r="D12" s="144" t="s">
        <v>40</v>
      </c>
      <c r="E12" s="144"/>
      <c r="F12" s="143"/>
      <c r="G12" s="145"/>
      <c r="H12" s="145"/>
      <c r="I12" s="145"/>
      <c r="J12" s="145"/>
      <c r="K12" s="145"/>
      <c r="L12" s="145"/>
      <c r="M12" s="145"/>
    </row>
    <row r="13" spans="1:13" x14ac:dyDescent="0.25">
      <c r="B13" s="78">
        <f>MAX($B$8:B12)+1</f>
        <v>3</v>
      </c>
      <c r="C13" s="78" t="s">
        <v>3</v>
      </c>
      <c r="D13" s="23" t="s">
        <v>21</v>
      </c>
      <c r="E13" s="23" t="s">
        <v>384</v>
      </c>
      <c r="F13" s="22">
        <v>-7796644.0699999984</v>
      </c>
      <c r="G13" s="22">
        <v>0</v>
      </c>
      <c r="H13" s="23"/>
      <c r="I13" s="22">
        <v>0</v>
      </c>
      <c r="J13" s="22">
        <f>SUMIFS('WP RA4'!$F$10:$F$19,'WP RA4'!$C$10:$C$19,$C13)</f>
        <v>0</v>
      </c>
      <c r="K13" s="23"/>
      <c r="L13" s="22">
        <f>SUM(G13:K13)</f>
        <v>0</v>
      </c>
      <c r="M13" s="22">
        <f>F13+L13</f>
        <v>-7796644.0699999984</v>
      </c>
    </row>
    <row r="14" spans="1:13" x14ac:dyDescent="0.25">
      <c r="B14" s="78">
        <f>MAX($B$8:B13)+1</f>
        <v>4</v>
      </c>
      <c r="C14" s="78" t="s">
        <v>4</v>
      </c>
      <c r="D14" s="23" t="s">
        <v>22</v>
      </c>
      <c r="E14" s="23" t="s">
        <v>384</v>
      </c>
      <c r="F14" s="22">
        <v>-4932171.45</v>
      </c>
      <c r="G14" s="22">
        <v>0</v>
      </c>
      <c r="H14" s="23"/>
      <c r="I14" s="22">
        <v>0</v>
      </c>
      <c r="J14" s="22">
        <f>SUMIFS('WP RA4'!$F$10:$F$19,'WP RA4'!$C$10:$C$19,$C14)</f>
        <v>0</v>
      </c>
      <c r="K14" s="23"/>
      <c r="L14" s="22">
        <f t="shared" ref="L14:L30" si="1">SUM(G14:K14)</f>
        <v>0</v>
      </c>
      <c r="M14" s="22">
        <f t="shared" ref="M14:M30" si="2">F14+L14</f>
        <v>-4932171.45</v>
      </c>
    </row>
    <row r="15" spans="1:13" x14ac:dyDescent="0.25">
      <c r="B15" s="78">
        <f>MAX($B$8:B14)+1</f>
        <v>5</v>
      </c>
      <c r="C15" s="78" t="s">
        <v>5</v>
      </c>
      <c r="D15" s="23" t="s">
        <v>23</v>
      </c>
      <c r="E15" s="23" t="s">
        <v>384</v>
      </c>
      <c r="F15" s="22">
        <v>22879.34</v>
      </c>
      <c r="G15" s="22">
        <v>0</v>
      </c>
      <c r="H15" s="23"/>
      <c r="I15" s="22">
        <v>0</v>
      </c>
      <c r="J15" s="22">
        <f>SUMIFS('WP RA4'!$F$10:$F$19,'WP RA4'!$C$10:$C$19,$C15)</f>
        <v>0</v>
      </c>
      <c r="K15" s="23"/>
      <c r="L15" s="22">
        <f t="shared" si="1"/>
        <v>0</v>
      </c>
      <c r="M15" s="22">
        <f t="shared" si="2"/>
        <v>22879.34</v>
      </c>
    </row>
    <row r="16" spans="1:13" x14ac:dyDescent="0.25">
      <c r="B16" s="78">
        <f>MAX($B$8:B15)+1</f>
        <v>6</v>
      </c>
      <c r="C16" s="78" t="s">
        <v>6</v>
      </c>
      <c r="D16" s="23" t="s">
        <v>24</v>
      </c>
      <c r="E16" s="23" t="s">
        <v>384</v>
      </c>
      <c r="F16" s="22">
        <v>-205438.49</v>
      </c>
      <c r="G16" s="22">
        <v>0</v>
      </c>
      <c r="H16" s="23"/>
      <c r="I16" s="22">
        <v>0</v>
      </c>
      <c r="J16" s="22">
        <f>SUMIFS('WP RA4'!$F$10:$F$19,'WP RA4'!$C$10:$C$19,$C16)</f>
        <v>0</v>
      </c>
      <c r="K16" s="23"/>
      <c r="L16" s="22">
        <f t="shared" si="1"/>
        <v>0</v>
      </c>
      <c r="M16" s="22">
        <f t="shared" si="2"/>
        <v>-205438.49</v>
      </c>
    </row>
    <row r="17" spans="2:13" x14ac:dyDescent="0.25">
      <c r="B17" s="78">
        <f>MAX($B$8:B16)+1</f>
        <v>7</v>
      </c>
      <c r="C17" s="78" t="s">
        <v>7</v>
      </c>
      <c r="D17" s="23" t="s">
        <v>25</v>
      </c>
      <c r="E17" s="23" t="s">
        <v>384</v>
      </c>
      <c r="F17" s="22">
        <v>-90409.55</v>
      </c>
      <c r="G17" s="22">
        <v>0</v>
      </c>
      <c r="H17" s="23"/>
      <c r="I17" s="22">
        <v>0</v>
      </c>
      <c r="J17" s="22">
        <f>SUMIFS('WP RA4'!$F$10:$F$19,'WP RA4'!$C$10:$C$19,$C17)</f>
        <v>0</v>
      </c>
      <c r="K17" s="23"/>
      <c r="L17" s="22">
        <f t="shared" si="1"/>
        <v>0</v>
      </c>
      <c r="M17" s="22">
        <f t="shared" si="2"/>
        <v>-90409.55</v>
      </c>
    </row>
    <row r="18" spans="2:13" x14ac:dyDescent="0.25">
      <c r="B18" s="78">
        <f>MAX($B$8:B17)+1</f>
        <v>8</v>
      </c>
      <c r="C18" s="78" t="s">
        <v>8</v>
      </c>
      <c r="D18" s="23" t="s">
        <v>26</v>
      </c>
      <c r="E18" s="23" t="s">
        <v>385</v>
      </c>
      <c r="F18" s="22">
        <v>-6536.16</v>
      </c>
      <c r="G18" s="22">
        <v>0</v>
      </c>
      <c r="H18" s="23"/>
      <c r="I18" s="22">
        <v>0</v>
      </c>
      <c r="J18" s="22">
        <f>SUMIFS('WP RA4'!$F$10:$F$19,'WP RA4'!$C$10:$C$19,$C18)</f>
        <v>0</v>
      </c>
      <c r="K18" s="23"/>
      <c r="L18" s="22">
        <f t="shared" si="1"/>
        <v>0</v>
      </c>
      <c r="M18" s="22">
        <f t="shared" si="2"/>
        <v>-6536.16</v>
      </c>
    </row>
    <row r="19" spans="2:13" x14ac:dyDescent="0.25">
      <c r="B19" s="78">
        <f>MAX($B$8:B18)+1</f>
        <v>9</v>
      </c>
      <c r="C19" s="78" t="s">
        <v>9</v>
      </c>
      <c r="D19" s="23" t="s">
        <v>27</v>
      </c>
      <c r="E19" s="23" t="s">
        <v>384</v>
      </c>
      <c r="F19" s="22">
        <v>-154228.25999999998</v>
      </c>
      <c r="G19" s="22">
        <v>0</v>
      </c>
      <c r="H19" s="23"/>
      <c r="I19" s="22">
        <v>0</v>
      </c>
      <c r="J19" s="22">
        <f>SUMIFS('WP RA4'!$F$10:$F$19,'WP RA4'!$C$10:$C$19,$C19)</f>
        <v>0</v>
      </c>
      <c r="K19" s="23"/>
      <c r="L19" s="22">
        <f t="shared" si="1"/>
        <v>0</v>
      </c>
      <c r="M19" s="22">
        <f t="shared" si="2"/>
        <v>-154228.25999999998</v>
      </c>
    </row>
    <row r="20" spans="2:13" x14ac:dyDescent="0.25">
      <c r="B20" s="78">
        <f>MAX($B$8:B19)+1</f>
        <v>10</v>
      </c>
      <c r="C20" s="78" t="s">
        <v>10</v>
      </c>
      <c r="D20" s="23" t="s">
        <v>28</v>
      </c>
      <c r="E20" s="23" t="s">
        <v>384</v>
      </c>
      <c r="F20" s="22">
        <v>-24231.46</v>
      </c>
      <c r="G20" s="22">
        <v>0</v>
      </c>
      <c r="H20" s="23"/>
      <c r="I20" s="22">
        <v>0</v>
      </c>
      <c r="J20" s="22">
        <f>SUMIFS('WP RA4'!$F$10:$F$19,'WP RA4'!$C$10:$C$19,$C20)</f>
        <v>0</v>
      </c>
      <c r="K20" s="23"/>
      <c r="L20" s="22">
        <f t="shared" si="1"/>
        <v>0</v>
      </c>
      <c r="M20" s="22">
        <f t="shared" si="2"/>
        <v>-24231.46</v>
      </c>
    </row>
    <row r="21" spans="2:13" x14ac:dyDescent="0.25">
      <c r="B21" s="78">
        <f>MAX($B$8:B20)+1</f>
        <v>11</v>
      </c>
      <c r="C21" s="78" t="s">
        <v>11</v>
      </c>
      <c r="D21" s="23" t="s">
        <v>29</v>
      </c>
      <c r="E21" s="23" t="s">
        <v>387</v>
      </c>
      <c r="F21" s="22">
        <v>0</v>
      </c>
      <c r="G21" s="22">
        <v>0</v>
      </c>
      <c r="H21" s="23"/>
      <c r="I21" s="22">
        <v>0</v>
      </c>
      <c r="J21" s="22">
        <f>SUMIFS('WP RA4'!$F$10:$F$19,'WP RA4'!$C$10:$C$19,$C21)</f>
        <v>0</v>
      </c>
      <c r="K21" s="23"/>
      <c r="L21" s="22">
        <f t="shared" si="1"/>
        <v>0</v>
      </c>
      <c r="M21" s="22">
        <f t="shared" si="2"/>
        <v>0</v>
      </c>
    </row>
    <row r="22" spans="2:13" x14ac:dyDescent="0.25">
      <c r="B22" s="78">
        <f>MAX($B$8:B21)+1</f>
        <v>12</v>
      </c>
      <c r="C22" s="78" t="s">
        <v>12</v>
      </c>
      <c r="D22" s="23" t="s">
        <v>30</v>
      </c>
      <c r="E22" s="23" t="s">
        <v>386</v>
      </c>
      <c r="F22" s="22">
        <v>0</v>
      </c>
      <c r="G22" s="22">
        <v>0</v>
      </c>
      <c r="H22" s="23"/>
      <c r="I22" s="22">
        <v>0</v>
      </c>
      <c r="J22" s="22">
        <f>SUMIFS('WP RA4'!$F$10:$F$19,'WP RA4'!$C$10:$C$19,$C22)</f>
        <v>0</v>
      </c>
      <c r="K22" s="23"/>
      <c r="L22" s="22">
        <f t="shared" si="1"/>
        <v>0</v>
      </c>
      <c r="M22" s="22">
        <f t="shared" si="2"/>
        <v>0</v>
      </c>
    </row>
    <row r="23" spans="2:13" x14ac:dyDescent="0.25">
      <c r="B23" s="78">
        <f>MAX($B$8:B22)+1</f>
        <v>13</v>
      </c>
      <c r="C23" s="78" t="s">
        <v>13</v>
      </c>
      <c r="D23" s="23" t="s">
        <v>31</v>
      </c>
      <c r="E23" s="23" t="s">
        <v>386</v>
      </c>
      <c r="F23" s="22">
        <v>-3115</v>
      </c>
      <c r="G23" s="22">
        <v>0</v>
      </c>
      <c r="H23" s="23"/>
      <c r="I23" s="22">
        <v>0</v>
      </c>
      <c r="J23" s="22">
        <f>SUMIFS('WP RA4'!$F$10:$F$19,'WP RA4'!$C$10:$C$19,$C23)</f>
        <v>0</v>
      </c>
      <c r="K23" s="23"/>
      <c r="L23" s="22">
        <f t="shared" si="1"/>
        <v>0</v>
      </c>
      <c r="M23" s="22">
        <f t="shared" si="2"/>
        <v>-3115</v>
      </c>
    </row>
    <row r="24" spans="2:13" x14ac:dyDescent="0.25">
      <c r="B24" s="78">
        <f>MAX($B$8:B23)+1</f>
        <v>14</v>
      </c>
      <c r="C24" s="78" t="s">
        <v>14</v>
      </c>
      <c r="D24" s="23" t="s">
        <v>32</v>
      </c>
      <c r="E24" s="23" t="s">
        <v>386</v>
      </c>
      <c r="F24" s="22">
        <v>-33862.5</v>
      </c>
      <c r="G24" s="22">
        <v>0</v>
      </c>
      <c r="H24" s="23"/>
      <c r="I24" s="22">
        <v>0</v>
      </c>
      <c r="J24" s="22">
        <f>SUMIFS('WP RA4'!$F$10:$F$19,'WP RA4'!$C$10:$C$19,$C24)</f>
        <v>0</v>
      </c>
      <c r="K24" s="23"/>
      <c r="L24" s="22">
        <f t="shared" si="1"/>
        <v>0</v>
      </c>
      <c r="M24" s="22">
        <f t="shared" si="2"/>
        <v>-33862.5</v>
      </c>
    </row>
    <row r="25" spans="2:13" x14ac:dyDescent="0.25">
      <c r="B25" s="78">
        <f>MAX($B$8:B24)+1</f>
        <v>15</v>
      </c>
      <c r="C25" s="78" t="s">
        <v>15</v>
      </c>
      <c r="D25" s="23" t="s">
        <v>33</v>
      </c>
      <c r="E25" s="23" t="s">
        <v>386</v>
      </c>
      <c r="F25" s="22">
        <v>-4285</v>
      </c>
      <c r="G25" s="22">
        <v>0</v>
      </c>
      <c r="H25" s="23"/>
      <c r="I25" s="22">
        <v>0</v>
      </c>
      <c r="J25" s="22">
        <f>SUMIFS('WP RA4'!$F$10:$F$19,'WP RA4'!$C$10:$C$19,$C25)</f>
        <v>0</v>
      </c>
      <c r="K25" s="23"/>
      <c r="L25" s="22">
        <f t="shared" si="1"/>
        <v>0</v>
      </c>
      <c r="M25" s="22">
        <f t="shared" si="2"/>
        <v>-4285</v>
      </c>
    </row>
    <row r="26" spans="2:13" x14ac:dyDescent="0.25">
      <c r="B26" s="78">
        <f>MAX($B$8:B25)+1</f>
        <v>16</v>
      </c>
      <c r="C26" s="78" t="s">
        <v>16</v>
      </c>
      <c r="D26" s="23" t="s">
        <v>34</v>
      </c>
      <c r="E26" s="23" t="s">
        <v>387</v>
      </c>
      <c r="F26" s="22">
        <v>-64124.76</v>
      </c>
      <c r="G26" s="22">
        <v>0</v>
      </c>
      <c r="H26" s="23"/>
      <c r="I26" s="22">
        <v>0</v>
      </c>
      <c r="J26" s="22">
        <f>SUMIFS('WP RA4'!$F$10:$F$19,'WP RA4'!$C$10:$C$19,$C26)</f>
        <v>0</v>
      </c>
      <c r="K26" s="23"/>
      <c r="L26" s="22">
        <f t="shared" si="1"/>
        <v>0</v>
      </c>
      <c r="M26" s="22">
        <f t="shared" si="2"/>
        <v>-64124.76</v>
      </c>
    </row>
    <row r="27" spans="2:13" x14ac:dyDescent="0.25">
      <c r="B27" s="78">
        <f>MAX($B$8:B26)+1</f>
        <v>17</v>
      </c>
      <c r="C27" s="78" t="s">
        <v>17</v>
      </c>
      <c r="D27" s="23" t="s">
        <v>35</v>
      </c>
      <c r="E27" s="23" t="s">
        <v>384</v>
      </c>
      <c r="F27" s="22">
        <v>-15335.299999999988</v>
      </c>
      <c r="G27" s="22">
        <v>0</v>
      </c>
      <c r="H27" s="23"/>
      <c r="I27" s="22">
        <v>0</v>
      </c>
      <c r="J27" s="22">
        <f>SUMIFS('WP RA4'!$F$10:$F$19,'WP RA4'!$C$10:$C$19,$C27)</f>
        <v>0</v>
      </c>
      <c r="K27" s="23"/>
      <c r="L27" s="22">
        <f t="shared" si="1"/>
        <v>0</v>
      </c>
      <c r="M27" s="22">
        <f t="shared" si="2"/>
        <v>-15335.299999999988</v>
      </c>
    </row>
    <row r="28" spans="2:13" x14ac:dyDescent="0.25">
      <c r="B28" s="78">
        <f>MAX($B$8:B27)+1</f>
        <v>18</v>
      </c>
      <c r="C28" s="78" t="s">
        <v>18</v>
      </c>
      <c r="D28" s="23" t="s">
        <v>36</v>
      </c>
      <c r="E28" s="23" t="s">
        <v>384</v>
      </c>
      <c r="F28" s="22">
        <v>-77254.2</v>
      </c>
      <c r="G28" s="22">
        <v>0</v>
      </c>
      <c r="H28" s="23"/>
      <c r="I28" s="22">
        <v>0</v>
      </c>
      <c r="J28" s="22">
        <f>SUMIFS('WP RA4'!$F$10:$F$19,'WP RA4'!$C$10:$C$19,$C28)</f>
        <v>0</v>
      </c>
      <c r="K28" s="23"/>
      <c r="L28" s="22">
        <f t="shared" si="1"/>
        <v>0</v>
      </c>
      <c r="M28" s="22">
        <f t="shared" si="2"/>
        <v>-77254.2</v>
      </c>
    </row>
    <row r="29" spans="2:13" x14ac:dyDescent="0.25">
      <c r="B29" s="78">
        <f>MAX($B$8:B28)+1</f>
        <v>19</v>
      </c>
      <c r="C29" s="78" t="s">
        <v>19</v>
      </c>
      <c r="D29" s="23" t="s">
        <v>37</v>
      </c>
      <c r="E29" s="23" t="s">
        <v>386</v>
      </c>
      <c r="F29" s="22">
        <v>106650</v>
      </c>
      <c r="G29" s="22">
        <v>0</v>
      </c>
      <c r="H29" s="23"/>
      <c r="I29" s="22">
        <f>-F29</f>
        <v>-106650</v>
      </c>
      <c r="J29" s="22">
        <f>SUMIFS('WP RA4'!$F$10:$F$19,'WP RA4'!$C$10:$C$19,$C29)</f>
        <v>0</v>
      </c>
      <c r="K29" s="23"/>
      <c r="L29" s="22">
        <f t="shared" si="1"/>
        <v>-106650</v>
      </c>
      <c r="M29" s="22">
        <f t="shared" si="2"/>
        <v>0</v>
      </c>
    </row>
    <row r="30" spans="2:13" x14ac:dyDescent="0.25">
      <c r="B30" s="78">
        <f>MAX($B$8:B29)+1</f>
        <v>20</v>
      </c>
      <c r="C30" s="78" t="s">
        <v>20</v>
      </c>
      <c r="D30" s="23" t="s">
        <v>38</v>
      </c>
      <c r="E30" s="23" t="s">
        <v>388</v>
      </c>
      <c r="F30" s="22">
        <v>-43444.59</v>
      </c>
      <c r="G30" s="22">
        <v>0</v>
      </c>
      <c r="H30" s="23"/>
      <c r="I30" s="22">
        <v>0</v>
      </c>
      <c r="J30" s="22">
        <f>SUMIFS('WP RA4'!$F$10:$F$19,'WP RA4'!$C$10:$C$19,$C30)</f>
        <v>0</v>
      </c>
      <c r="K30" s="23"/>
      <c r="L30" s="22">
        <f t="shared" si="1"/>
        <v>0</v>
      </c>
      <c r="M30" s="22">
        <f t="shared" si="2"/>
        <v>-43444.59</v>
      </c>
    </row>
    <row r="31" spans="2:13" ht="3.75" customHeight="1" x14ac:dyDescent="0.25">
      <c r="B31" s="78"/>
      <c r="C31" s="78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3" x14ac:dyDescent="0.25">
      <c r="B32" s="78">
        <f>MAX($B$8:B31)+1</f>
        <v>21</v>
      </c>
      <c r="C32" s="78"/>
      <c r="D32" s="146" t="s">
        <v>41</v>
      </c>
      <c r="E32" s="146"/>
      <c r="F32" s="23"/>
      <c r="G32" s="23"/>
      <c r="H32" s="23"/>
      <c r="I32" s="23"/>
      <c r="J32" s="23"/>
      <c r="K32" s="23"/>
      <c r="L32" s="23"/>
      <c r="M32" s="23"/>
    </row>
    <row r="33" spans="2:13" x14ac:dyDescent="0.25">
      <c r="B33" s="78">
        <f>MAX($B$8:B32)+1</f>
        <v>22</v>
      </c>
      <c r="C33" s="78" t="s">
        <v>42</v>
      </c>
      <c r="D33" s="23" t="s">
        <v>82</v>
      </c>
      <c r="E33" s="23" t="s">
        <v>389</v>
      </c>
      <c r="F33" s="22">
        <v>20612.829999999958</v>
      </c>
      <c r="G33" s="22">
        <v>0</v>
      </c>
      <c r="H33" s="23"/>
      <c r="I33" s="22"/>
      <c r="J33" s="22">
        <f>SUMIFS('WP RA4'!$F$10:$F$19,'WP RA4'!$C$10:$C$19,$C33)</f>
        <v>0</v>
      </c>
      <c r="K33" s="23"/>
      <c r="L33" s="22">
        <f t="shared" ref="L33:L96" si="3">SUM(G33:K33)</f>
        <v>0</v>
      </c>
      <c r="M33" s="22">
        <f t="shared" ref="M33:M96" si="4">F33+L33</f>
        <v>20612.829999999958</v>
      </c>
    </row>
    <row r="34" spans="2:13" x14ac:dyDescent="0.25">
      <c r="B34" s="78">
        <f>MAX($B$8:B33)+1</f>
        <v>23</v>
      </c>
      <c r="C34" s="78" t="s">
        <v>43</v>
      </c>
      <c r="D34" s="23" t="s">
        <v>83</v>
      </c>
      <c r="E34" s="23" t="s">
        <v>389</v>
      </c>
      <c r="F34" s="22">
        <v>567625.59</v>
      </c>
      <c r="G34" s="22">
        <v>0</v>
      </c>
      <c r="H34" s="23"/>
      <c r="I34" s="22"/>
      <c r="J34" s="22">
        <f>SUMIFS('WP RA4'!$F$10:$F$19,'WP RA4'!$C$10:$C$19,$C34)</f>
        <v>0</v>
      </c>
      <c r="K34" s="23"/>
      <c r="L34" s="22">
        <f t="shared" si="3"/>
        <v>0</v>
      </c>
      <c r="M34" s="22">
        <f t="shared" si="4"/>
        <v>567625.59</v>
      </c>
    </row>
    <row r="35" spans="2:13" x14ac:dyDescent="0.25">
      <c r="B35" s="78">
        <f>MAX($B$8:B34)+1</f>
        <v>24</v>
      </c>
      <c r="C35" s="78" t="s">
        <v>44</v>
      </c>
      <c r="D35" s="23" t="s">
        <v>84</v>
      </c>
      <c r="E35" s="23" t="s">
        <v>390</v>
      </c>
      <c r="F35" s="22">
        <v>489.75999999999931</v>
      </c>
      <c r="G35" s="22">
        <v>0</v>
      </c>
      <c r="H35" s="23"/>
      <c r="I35" s="22"/>
      <c r="J35" s="22">
        <f>SUMIFS('WP RA4'!$F$10:$F$19,'WP RA4'!$C$10:$C$19,$C35)</f>
        <v>0</v>
      </c>
      <c r="K35" s="23"/>
      <c r="L35" s="22">
        <f t="shared" si="3"/>
        <v>0</v>
      </c>
      <c r="M35" s="22">
        <f t="shared" si="4"/>
        <v>489.75999999999931</v>
      </c>
    </row>
    <row r="36" spans="2:13" x14ac:dyDescent="0.25">
      <c r="B36" s="78">
        <f>MAX($B$8:B35)+1</f>
        <v>25</v>
      </c>
      <c r="C36" s="78" t="s">
        <v>45</v>
      </c>
      <c r="D36" s="23" t="s">
        <v>85</v>
      </c>
      <c r="E36" s="23" t="s">
        <v>391</v>
      </c>
      <c r="F36" s="22">
        <v>685606.26</v>
      </c>
      <c r="G36" s="22">
        <v>0</v>
      </c>
      <c r="H36" s="23"/>
      <c r="I36" s="22"/>
      <c r="J36" s="22">
        <f>SUMIFS('WP RA4'!$F$10:$F$19,'WP RA4'!$C$10:$C$19,$C36)</f>
        <v>0</v>
      </c>
      <c r="K36" s="23"/>
      <c r="L36" s="22">
        <f t="shared" si="3"/>
        <v>0</v>
      </c>
      <c r="M36" s="22">
        <f t="shared" si="4"/>
        <v>685606.26</v>
      </c>
    </row>
    <row r="37" spans="2:13" x14ac:dyDescent="0.25">
      <c r="B37" s="78">
        <f>MAX($B$8:B36)+1</f>
        <v>26</v>
      </c>
      <c r="C37" s="78" t="s">
        <v>46</v>
      </c>
      <c r="D37" s="23" t="s">
        <v>86</v>
      </c>
      <c r="E37" s="23" t="s">
        <v>390</v>
      </c>
      <c r="F37" s="22">
        <v>1344.33</v>
      </c>
      <c r="G37" s="22">
        <v>0</v>
      </c>
      <c r="H37" s="23"/>
      <c r="I37" s="22"/>
      <c r="J37" s="22">
        <f>SUMIFS('WP RA4'!$F$10:$F$19,'WP RA4'!$C$10:$C$19,$C37)</f>
        <v>0</v>
      </c>
      <c r="K37" s="23"/>
      <c r="L37" s="22">
        <f t="shared" si="3"/>
        <v>0</v>
      </c>
      <c r="M37" s="22">
        <f t="shared" si="4"/>
        <v>1344.33</v>
      </c>
    </row>
    <row r="38" spans="2:13" x14ac:dyDescent="0.25">
      <c r="B38" s="78">
        <f>MAX($B$8:B37)+1</f>
        <v>27</v>
      </c>
      <c r="C38" s="78" t="s">
        <v>47</v>
      </c>
      <c r="D38" s="23" t="s">
        <v>87</v>
      </c>
      <c r="E38" s="23" t="s">
        <v>390</v>
      </c>
      <c r="F38" s="22">
        <v>10520.650000000001</v>
      </c>
      <c r="G38" s="22">
        <v>0</v>
      </c>
      <c r="H38" s="23"/>
      <c r="I38" s="22"/>
      <c r="J38" s="22">
        <f>SUMIFS('WP RA4'!$F$10:$F$19,'WP RA4'!$C$10:$C$19,$C38)</f>
        <v>0</v>
      </c>
      <c r="K38" s="23"/>
      <c r="L38" s="22">
        <f t="shared" si="3"/>
        <v>0</v>
      </c>
      <c r="M38" s="22">
        <f t="shared" si="4"/>
        <v>10520.650000000001</v>
      </c>
    </row>
    <row r="39" spans="2:13" x14ac:dyDescent="0.25">
      <c r="B39" s="78">
        <f>MAX($B$8:B38)+1</f>
        <v>28</v>
      </c>
      <c r="C39" s="78" t="s">
        <v>48</v>
      </c>
      <c r="D39" s="23" t="s">
        <v>88</v>
      </c>
      <c r="E39" s="23" t="s">
        <v>390</v>
      </c>
      <c r="F39" s="22">
        <v>770.92</v>
      </c>
      <c r="G39" s="22">
        <v>0</v>
      </c>
      <c r="H39" s="23"/>
      <c r="I39" s="22"/>
      <c r="J39" s="22">
        <f>SUMIFS('WP RA4'!$F$10:$F$19,'WP RA4'!$C$10:$C$19,$C39)</f>
        <v>0</v>
      </c>
      <c r="K39" s="23"/>
      <c r="L39" s="22">
        <f t="shared" si="3"/>
        <v>0</v>
      </c>
      <c r="M39" s="22">
        <f t="shared" si="4"/>
        <v>770.92</v>
      </c>
    </row>
    <row r="40" spans="2:13" x14ac:dyDescent="0.25">
      <c r="B40" s="78">
        <f>MAX($B$8:B39)+1</f>
        <v>29</v>
      </c>
      <c r="C40" s="78" t="s">
        <v>49</v>
      </c>
      <c r="D40" s="23" t="s">
        <v>89</v>
      </c>
      <c r="E40" s="23" t="s">
        <v>390</v>
      </c>
      <c r="F40" s="22">
        <v>71288.349999999991</v>
      </c>
      <c r="G40" s="22">
        <v>0</v>
      </c>
      <c r="H40" s="23"/>
      <c r="I40" s="22"/>
      <c r="J40" s="22">
        <f>SUMIFS('WP RA4'!$F$10:$F$19,'WP RA4'!$C$10:$C$19,$C40)</f>
        <v>-382.09</v>
      </c>
      <c r="K40" s="23"/>
      <c r="L40" s="22">
        <f t="shared" si="3"/>
        <v>-382.09</v>
      </c>
      <c r="M40" s="22">
        <f t="shared" si="4"/>
        <v>70906.259999999995</v>
      </c>
    </row>
    <row r="41" spans="2:13" x14ac:dyDescent="0.25">
      <c r="B41" s="78">
        <f>MAX($B$8:B40)+1</f>
        <v>30</v>
      </c>
      <c r="C41" s="78" t="s">
        <v>50</v>
      </c>
      <c r="D41" s="23" t="s">
        <v>90</v>
      </c>
      <c r="E41" s="23" t="s">
        <v>390</v>
      </c>
      <c r="F41" s="22">
        <v>4441.03</v>
      </c>
      <c r="G41" s="22">
        <v>0</v>
      </c>
      <c r="H41" s="23"/>
      <c r="I41" s="22"/>
      <c r="J41" s="22">
        <f>SUMIFS('WP RA4'!$F$10:$F$19,'WP RA4'!$C$10:$C$19,$C41)</f>
        <v>-22.9</v>
      </c>
      <c r="K41" s="23"/>
      <c r="L41" s="22">
        <f t="shared" si="3"/>
        <v>-22.9</v>
      </c>
      <c r="M41" s="22">
        <f t="shared" si="4"/>
        <v>4418.13</v>
      </c>
    </row>
    <row r="42" spans="2:13" x14ac:dyDescent="0.25">
      <c r="B42" s="78">
        <f>MAX($B$8:B41)+1</f>
        <v>31</v>
      </c>
      <c r="C42" s="78" t="s">
        <v>51</v>
      </c>
      <c r="D42" s="23" t="s">
        <v>91</v>
      </c>
      <c r="E42" s="23" t="s">
        <v>392</v>
      </c>
      <c r="F42" s="22">
        <v>111826.36</v>
      </c>
      <c r="G42" s="22">
        <v>0</v>
      </c>
      <c r="H42" s="23"/>
      <c r="I42" s="22"/>
      <c r="J42" s="22">
        <f>SUMIFS('WP RA4'!$F$10:$F$19,'WP RA4'!$C$10:$C$19,$C42)</f>
        <v>0</v>
      </c>
      <c r="K42" s="23"/>
      <c r="L42" s="22">
        <f t="shared" si="3"/>
        <v>0</v>
      </c>
      <c r="M42" s="22">
        <f t="shared" si="4"/>
        <v>111826.36</v>
      </c>
    </row>
    <row r="43" spans="2:13" x14ac:dyDescent="0.25">
      <c r="B43" s="78">
        <f>MAX($B$8:B42)+1</f>
        <v>32</v>
      </c>
      <c r="C43" s="78" t="s">
        <v>52</v>
      </c>
      <c r="D43" s="23" t="s">
        <v>92</v>
      </c>
      <c r="E43" s="23" t="s">
        <v>390</v>
      </c>
      <c r="F43" s="22">
        <v>218101.32</v>
      </c>
      <c r="G43" s="22">
        <v>0</v>
      </c>
      <c r="H43" s="23"/>
      <c r="I43" s="22"/>
      <c r="J43" s="22">
        <f>SUMIFS('WP RA4'!$F$10:$F$19,'WP RA4'!$C$10:$C$19,$C43)</f>
        <v>0</v>
      </c>
      <c r="K43" s="23"/>
      <c r="L43" s="22">
        <f t="shared" si="3"/>
        <v>0</v>
      </c>
      <c r="M43" s="22">
        <f t="shared" si="4"/>
        <v>218101.32</v>
      </c>
    </row>
    <row r="44" spans="2:13" x14ac:dyDescent="0.25">
      <c r="B44" s="78">
        <f>MAX($B$8:B43)+1</f>
        <v>33</v>
      </c>
      <c r="C44" s="78" t="s">
        <v>53</v>
      </c>
      <c r="D44" s="23" t="s">
        <v>93</v>
      </c>
      <c r="E44" s="23" t="s">
        <v>393</v>
      </c>
      <c r="F44" s="22">
        <v>23244.119999999995</v>
      </c>
      <c r="G44" s="22">
        <v>0</v>
      </c>
      <c r="H44" s="23"/>
      <c r="I44" s="22"/>
      <c r="J44" s="22">
        <f>SUMIFS('WP RA4'!$F$10:$F$19,'WP RA4'!$C$10:$C$19,$C44)</f>
        <v>0</v>
      </c>
      <c r="K44" s="23"/>
      <c r="L44" s="22">
        <f t="shared" si="3"/>
        <v>0</v>
      </c>
      <c r="M44" s="22">
        <f t="shared" si="4"/>
        <v>23244.119999999995</v>
      </c>
    </row>
    <row r="45" spans="2:13" x14ac:dyDescent="0.25">
      <c r="B45" s="78">
        <f>MAX($B$8:B44)+1</f>
        <v>34</v>
      </c>
      <c r="C45" s="78" t="s">
        <v>54</v>
      </c>
      <c r="D45" s="23" t="s">
        <v>94</v>
      </c>
      <c r="E45" s="23" t="s">
        <v>393</v>
      </c>
      <c r="F45" s="22">
        <v>22299.96</v>
      </c>
      <c r="G45" s="22">
        <v>0</v>
      </c>
      <c r="H45" s="23"/>
      <c r="I45" s="22"/>
      <c r="J45" s="22">
        <f>SUMIFS('WP RA4'!$F$10:$F$19,'WP RA4'!$C$10:$C$19,$C45)</f>
        <v>-9788.43</v>
      </c>
      <c r="K45" s="23"/>
      <c r="L45" s="22">
        <f t="shared" si="3"/>
        <v>-9788.43</v>
      </c>
      <c r="M45" s="22">
        <f t="shared" si="4"/>
        <v>12511.529999999999</v>
      </c>
    </row>
    <row r="46" spans="2:13" x14ac:dyDescent="0.25">
      <c r="B46" s="78">
        <f>MAX($B$8:B45)+1</f>
        <v>35</v>
      </c>
      <c r="C46" s="78" t="s">
        <v>55</v>
      </c>
      <c r="D46" s="23" t="s">
        <v>95</v>
      </c>
      <c r="E46" s="23" t="s">
        <v>393</v>
      </c>
      <c r="F46" s="22">
        <v>604.08000000000004</v>
      </c>
      <c r="G46" s="22">
        <v>0</v>
      </c>
      <c r="H46" s="23"/>
      <c r="I46" s="22"/>
      <c r="J46" s="22">
        <f>SUMIFS('WP RA4'!$F$10:$F$19,'WP RA4'!$C$10:$C$19,$C46)</f>
        <v>-279.55</v>
      </c>
      <c r="K46" s="23"/>
      <c r="L46" s="22">
        <f t="shared" si="3"/>
        <v>-279.55</v>
      </c>
      <c r="M46" s="22">
        <f t="shared" si="4"/>
        <v>324.53000000000003</v>
      </c>
    </row>
    <row r="47" spans="2:13" x14ac:dyDescent="0.25">
      <c r="B47" s="78">
        <f>MAX($B$8:B46)+1</f>
        <v>36</v>
      </c>
      <c r="C47" s="78" t="s">
        <v>56</v>
      </c>
      <c r="D47" s="23" t="s">
        <v>96</v>
      </c>
      <c r="E47" s="23" t="s">
        <v>393</v>
      </c>
      <c r="F47" s="22">
        <v>19452.57</v>
      </c>
      <c r="G47" s="22">
        <v>0</v>
      </c>
      <c r="H47" s="23"/>
      <c r="I47" s="22"/>
      <c r="J47" s="22">
        <f>SUMIFS('WP RA4'!$F$10:$F$19,'WP RA4'!$C$10:$C$19,$C47)</f>
        <v>0</v>
      </c>
      <c r="K47" s="23"/>
      <c r="L47" s="22">
        <f t="shared" si="3"/>
        <v>0</v>
      </c>
      <c r="M47" s="22">
        <f t="shared" si="4"/>
        <v>19452.57</v>
      </c>
    </row>
    <row r="48" spans="2:13" x14ac:dyDescent="0.25">
      <c r="B48" s="78">
        <f>MAX($B$8:B47)+1</f>
        <v>37</v>
      </c>
      <c r="C48" s="78" t="s">
        <v>57</v>
      </c>
      <c r="D48" s="23" t="s">
        <v>97</v>
      </c>
      <c r="E48" s="23" t="s">
        <v>393</v>
      </c>
      <c r="F48" s="22">
        <v>-150</v>
      </c>
      <c r="G48" s="22">
        <v>0</v>
      </c>
      <c r="H48" s="23"/>
      <c r="I48" s="22"/>
      <c r="J48" s="22">
        <f>SUMIFS('WP RA4'!$F$10:$F$19,'WP RA4'!$C$10:$C$19,$C48)</f>
        <v>0</v>
      </c>
      <c r="K48" s="23"/>
      <c r="L48" s="22">
        <f t="shared" si="3"/>
        <v>0</v>
      </c>
      <c r="M48" s="22">
        <f t="shared" si="4"/>
        <v>-150</v>
      </c>
    </row>
    <row r="49" spans="2:13" x14ac:dyDescent="0.25">
      <c r="B49" s="78">
        <f>MAX($B$8:B48)+1</f>
        <v>38</v>
      </c>
      <c r="C49" s="78" t="s">
        <v>58</v>
      </c>
      <c r="D49" s="23" t="s">
        <v>98</v>
      </c>
      <c r="E49" s="23" t="s">
        <v>394</v>
      </c>
      <c r="F49" s="22">
        <v>623.80999999999995</v>
      </c>
      <c r="G49" s="22">
        <v>0</v>
      </c>
      <c r="H49" s="23"/>
      <c r="I49" s="22"/>
      <c r="J49" s="22">
        <f>SUMIFS('WP RA4'!$F$10:$F$19,'WP RA4'!$C$10:$C$19,$C49)</f>
        <v>0</v>
      </c>
      <c r="K49" s="23"/>
      <c r="L49" s="22">
        <f t="shared" si="3"/>
        <v>0</v>
      </c>
      <c r="M49" s="22">
        <f t="shared" si="4"/>
        <v>623.80999999999995</v>
      </c>
    </row>
    <row r="50" spans="2:13" x14ac:dyDescent="0.25">
      <c r="B50" s="78">
        <f>MAX($B$8:B49)+1</f>
        <v>39</v>
      </c>
      <c r="C50" s="78" t="s">
        <v>59</v>
      </c>
      <c r="D50" s="23" t="s">
        <v>99</v>
      </c>
      <c r="E50" s="23" t="s">
        <v>395</v>
      </c>
      <c r="F50" s="22">
        <v>14803.939999999999</v>
      </c>
      <c r="G50" s="22">
        <v>0</v>
      </c>
      <c r="H50" s="23"/>
      <c r="I50" s="22"/>
      <c r="J50" s="22">
        <f>SUMIFS('WP RA4'!$F$10:$F$19,'WP RA4'!$C$10:$C$19,$C50)</f>
        <v>0</v>
      </c>
      <c r="K50" s="23"/>
      <c r="L50" s="22">
        <f t="shared" si="3"/>
        <v>0</v>
      </c>
      <c r="M50" s="22">
        <f t="shared" si="4"/>
        <v>14803.939999999999</v>
      </c>
    </row>
    <row r="51" spans="2:13" x14ac:dyDescent="0.25">
      <c r="B51" s="78">
        <f>MAX($B$8:B50)+1</f>
        <v>40</v>
      </c>
      <c r="C51" s="78" t="s">
        <v>60</v>
      </c>
      <c r="D51" s="23" t="s">
        <v>100</v>
      </c>
      <c r="E51" s="23" t="s">
        <v>393</v>
      </c>
      <c r="F51" s="22">
        <v>26764.180000000004</v>
      </c>
      <c r="G51" s="22">
        <v>0</v>
      </c>
      <c r="H51" s="23"/>
      <c r="I51" s="22"/>
      <c r="J51" s="22">
        <f>SUMIFS('WP RA4'!$F$10:$F$19,'WP RA4'!$C$10:$C$19,$C51)</f>
        <v>-3742.5899999999992</v>
      </c>
      <c r="K51" s="23"/>
      <c r="L51" s="22">
        <f t="shared" si="3"/>
        <v>-3742.5899999999992</v>
      </c>
      <c r="M51" s="22">
        <f t="shared" si="4"/>
        <v>23021.590000000004</v>
      </c>
    </row>
    <row r="52" spans="2:13" x14ac:dyDescent="0.25">
      <c r="B52" s="78">
        <f>MAX($B$8:B51)+1</f>
        <v>41</v>
      </c>
      <c r="C52" s="78" t="s">
        <v>61</v>
      </c>
      <c r="D52" s="23" t="s">
        <v>101</v>
      </c>
      <c r="E52" s="23" t="s">
        <v>395</v>
      </c>
      <c r="F52" s="22">
        <v>43080.689999999995</v>
      </c>
      <c r="G52" s="22">
        <v>0</v>
      </c>
      <c r="H52" s="23"/>
      <c r="I52" s="22"/>
      <c r="J52" s="22">
        <f>SUMIFS('WP RA4'!$F$10:$F$19,'WP RA4'!$C$10:$C$19,$C52)</f>
        <v>0</v>
      </c>
      <c r="K52" s="23"/>
      <c r="L52" s="22">
        <f t="shared" si="3"/>
        <v>0</v>
      </c>
      <c r="M52" s="22">
        <f t="shared" si="4"/>
        <v>43080.689999999995</v>
      </c>
    </row>
    <row r="53" spans="2:13" x14ac:dyDescent="0.25">
      <c r="B53" s="78">
        <f>MAX($B$8:B52)+1</f>
        <v>42</v>
      </c>
      <c r="C53" s="78" t="s">
        <v>62</v>
      </c>
      <c r="D53" s="23" t="s">
        <v>102</v>
      </c>
      <c r="E53" s="23" t="s">
        <v>391</v>
      </c>
      <c r="F53" s="22">
        <v>-338546.07999999996</v>
      </c>
      <c r="G53" s="22">
        <v>0</v>
      </c>
      <c r="H53" s="23"/>
      <c r="I53" s="22"/>
      <c r="J53" s="22">
        <f>SUMIFS('WP RA4'!$F$10:$F$19,'WP RA4'!$C$10:$C$19,$C53)</f>
        <v>0</v>
      </c>
      <c r="K53" s="23"/>
      <c r="L53" s="22">
        <f t="shared" si="3"/>
        <v>0</v>
      </c>
      <c r="M53" s="22">
        <f t="shared" si="4"/>
        <v>-338546.07999999996</v>
      </c>
    </row>
    <row r="54" spans="2:13" x14ac:dyDescent="0.25">
      <c r="B54" s="78">
        <f>MAX($B$8:B53)+1</f>
        <v>43</v>
      </c>
      <c r="C54" s="78" t="s">
        <v>63</v>
      </c>
      <c r="D54" s="23" t="s">
        <v>103</v>
      </c>
      <c r="E54" s="23" t="s">
        <v>396</v>
      </c>
      <c r="F54" s="22">
        <v>244408.5</v>
      </c>
      <c r="G54" s="22">
        <v>0</v>
      </c>
      <c r="H54" s="23"/>
      <c r="I54" s="22"/>
      <c r="J54" s="22">
        <f>SUMIFS('WP RA4'!$F$10:$F$19,'WP RA4'!$C$10:$C$19,$C54)</f>
        <v>0</v>
      </c>
      <c r="K54" s="23"/>
      <c r="L54" s="22">
        <f t="shared" si="3"/>
        <v>0</v>
      </c>
      <c r="M54" s="22">
        <f t="shared" si="4"/>
        <v>244408.5</v>
      </c>
    </row>
    <row r="55" spans="2:13" x14ac:dyDescent="0.25">
      <c r="B55" s="78">
        <f>MAX($B$8:B54)+1</f>
        <v>44</v>
      </c>
      <c r="C55" s="78" t="s">
        <v>64</v>
      </c>
      <c r="D55" s="23" t="s">
        <v>104</v>
      </c>
      <c r="E55" s="23" t="s">
        <v>396</v>
      </c>
      <c r="F55" s="22">
        <v>1547000.04</v>
      </c>
      <c r="G55" s="22">
        <v>0</v>
      </c>
      <c r="H55" s="23"/>
      <c r="I55" s="22"/>
      <c r="J55" s="22">
        <f>SUMIFS('WP RA4'!$F$10:$F$19,'WP RA4'!$C$10:$C$19,$C55)</f>
        <v>0</v>
      </c>
      <c r="K55" s="23"/>
      <c r="L55" s="22">
        <f t="shared" si="3"/>
        <v>0</v>
      </c>
      <c r="M55" s="22">
        <f t="shared" si="4"/>
        <v>1547000.04</v>
      </c>
    </row>
    <row r="56" spans="2:13" x14ac:dyDescent="0.25">
      <c r="B56" s="78">
        <f>MAX($B$8:B55)+1</f>
        <v>45</v>
      </c>
      <c r="C56" s="78" t="s">
        <v>65</v>
      </c>
      <c r="D56" s="23" t="s">
        <v>105</v>
      </c>
      <c r="E56" s="23" t="s">
        <v>396</v>
      </c>
      <c r="F56" s="22">
        <v>1204643.67</v>
      </c>
      <c r="G56" s="22">
        <v>0</v>
      </c>
      <c r="H56" s="23"/>
      <c r="I56" s="22"/>
      <c r="J56" s="22">
        <f>SUMIFS('WP RA4'!$F$10:$F$19,'WP RA4'!$C$10:$C$19,$C56)</f>
        <v>0</v>
      </c>
      <c r="K56" s="23"/>
      <c r="L56" s="22">
        <f t="shared" si="3"/>
        <v>0</v>
      </c>
      <c r="M56" s="22">
        <f t="shared" si="4"/>
        <v>1204643.67</v>
      </c>
    </row>
    <row r="57" spans="2:13" x14ac:dyDescent="0.25">
      <c r="B57" s="78">
        <f>MAX($B$8:B56)+1</f>
        <v>46</v>
      </c>
      <c r="C57" s="78" t="s">
        <v>66</v>
      </c>
      <c r="D57" s="23" t="s">
        <v>106</v>
      </c>
      <c r="E57" s="23" t="s">
        <v>396</v>
      </c>
      <c r="F57" s="22">
        <v>605000.04</v>
      </c>
      <c r="G57" s="22">
        <v>0</v>
      </c>
      <c r="H57" s="23"/>
      <c r="I57" s="22"/>
      <c r="J57" s="22">
        <f>SUMIFS('WP RA4'!$F$10:$F$19,'WP RA4'!$C$10:$C$19,$C57)</f>
        <v>0</v>
      </c>
      <c r="K57" s="23"/>
      <c r="L57" s="22">
        <f t="shared" si="3"/>
        <v>0</v>
      </c>
      <c r="M57" s="22">
        <f t="shared" si="4"/>
        <v>605000.04</v>
      </c>
    </row>
    <row r="58" spans="2:13" x14ac:dyDescent="0.25">
      <c r="B58" s="78">
        <f>MAX($B$8:B57)+1</f>
        <v>47</v>
      </c>
      <c r="C58" s="78" t="s">
        <v>67</v>
      </c>
      <c r="D58" s="23" t="s">
        <v>107</v>
      </c>
      <c r="E58" s="23" t="s">
        <v>396</v>
      </c>
      <c r="F58" s="22">
        <v>24251.46</v>
      </c>
      <c r="G58" s="22">
        <v>0</v>
      </c>
      <c r="H58" s="23"/>
      <c r="I58" s="22"/>
      <c r="J58" s="22">
        <f>SUMIFS('WP RA4'!$F$10:$F$19,'WP RA4'!$C$10:$C$19,$C58)</f>
        <v>0</v>
      </c>
      <c r="K58" s="23"/>
      <c r="L58" s="22">
        <f t="shared" si="3"/>
        <v>0</v>
      </c>
      <c r="M58" s="22">
        <f t="shared" si="4"/>
        <v>24251.46</v>
      </c>
    </row>
    <row r="59" spans="2:13" x14ac:dyDescent="0.25">
      <c r="B59" s="78">
        <f>MAX($B$8:B58)+1</f>
        <v>48</v>
      </c>
      <c r="C59" s="78" t="s">
        <v>68</v>
      </c>
      <c r="D59" s="23" t="s">
        <v>108</v>
      </c>
      <c r="E59" s="23" t="s">
        <v>396</v>
      </c>
      <c r="F59" s="22">
        <v>-1789346.4899999998</v>
      </c>
      <c r="G59" s="22">
        <v>0</v>
      </c>
      <c r="H59" s="23"/>
      <c r="I59" s="22"/>
      <c r="J59" s="22">
        <f>SUMIFS('WP RA4'!$F$10:$F$19,'WP RA4'!$C$10:$C$19,$C59)</f>
        <v>0</v>
      </c>
      <c r="K59" s="23"/>
      <c r="L59" s="22">
        <f t="shared" si="3"/>
        <v>0</v>
      </c>
      <c r="M59" s="22">
        <f t="shared" si="4"/>
        <v>-1789346.4899999998</v>
      </c>
    </row>
    <row r="60" spans="2:13" x14ac:dyDescent="0.25">
      <c r="B60" s="78">
        <f>MAX($B$8:B59)+1</f>
        <v>49</v>
      </c>
      <c r="C60" s="78" t="s">
        <v>69</v>
      </c>
      <c r="D60" s="23" t="s">
        <v>109</v>
      </c>
      <c r="E60" s="23" t="s">
        <v>391</v>
      </c>
      <c r="F60" s="22">
        <v>155499.24</v>
      </c>
      <c r="G60" s="22">
        <v>0</v>
      </c>
      <c r="H60" s="23"/>
      <c r="I60" s="22"/>
      <c r="J60" s="22">
        <f>SUMIFS('WP RA4'!$F$10:$F$19,'WP RA4'!$C$10:$C$19,$C60)</f>
        <v>0</v>
      </c>
      <c r="K60" s="23"/>
      <c r="L60" s="22">
        <f t="shared" si="3"/>
        <v>0</v>
      </c>
      <c r="M60" s="22">
        <f t="shared" si="4"/>
        <v>155499.24</v>
      </c>
    </row>
    <row r="61" spans="2:13" x14ac:dyDescent="0.25">
      <c r="B61" s="78">
        <f>MAX($B$8:B60)+1</f>
        <v>50</v>
      </c>
      <c r="C61" s="78" t="s">
        <v>70</v>
      </c>
      <c r="D61" s="23" t="s">
        <v>110</v>
      </c>
      <c r="E61" s="23" t="s">
        <v>391</v>
      </c>
      <c r="F61" s="22">
        <v>530411.42000000004</v>
      </c>
      <c r="G61" s="22">
        <v>0</v>
      </c>
      <c r="H61" s="23"/>
      <c r="I61" s="22"/>
      <c r="J61" s="22">
        <f>SUMIFS('WP RA4'!$F$10:$F$19,'WP RA4'!$C$10:$C$19,$C61)</f>
        <v>0</v>
      </c>
      <c r="K61" s="23"/>
      <c r="L61" s="22">
        <f t="shared" si="3"/>
        <v>0</v>
      </c>
      <c r="M61" s="22">
        <f t="shared" si="4"/>
        <v>530411.42000000004</v>
      </c>
    </row>
    <row r="62" spans="2:13" x14ac:dyDescent="0.25">
      <c r="B62" s="78">
        <f>MAX($B$8:B61)+1</f>
        <v>51</v>
      </c>
      <c r="C62" s="78" t="s">
        <v>71</v>
      </c>
      <c r="D62" s="23" t="s">
        <v>111</v>
      </c>
      <c r="E62" s="23" t="s">
        <v>397</v>
      </c>
      <c r="F62" s="22">
        <v>44364.97</v>
      </c>
      <c r="G62" s="22">
        <v>0</v>
      </c>
      <c r="H62" s="23"/>
      <c r="I62" s="22"/>
      <c r="J62" s="22">
        <f>SUMIFS('WP RA4'!$F$10:$F$19,'WP RA4'!$C$10:$C$19,$C62)</f>
        <v>0</v>
      </c>
      <c r="K62" s="23"/>
      <c r="L62" s="22">
        <f t="shared" si="3"/>
        <v>0</v>
      </c>
      <c r="M62" s="22">
        <f t="shared" si="4"/>
        <v>44364.97</v>
      </c>
    </row>
    <row r="63" spans="2:13" x14ac:dyDescent="0.25">
      <c r="B63" s="78">
        <f>MAX($B$8:B62)+1</f>
        <v>52</v>
      </c>
      <c r="C63" s="78" t="s">
        <v>71</v>
      </c>
      <c r="D63" s="23" t="s">
        <v>530</v>
      </c>
      <c r="E63" s="23" t="s">
        <v>397</v>
      </c>
      <c r="F63" s="22">
        <v>0</v>
      </c>
      <c r="G63" s="22">
        <v>0</v>
      </c>
      <c r="H63" s="22">
        <v>0</v>
      </c>
      <c r="I63" s="22"/>
      <c r="J63" s="22">
        <f>SUMIFS('WP RA4'!$F$10:$F$19,'WP RA4'!$C$10:$C$19,$C63)</f>
        <v>0</v>
      </c>
      <c r="K63" s="22">
        <v>0</v>
      </c>
      <c r="L63" s="22">
        <f t="shared" si="3"/>
        <v>0</v>
      </c>
      <c r="M63" s="22">
        <f t="shared" si="4"/>
        <v>0</v>
      </c>
    </row>
    <row r="64" spans="2:13" x14ac:dyDescent="0.25">
      <c r="B64" s="78">
        <f>MAX($B$8:B63)+1</f>
        <v>53</v>
      </c>
      <c r="C64" s="78" t="s">
        <v>72</v>
      </c>
      <c r="D64" s="23" t="s">
        <v>112</v>
      </c>
      <c r="E64" s="23" t="s">
        <v>398</v>
      </c>
      <c r="F64" s="22">
        <v>7108.6</v>
      </c>
      <c r="G64" s="22">
        <v>0</v>
      </c>
      <c r="H64" s="23"/>
      <c r="I64" s="22"/>
      <c r="J64" s="22">
        <f>SUMIFS('WP RA4'!$F$10:$F$19,'WP RA4'!$C$10:$C$19,$C64)</f>
        <v>0</v>
      </c>
      <c r="K64" s="23"/>
      <c r="L64" s="22">
        <f t="shared" si="3"/>
        <v>0</v>
      </c>
      <c r="M64" s="22">
        <f t="shared" si="4"/>
        <v>7108.6</v>
      </c>
    </row>
    <row r="65" spans="2:13" x14ac:dyDescent="0.25">
      <c r="B65" s="78">
        <f>MAX($B$8:B64)+1</f>
        <v>54</v>
      </c>
      <c r="C65" s="78" t="s">
        <v>73</v>
      </c>
      <c r="D65" s="23" t="s">
        <v>113</v>
      </c>
      <c r="E65" s="23" t="s">
        <v>399</v>
      </c>
      <c r="F65" s="22">
        <v>4600</v>
      </c>
      <c r="G65" s="22">
        <v>0</v>
      </c>
      <c r="H65" s="23"/>
      <c r="I65" s="22"/>
      <c r="J65" s="22">
        <f>SUMIFS('WP RA4'!$F$10:$F$19,'WP RA4'!$C$10:$C$19,$C65)</f>
        <v>0</v>
      </c>
      <c r="K65" s="23"/>
      <c r="L65" s="22">
        <f t="shared" si="3"/>
        <v>0</v>
      </c>
      <c r="M65" s="22">
        <f t="shared" si="4"/>
        <v>4600</v>
      </c>
    </row>
    <row r="66" spans="2:13" x14ac:dyDescent="0.25">
      <c r="B66" s="78">
        <f>MAX($B$8:B65)+1</f>
        <v>55</v>
      </c>
      <c r="C66" s="78" t="s">
        <v>74</v>
      </c>
      <c r="D66" s="23" t="s">
        <v>114</v>
      </c>
      <c r="E66" s="23" t="s">
        <v>393</v>
      </c>
      <c r="F66" s="22">
        <v>14468.06</v>
      </c>
      <c r="G66" s="22">
        <v>0</v>
      </c>
      <c r="H66" s="23"/>
      <c r="I66" s="22"/>
      <c r="J66" s="22">
        <f>SUMIFS('WP RA4'!$F$10:$F$19,'WP RA4'!$C$10:$C$19,$C66)</f>
        <v>0</v>
      </c>
      <c r="K66" s="23"/>
      <c r="L66" s="22">
        <f t="shared" si="3"/>
        <v>0</v>
      </c>
      <c r="M66" s="22">
        <f t="shared" si="4"/>
        <v>14468.06</v>
      </c>
    </row>
    <row r="67" spans="2:13" x14ac:dyDescent="0.25">
      <c r="B67" s="78">
        <f>MAX($B$8:B66)+1</f>
        <v>56</v>
      </c>
      <c r="C67" s="78" t="s">
        <v>75</v>
      </c>
      <c r="D67" s="23" t="s">
        <v>115</v>
      </c>
      <c r="E67" s="23" t="s">
        <v>393</v>
      </c>
      <c r="F67" s="22">
        <v>110</v>
      </c>
      <c r="G67" s="22">
        <v>0</v>
      </c>
      <c r="H67" s="23"/>
      <c r="I67" s="22"/>
      <c r="J67" s="22">
        <f>SUMIFS('WP RA4'!$F$10:$F$19,'WP RA4'!$C$10:$C$19,$C67)</f>
        <v>0</v>
      </c>
      <c r="K67" s="23"/>
      <c r="L67" s="22">
        <f t="shared" si="3"/>
        <v>0</v>
      </c>
      <c r="M67" s="22">
        <f t="shared" si="4"/>
        <v>110</v>
      </c>
    </row>
    <row r="68" spans="2:13" x14ac:dyDescent="0.25">
      <c r="B68" s="78">
        <f>MAX($B$8:B67)+1</f>
        <v>57</v>
      </c>
      <c r="C68" s="78" t="s">
        <v>76</v>
      </c>
      <c r="D68" s="23" t="s">
        <v>116</v>
      </c>
      <c r="E68" s="23" t="s">
        <v>390</v>
      </c>
      <c r="F68" s="22">
        <v>6067.07</v>
      </c>
      <c r="G68" s="22">
        <v>0</v>
      </c>
      <c r="H68" s="23"/>
      <c r="I68" s="22"/>
      <c r="J68" s="22">
        <f>SUMIFS('WP RA4'!$F$10:$F$19,'WP RA4'!$C$10:$C$19,$C68)</f>
        <v>0</v>
      </c>
      <c r="K68" s="23"/>
      <c r="L68" s="22">
        <f t="shared" si="3"/>
        <v>0</v>
      </c>
      <c r="M68" s="22">
        <f t="shared" si="4"/>
        <v>6067.07</v>
      </c>
    </row>
    <row r="69" spans="2:13" x14ac:dyDescent="0.25">
      <c r="B69" s="78">
        <f>MAX($B$8:B68)+1</f>
        <v>58</v>
      </c>
      <c r="C69" s="78" t="s">
        <v>77</v>
      </c>
      <c r="D69" s="23" t="s">
        <v>117</v>
      </c>
      <c r="E69" s="23" t="s">
        <v>391</v>
      </c>
      <c r="F69" s="22">
        <v>22122</v>
      </c>
      <c r="G69" s="22">
        <v>0</v>
      </c>
      <c r="H69" s="23"/>
      <c r="I69" s="22"/>
      <c r="J69" s="22">
        <f>SUMIFS('WP RA4'!$F$10:$F$19,'WP RA4'!$C$10:$C$19,$C69)</f>
        <v>0</v>
      </c>
      <c r="K69" s="23"/>
      <c r="L69" s="22">
        <f t="shared" si="3"/>
        <v>0</v>
      </c>
      <c r="M69" s="22">
        <f t="shared" si="4"/>
        <v>22122</v>
      </c>
    </row>
    <row r="70" spans="2:13" x14ac:dyDescent="0.25">
      <c r="B70" s="78">
        <f>MAX($B$8:B69)+1</f>
        <v>59</v>
      </c>
      <c r="C70" s="78" t="s">
        <v>78</v>
      </c>
      <c r="D70" s="23" t="s">
        <v>118</v>
      </c>
      <c r="E70" s="23" t="s">
        <v>396</v>
      </c>
      <c r="F70" s="22">
        <v>3085.91</v>
      </c>
      <c r="G70" s="22">
        <v>0</v>
      </c>
      <c r="H70" s="23"/>
      <c r="I70" s="22"/>
      <c r="J70" s="22">
        <f>SUMIFS('WP RA4'!$F$10:$F$19,'WP RA4'!$C$10:$C$19,$C70)</f>
        <v>0</v>
      </c>
      <c r="K70" s="23"/>
      <c r="L70" s="22">
        <f t="shared" si="3"/>
        <v>0</v>
      </c>
      <c r="M70" s="22">
        <f t="shared" si="4"/>
        <v>3085.91</v>
      </c>
    </row>
    <row r="71" spans="2:13" x14ac:dyDescent="0.25">
      <c r="B71" s="78">
        <f>MAX($B$8:B70)+1</f>
        <v>60</v>
      </c>
      <c r="C71" s="78" t="s">
        <v>79</v>
      </c>
      <c r="D71" s="23" t="s">
        <v>119</v>
      </c>
      <c r="E71" s="23" t="s">
        <v>390</v>
      </c>
      <c r="F71" s="22">
        <v>12283.400000000001</v>
      </c>
      <c r="G71" s="22">
        <v>0</v>
      </c>
      <c r="H71" s="23"/>
      <c r="I71" s="22"/>
      <c r="J71" s="22">
        <f>SUMIFS('WP RA4'!$F$10:$F$19,'WP RA4'!$C$10:$C$19,$C71)</f>
        <v>-175.77</v>
      </c>
      <c r="K71" s="23"/>
      <c r="L71" s="22">
        <f t="shared" si="3"/>
        <v>-175.77</v>
      </c>
      <c r="M71" s="22">
        <f t="shared" si="4"/>
        <v>12107.630000000001</v>
      </c>
    </row>
    <row r="72" spans="2:13" x14ac:dyDescent="0.25">
      <c r="B72" s="78">
        <f>MAX($B$8:B71)+1</f>
        <v>61</v>
      </c>
      <c r="C72" s="78" t="s">
        <v>80</v>
      </c>
      <c r="D72" s="23" t="s">
        <v>120</v>
      </c>
      <c r="E72" s="23" t="s">
        <v>394</v>
      </c>
      <c r="F72" s="22">
        <v>6128.79</v>
      </c>
      <c r="G72" s="22">
        <v>0</v>
      </c>
      <c r="H72" s="23"/>
      <c r="I72" s="22"/>
      <c r="J72" s="22">
        <f>SUMIFS('WP RA4'!$F$10:$F$19,'WP RA4'!$C$10:$C$19,$C72)</f>
        <v>0</v>
      </c>
      <c r="K72" s="23"/>
      <c r="L72" s="22">
        <f t="shared" si="3"/>
        <v>0</v>
      </c>
      <c r="M72" s="22">
        <f t="shared" si="4"/>
        <v>6128.79</v>
      </c>
    </row>
    <row r="73" spans="2:13" x14ac:dyDescent="0.25">
      <c r="B73" s="78">
        <f>MAX($B$8:B72)+1</f>
        <v>62</v>
      </c>
      <c r="C73" s="78" t="s">
        <v>81</v>
      </c>
      <c r="D73" s="23" t="s">
        <v>121</v>
      </c>
      <c r="E73" s="23" t="s">
        <v>363</v>
      </c>
      <c r="F73" s="22">
        <v>-443533.78</v>
      </c>
      <c r="G73" s="22">
        <v>0</v>
      </c>
      <c r="H73" s="23"/>
      <c r="I73" s="22"/>
      <c r="J73" s="22">
        <f>SUMIFS('WP RA4'!$F$10:$F$19,'WP RA4'!$C$10:$C$19,$C73)</f>
        <v>0</v>
      </c>
      <c r="K73" s="23"/>
      <c r="L73" s="22">
        <f t="shared" si="3"/>
        <v>0</v>
      </c>
      <c r="M73" s="22">
        <f t="shared" si="4"/>
        <v>-443533.78</v>
      </c>
    </row>
    <row r="74" spans="2:13" x14ac:dyDescent="0.25">
      <c r="B74" s="78">
        <f>MAX($B$8:B73)+1</f>
        <v>63</v>
      </c>
      <c r="C74" s="78" t="s">
        <v>124</v>
      </c>
      <c r="D74" s="23" t="s">
        <v>122</v>
      </c>
      <c r="E74" s="23" t="s">
        <v>363</v>
      </c>
      <c r="F74" s="22">
        <v>623047.26</v>
      </c>
      <c r="G74" s="22">
        <v>0</v>
      </c>
      <c r="H74" s="23"/>
      <c r="I74" s="22"/>
      <c r="J74" s="22">
        <f>SUMIFS('WP RA4'!$F$10:$F$19,'WP RA4'!$C$10:$C$19,$C74)</f>
        <v>0</v>
      </c>
      <c r="K74" s="23"/>
      <c r="L74" s="22">
        <f t="shared" si="3"/>
        <v>0</v>
      </c>
      <c r="M74" s="22">
        <f t="shared" si="4"/>
        <v>623047.26</v>
      </c>
    </row>
    <row r="75" spans="2:13" x14ac:dyDescent="0.25">
      <c r="B75" s="78">
        <f>MAX($B$8:B74)+1</f>
        <v>64</v>
      </c>
      <c r="C75" s="78" t="s">
        <v>125</v>
      </c>
      <c r="D75" s="23" t="s">
        <v>123</v>
      </c>
      <c r="E75" s="23"/>
      <c r="F75" s="22">
        <v>0</v>
      </c>
      <c r="G75" s="22">
        <v>0</v>
      </c>
      <c r="H75" s="23"/>
      <c r="I75" s="22"/>
      <c r="J75" s="22">
        <f>SUMIFS('WP RA4'!$F$10:$F$19,'WP RA4'!$C$10:$C$19,$C75)</f>
        <v>0</v>
      </c>
      <c r="K75" s="23"/>
      <c r="L75" s="22">
        <f t="shared" si="3"/>
        <v>0</v>
      </c>
      <c r="M75" s="22">
        <f t="shared" si="4"/>
        <v>0</v>
      </c>
    </row>
    <row r="76" spans="2:13" x14ac:dyDescent="0.25">
      <c r="B76" s="78">
        <f>MAX($B$8:B75)+1</f>
        <v>65</v>
      </c>
      <c r="C76" s="78" t="s">
        <v>126</v>
      </c>
      <c r="D76" s="23" t="s">
        <v>179</v>
      </c>
      <c r="E76" s="23" t="s">
        <v>391</v>
      </c>
      <c r="F76" s="22">
        <v>415463.76999999996</v>
      </c>
      <c r="G76" s="22">
        <v>0</v>
      </c>
      <c r="H76" s="23"/>
      <c r="I76" s="22"/>
      <c r="J76" s="22">
        <f>SUMIFS('WP RA4'!$F$10:$F$19,'WP RA4'!$C$10:$C$19,$C76)</f>
        <v>0</v>
      </c>
      <c r="K76" s="23"/>
      <c r="L76" s="22">
        <f t="shared" si="3"/>
        <v>0</v>
      </c>
      <c r="M76" s="22">
        <f t="shared" si="4"/>
        <v>415463.76999999996</v>
      </c>
    </row>
    <row r="77" spans="2:13" x14ac:dyDescent="0.25">
      <c r="B77" s="78">
        <f>MAX($B$8:B76)+1</f>
        <v>66</v>
      </c>
      <c r="C77" s="78" t="s">
        <v>127</v>
      </c>
      <c r="D77" s="23" t="s">
        <v>180</v>
      </c>
      <c r="E77" s="23" t="s">
        <v>394</v>
      </c>
      <c r="F77" s="22">
        <v>4361.6400000000003</v>
      </c>
      <c r="G77" s="22">
        <v>0</v>
      </c>
      <c r="H77" s="23"/>
      <c r="I77" s="22"/>
      <c r="J77" s="22">
        <f>SUMIFS('WP RA4'!$F$10:$F$19,'WP RA4'!$C$10:$C$19,$C77)</f>
        <v>0</v>
      </c>
      <c r="K77" s="23"/>
      <c r="L77" s="22">
        <f t="shared" si="3"/>
        <v>0</v>
      </c>
      <c r="M77" s="22">
        <f t="shared" si="4"/>
        <v>4361.6400000000003</v>
      </c>
    </row>
    <row r="78" spans="2:13" x14ac:dyDescent="0.25">
      <c r="B78" s="78">
        <f>MAX($B$8:B77)+1</f>
        <v>67</v>
      </c>
      <c r="C78" s="78" t="s">
        <v>128</v>
      </c>
      <c r="D78" s="23" t="s">
        <v>181</v>
      </c>
      <c r="E78" s="23" t="s">
        <v>400</v>
      </c>
      <c r="F78" s="22">
        <v>5595</v>
      </c>
      <c r="G78" s="22">
        <v>0</v>
      </c>
      <c r="H78" s="23"/>
      <c r="I78" s="22"/>
      <c r="J78" s="22">
        <f>SUMIFS('WP RA4'!$F$10:$F$19,'WP RA4'!$C$10:$C$19,$C78)</f>
        <v>0</v>
      </c>
      <c r="K78" s="23"/>
      <c r="L78" s="22">
        <f t="shared" si="3"/>
        <v>0</v>
      </c>
      <c r="M78" s="22">
        <f t="shared" si="4"/>
        <v>5595</v>
      </c>
    </row>
    <row r="79" spans="2:13" x14ac:dyDescent="0.25">
      <c r="B79" s="78">
        <f>MAX($B$8:B78)+1</f>
        <v>68</v>
      </c>
      <c r="C79" s="78" t="s">
        <v>129</v>
      </c>
      <c r="D79" s="23" t="s">
        <v>182</v>
      </c>
      <c r="E79" s="23" t="s">
        <v>401</v>
      </c>
      <c r="F79" s="22">
        <v>23116.690000000002</v>
      </c>
      <c r="G79" s="22">
        <v>0</v>
      </c>
      <c r="H79" s="23"/>
      <c r="I79" s="22"/>
      <c r="J79" s="22">
        <f>SUMIFS('WP RA4'!$F$10:$F$19,'WP RA4'!$C$10:$C$19,$C79)</f>
        <v>0</v>
      </c>
      <c r="K79" s="23"/>
      <c r="L79" s="22">
        <f t="shared" si="3"/>
        <v>0</v>
      </c>
      <c r="M79" s="22">
        <f t="shared" si="4"/>
        <v>23116.690000000002</v>
      </c>
    </row>
    <row r="80" spans="2:13" x14ac:dyDescent="0.25">
      <c r="B80" s="78">
        <f>MAX($B$8:B79)+1</f>
        <v>69</v>
      </c>
      <c r="C80" s="78" t="s">
        <v>130</v>
      </c>
      <c r="D80" s="23" t="s">
        <v>183</v>
      </c>
      <c r="E80" s="23"/>
      <c r="F80" s="22">
        <v>0</v>
      </c>
      <c r="G80" s="22">
        <v>0</v>
      </c>
      <c r="H80" s="23"/>
      <c r="I80" s="22"/>
      <c r="J80" s="22">
        <f>SUMIFS('WP RA4'!$F$10:$F$19,'WP RA4'!$C$10:$C$19,$C80)</f>
        <v>0</v>
      </c>
      <c r="K80" s="23"/>
      <c r="L80" s="22">
        <f t="shared" si="3"/>
        <v>0</v>
      </c>
      <c r="M80" s="22">
        <f t="shared" si="4"/>
        <v>0</v>
      </c>
    </row>
    <row r="81" spans="2:13" x14ac:dyDescent="0.25">
      <c r="B81" s="78">
        <f>MAX($B$8:B80)+1</f>
        <v>70</v>
      </c>
      <c r="C81" s="78" t="s">
        <v>131</v>
      </c>
      <c r="D81" s="23" t="s">
        <v>184</v>
      </c>
      <c r="E81" s="23" t="s">
        <v>391</v>
      </c>
      <c r="F81" s="22">
        <v>250.56</v>
      </c>
      <c r="G81" s="22">
        <v>0</v>
      </c>
      <c r="H81" s="23"/>
      <c r="I81" s="22"/>
      <c r="J81" s="22">
        <f>SUMIFS('WP RA4'!$F$10:$F$19,'WP RA4'!$C$10:$C$19,$C81)</f>
        <v>0</v>
      </c>
      <c r="K81" s="23"/>
      <c r="L81" s="22">
        <f t="shared" si="3"/>
        <v>0</v>
      </c>
      <c r="M81" s="22">
        <f t="shared" si="4"/>
        <v>250.56</v>
      </c>
    </row>
    <row r="82" spans="2:13" x14ac:dyDescent="0.25">
      <c r="B82" s="78">
        <f>MAX($B$8:B81)+1</f>
        <v>71</v>
      </c>
      <c r="C82" s="78" t="s">
        <v>132</v>
      </c>
      <c r="D82" s="23" t="s">
        <v>185</v>
      </c>
      <c r="E82" s="23" t="s">
        <v>363</v>
      </c>
      <c r="F82" s="22">
        <v>-24.22</v>
      </c>
      <c r="G82" s="22">
        <v>0</v>
      </c>
      <c r="H82" s="23"/>
      <c r="I82" s="22"/>
      <c r="J82" s="22">
        <f>SUMIFS('WP RA4'!$F$10:$F$19,'WP RA4'!$C$10:$C$19,$C82)</f>
        <v>0</v>
      </c>
      <c r="K82" s="23"/>
      <c r="L82" s="22">
        <f t="shared" si="3"/>
        <v>0</v>
      </c>
      <c r="M82" s="22">
        <f t="shared" si="4"/>
        <v>-24.22</v>
      </c>
    </row>
    <row r="83" spans="2:13" x14ac:dyDescent="0.25">
      <c r="B83" s="78">
        <f>MAX($B$8:B82)+1</f>
        <v>72</v>
      </c>
      <c r="C83" s="78" t="s">
        <v>133</v>
      </c>
      <c r="D83" s="23" t="s">
        <v>186</v>
      </c>
      <c r="E83" s="23" t="s">
        <v>391</v>
      </c>
      <c r="F83" s="22">
        <v>0</v>
      </c>
      <c r="G83" s="22">
        <v>0</v>
      </c>
      <c r="H83" s="23"/>
      <c r="I83" s="22"/>
      <c r="J83" s="22">
        <f>SUMIFS('WP RA4'!$F$10:$F$19,'WP RA4'!$C$10:$C$19,$C83)</f>
        <v>0</v>
      </c>
      <c r="K83" s="23"/>
      <c r="L83" s="22">
        <f t="shared" si="3"/>
        <v>0</v>
      </c>
      <c r="M83" s="22">
        <f t="shared" si="4"/>
        <v>0</v>
      </c>
    </row>
    <row r="84" spans="2:13" x14ac:dyDescent="0.25">
      <c r="B84" s="78">
        <f>MAX($B$8:B83)+1</f>
        <v>73</v>
      </c>
      <c r="C84" s="78" t="s">
        <v>134</v>
      </c>
      <c r="D84" s="23" t="s">
        <v>187</v>
      </c>
      <c r="E84" s="23" t="s">
        <v>394</v>
      </c>
      <c r="F84" s="22">
        <v>27715.3</v>
      </c>
      <c r="G84" s="22">
        <v>0</v>
      </c>
      <c r="H84" s="23"/>
      <c r="I84" s="22"/>
      <c r="J84" s="22">
        <f>SUMIFS('WP RA4'!$F$10:$F$19,'WP RA4'!$C$10:$C$19,$C84)</f>
        <v>0</v>
      </c>
      <c r="K84" s="23"/>
      <c r="L84" s="22">
        <f t="shared" si="3"/>
        <v>0</v>
      </c>
      <c r="M84" s="22">
        <f t="shared" si="4"/>
        <v>27715.3</v>
      </c>
    </row>
    <row r="85" spans="2:13" x14ac:dyDescent="0.25">
      <c r="B85" s="78">
        <f>MAX($B$8:B84)+1</f>
        <v>74</v>
      </c>
      <c r="C85" s="78" t="s">
        <v>135</v>
      </c>
      <c r="D85" s="23" t="s">
        <v>188</v>
      </c>
      <c r="E85" s="23" t="s">
        <v>394</v>
      </c>
      <c r="F85" s="22">
        <v>6534.18</v>
      </c>
      <c r="G85" s="22">
        <v>0</v>
      </c>
      <c r="H85" s="23"/>
      <c r="I85" s="22"/>
      <c r="J85" s="22">
        <f>SUMIFS('WP RA4'!$F$10:$F$19,'WP RA4'!$C$10:$C$19,$C85)</f>
        <v>0</v>
      </c>
      <c r="K85" s="23"/>
      <c r="L85" s="22">
        <f t="shared" si="3"/>
        <v>0</v>
      </c>
      <c r="M85" s="22">
        <f t="shared" si="4"/>
        <v>6534.18</v>
      </c>
    </row>
    <row r="86" spans="2:13" x14ac:dyDescent="0.25">
      <c r="B86" s="78">
        <f>MAX($B$8:B85)+1</f>
        <v>75</v>
      </c>
      <c r="C86" s="78" t="s">
        <v>136</v>
      </c>
      <c r="D86" s="23" t="s">
        <v>189</v>
      </c>
      <c r="E86" s="23" t="s">
        <v>394</v>
      </c>
      <c r="F86" s="22">
        <v>10238.550000000001</v>
      </c>
      <c r="G86" s="22">
        <v>0</v>
      </c>
      <c r="H86" s="23"/>
      <c r="I86" s="22"/>
      <c r="J86" s="22">
        <f>SUMIFS('WP RA4'!$F$10:$F$19,'WP RA4'!$C$10:$C$19,$C86)</f>
        <v>0</v>
      </c>
      <c r="K86" s="23"/>
      <c r="L86" s="22">
        <f t="shared" si="3"/>
        <v>0</v>
      </c>
      <c r="M86" s="22">
        <f t="shared" si="4"/>
        <v>10238.550000000001</v>
      </c>
    </row>
    <row r="87" spans="2:13" x14ac:dyDescent="0.25">
      <c r="B87" s="78">
        <f>MAX($B$8:B86)+1</f>
        <v>76</v>
      </c>
      <c r="C87" s="78" t="s">
        <v>137</v>
      </c>
      <c r="D87" s="23" t="s">
        <v>190</v>
      </c>
      <c r="E87" s="23" t="s">
        <v>399</v>
      </c>
      <c r="F87" s="22">
        <v>255885.58000000002</v>
      </c>
      <c r="G87" s="22">
        <v>0</v>
      </c>
      <c r="H87" s="23"/>
      <c r="I87" s="22"/>
      <c r="J87" s="22">
        <f>SUMIFS('WP RA4'!$F$10:$F$19,'WP RA4'!$C$10:$C$19,$C87)</f>
        <v>0</v>
      </c>
      <c r="K87" s="23"/>
      <c r="L87" s="22">
        <f t="shared" si="3"/>
        <v>0</v>
      </c>
      <c r="M87" s="22">
        <f t="shared" si="4"/>
        <v>255885.58000000002</v>
      </c>
    </row>
    <row r="88" spans="2:13" x14ac:dyDescent="0.25">
      <c r="B88" s="78">
        <f>MAX($B$8:B87)+1</f>
        <v>77</v>
      </c>
      <c r="C88" s="78" t="s">
        <v>138</v>
      </c>
      <c r="D88" s="23" t="s">
        <v>191</v>
      </c>
      <c r="E88" s="23" t="s">
        <v>391</v>
      </c>
      <c r="F88" s="22">
        <v>1</v>
      </c>
      <c r="G88" s="22">
        <v>0</v>
      </c>
      <c r="H88" s="23"/>
      <c r="I88" s="22"/>
      <c r="J88" s="22">
        <f>SUMIFS('WP RA4'!$F$10:$F$19,'WP RA4'!$C$10:$C$19,$C88)</f>
        <v>0</v>
      </c>
      <c r="K88" s="23"/>
      <c r="L88" s="22">
        <f t="shared" si="3"/>
        <v>0</v>
      </c>
      <c r="M88" s="22">
        <f t="shared" si="4"/>
        <v>1</v>
      </c>
    </row>
    <row r="89" spans="2:13" x14ac:dyDescent="0.25">
      <c r="B89" s="78">
        <f>MAX($B$8:B88)+1</f>
        <v>78</v>
      </c>
      <c r="C89" s="78" t="s">
        <v>139</v>
      </c>
      <c r="D89" s="23" t="s">
        <v>192</v>
      </c>
      <c r="E89" s="23" t="s">
        <v>402</v>
      </c>
      <c r="F89" s="22">
        <v>0</v>
      </c>
      <c r="G89" s="22">
        <v>0</v>
      </c>
      <c r="H89" s="23"/>
      <c r="I89" s="22"/>
      <c r="J89" s="22">
        <f>SUMIFS('WP RA4'!$F$10:$F$19,'WP RA4'!$C$10:$C$19,$C89)</f>
        <v>0</v>
      </c>
      <c r="K89" s="23"/>
      <c r="L89" s="22">
        <f t="shared" si="3"/>
        <v>0</v>
      </c>
      <c r="M89" s="22">
        <f t="shared" si="4"/>
        <v>0</v>
      </c>
    </row>
    <row r="90" spans="2:13" x14ac:dyDescent="0.25">
      <c r="B90" s="78">
        <f>MAX($B$8:B89)+1</f>
        <v>79</v>
      </c>
      <c r="C90" s="78" t="s">
        <v>140</v>
      </c>
      <c r="D90" s="23" t="s">
        <v>193</v>
      </c>
      <c r="E90" s="23"/>
      <c r="F90" s="22">
        <v>0</v>
      </c>
      <c r="G90" s="22">
        <v>0</v>
      </c>
      <c r="H90" s="23"/>
      <c r="I90" s="22"/>
      <c r="J90" s="22">
        <f>SUMIFS('WP RA4'!$F$10:$F$19,'WP RA4'!$C$10:$C$19,$C90)</f>
        <v>0</v>
      </c>
      <c r="K90" s="23"/>
      <c r="L90" s="22">
        <f t="shared" si="3"/>
        <v>0</v>
      </c>
      <c r="M90" s="22">
        <f t="shared" si="4"/>
        <v>0</v>
      </c>
    </row>
    <row r="91" spans="2:13" x14ac:dyDescent="0.25">
      <c r="B91" s="78">
        <f>MAX($B$8:B90)+1</f>
        <v>80</v>
      </c>
      <c r="C91" s="78" t="s">
        <v>141</v>
      </c>
      <c r="D91" s="23" t="s">
        <v>194</v>
      </c>
      <c r="E91" s="23" t="s">
        <v>391</v>
      </c>
      <c r="F91" s="22">
        <v>504865.67000000004</v>
      </c>
      <c r="G91" s="22">
        <v>0</v>
      </c>
      <c r="H91" s="23"/>
      <c r="I91" s="22"/>
      <c r="J91" s="22">
        <f>SUMIFS('WP RA4'!$F$10:$F$19,'WP RA4'!$C$10:$C$19,$C91)</f>
        <v>0</v>
      </c>
      <c r="K91" s="23"/>
      <c r="L91" s="22">
        <f t="shared" si="3"/>
        <v>0</v>
      </c>
      <c r="M91" s="22">
        <f t="shared" si="4"/>
        <v>504865.67000000004</v>
      </c>
    </row>
    <row r="92" spans="2:13" x14ac:dyDescent="0.25">
      <c r="B92" s="78">
        <f>MAX($B$8:B91)+1</f>
        <v>81</v>
      </c>
      <c r="C92" s="78" t="s">
        <v>142</v>
      </c>
      <c r="D92" s="23" t="s">
        <v>195</v>
      </c>
      <c r="E92" s="23" t="s">
        <v>403</v>
      </c>
      <c r="F92" s="22">
        <v>71892.239999999991</v>
      </c>
      <c r="G92" s="22">
        <v>0</v>
      </c>
      <c r="H92" s="23"/>
      <c r="I92" s="22"/>
      <c r="J92" s="22">
        <f>SUMIFS('WP RA4'!$F$10:$F$19,'WP RA4'!$C$10:$C$19,$C92)</f>
        <v>0</v>
      </c>
      <c r="K92" s="23"/>
      <c r="L92" s="22">
        <f t="shared" si="3"/>
        <v>0</v>
      </c>
      <c r="M92" s="22">
        <f t="shared" si="4"/>
        <v>71892.239999999991</v>
      </c>
    </row>
    <row r="93" spans="2:13" x14ac:dyDescent="0.25">
      <c r="B93" s="78">
        <f>MAX($B$8:B92)+1</f>
        <v>82</v>
      </c>
      <c r="C93" s="78" t="s">
        <v>143</v>
      </c>
      <c r="D93" s="23" t="s">
        <v>196</v>
      </c>
      <c r="E93" s="23" t="s">
        <v>403</v>
      </c>
      <c r="F93" s="22">
        <v>307.76</v>
      </c>
      <c r="G93" s="22">
        <v>0</v>
      </c>
      <c r="H93" s="23"/>
      <c r="I93" s="22"/>
      <c r="J93" s="22">
        <f>SUMIFS('WP RA4'!$F$10:$F$19,'WP RA4'!$C$10:$C$19,$C93)</f>
        <v>0</v>
      </c>
      <c r="K93" s="23"/>
      <c r="L93" s="22">
        <f t="shared" si="3"/>
        <v>0</v>
      </c>
      <c r="M93" s="22">
        <f t="shared" si="4"/>
        <v>307.76</v>
      </c>
    </row>
    <row r="94" spans="2:13" x14ac:dyDescent="0.25">
      <c r="B94" s="78">
        <f>MAX($B$8:B93)+1</f>
        <v>83</v>
      </c>
      <c r="C94" s="78" t="s">
        <v>144</v>
      </c>
      <c r="D94" s="23" t="s">
        <v>197</v>
      </c>
      <c r="E94" s="23" t="s">
        <v>403</v>
      </c>
      <c r="F94" s="22">
        <v>0</v>
      </c>
      <c r="G94" s="22">
        <v>0</v>
      </c>
      <c r="H94" s="23"/>
      <c r="I94" s="22"/>
      <c r="J94" s="22">
        <f>SUMIFS('WP RA4'!$F$10:$F$19,'WP RA4'!$C$10:$C$19,$C94)</f>
        <v>0</v>
      </c>
      <c r="K94" s="23"/>
      <c r="L94" s="22">
        <f t="shared" si="3"/>
        <v>0</v>
      </c>
      <c r="M94" s="22">
        <f t="shared" si="4"/>
        <v>0</v>
      </c>
    </row>
    <row r="95" spans="2:13" x14ac:dyDescent="0.25">
      <c r="B95" s="78">
        <f>MAX($B$8:B94)+1</f>
        <v>84</v>
      </c>
      <c r="C95" s="78" t="s">
        <v>145</v>
      </c>
      <c r="D95" s="23" t="s">
        <v>198</v>
      </c>
      <c r="E95" s="23" t="s">
        <v>399</v>
      </c>
      <c r="F95" s="22">
        <v>126794.94</v>
      </c>
      <c r="G95" s="22">
        <v>0</v>
      </c>
      <c r="H95" s="23"/>
      <c r="I95" s="22"/>
      <c r="J95" s="22">
        <f>SUMIFS('WP RA4'!$F$10:$F$19,'WP RA4'!$C$10:$C$19,$C95)</f>
        <v>0</v>
      </c>
      <c r="K95" s="22">
        <f>'WP RA5'!F10</f>
        <v>29929.191900000002</v>
      </c>
      <c r="L95" s="22">
        <f t="shared" si="3"/>
        <v>29929.191900000002</v>
      </c>
      <c r="M95" s="22">
        <f t="shared" si="4"/>
        <v>156724.13190000001</v>
      </c>
    </row>
    <row r="96" spans="2:13" x14ac:dyDescent="0.25">
      <c r="B96" s="78">
        <f>MAX($B$8:B95)+1</f>
        <v>85</v>
      </c>
      <c r="C96" s="78" t="s">
        <v>146</v>
      </c>
      <c r="D96" s="23" t="s">
        <v>199</v>
      </c>
      <c r="E96" s="23" t="s">
        <v>363</v>
      </c>
      <c r="F96" s="22">
        <v>8769.7199999999993</v>
      </c>
      <c r="G96" s="22">
        <v>0</v>
      </c>
      <c r="H96" s="23"/>
      <c r="I96" s="22"/>
      <c r="J96" s="22">
        <f>SUMIFS('WP RA4'!$F$10:$F$19,'WP RA4'!$C$10:$C$19,$C96)</f>
        <v>0</v>
      </c>
      <c r="K96" s="23"/>
      <c r="L96" s="22">
        <f t="shared" si="3"/>
        <v>0</v>
      </c>
      <c r="M96" s="22">
        <f t="shared" si="4"/>
        <v>8769.7199999999993</v>
      </c>
    </row>
    <row r="97" spans="2:13" x14ac:dyDescent="0.25">
      <c r="B97" s="78">
        <f>MAX($B$8:B96)+1</f>
        <v>86</v>
      </c>
      <c r="C97" s="78" t="s">
        <v>147</v>
      </c>
      <c r="D97" s="23" t="s">
        <v>200</v>
      </c>
      <c r="E97" s="23"/>
      <c r="F97" s="22">
        <v>0</v>
      </c>
      <c r="G97" s="22">
        <v>0</v>
      </c>
      <c r="H97" s="23"/>
      <c r="I97" s="22"/>
      <c r="J97" s="22">
        <f>SUMIFS('WP RA4'!$F$10:$F$19,'WP RA4'!$C$10:$C$19,$C97)</f>
        <v>0</v>
      </c>
      <c r="K97" s="23"/>
      <c r="L97" s="22">
        <f t="shared" ref="L97:L141" si="5">SUM(G97:K97)</f>
        <v>0</v>
      </c>
      <c r="M97" s="22">
        <f t="shared" ref="M97:M141" si="6">F97+L97</f>
        <v>0</v>
      </c>
    </row>
    <row r="98" spans="2:13" x14ac:dyDescent="0.25">
      <c r="B98" s="78">
        <f>MAX($B$8:B97)+1</f>
        <v>87</v>
      </c>
      <c r="C98" s="78" t="s">
        <v>148</v>
      </c>
      <c r="D98" s="23" t="s">
        <v>201</v>
      </c>
      <c r="E98" s="23" t="s">
        <v>403</v>
      </c>
      <c r="F98" s="22">
        <v>3073.61</v>
      </c>
      <c r="G98" s="22">
        <v>0</v>
      </c>
      <c r="H98" s="23"/>
      <c r="I98" s="22"/>
      <c r="J98" s="22">
        <f>SUMIFS('WP RA4'!$F$10:$F$19,'WP RA4'!$C$10:$C$19,$C98)</f>
        <v>0</v>
      </c>
      <c r="K98" s="23"/>
      <c r="L98" s="22">
        <f t="shared" si="5"/>
        <v>0</v>
      </c>
      <c r="M98" s="22">
        <f t="shared" si="6"/>
        <v>3073.61</v>
      </c>
    </row>
    <row r="99" spans="2:13" x14ac:dyDescent="0.25">
      <c r="B99" s="78">
        <f>MAX($B$8:B98)+1</f>
        <v>88</v>
      </c>
      <c r="C99" s="78" t="s">
        <v>149</v>
      </c>
      <c r="D99" s="23" t="s">
        <v>202</v>
      </c>
      <c r="E99" s="23" t="s">
        <v>389</v>
      </c>
      <c r="F99" s="22">
        <v>-104119.87</v>
      </c>
      <c r="G99" s="22">
        <v>0</v>
      </c>
      <c r="H99" s="23"/>
      <c r="I99" s="22"/>
      <c r="J99" s="22">
        <f>SUMIFS('WP RA4'!$F$10:$F$19,'WP RA4'!$C$10:$C$19,$C99)</f>
        <v>0</v>
      </c>
      <c r="K99" s="23"/>
      <c r="L99" s="22">
        <f t="shared" si="5"/>
        <v>0</v>
      </c>
      <c r="M99" s="22">
        <f t="shared" si="6"/>
        <v>-104119.87</v>
      </c>
    </row>
    <row r="100" spans="2:13" x14ac:dyDescent="0.25">
      <c r="B100" s="78">
        <f>MAX($B$8:B99)+1</f>
        <v>89</v>
      </c>
      <c r="C100" s="78" t="s">
        <v>150</v>
      </c>
      <c r="D100" s="23" t="s">
        <v>203</v>
      </c>
      <c r="E100" s="23" t="s">
        <v>403</v>
      </c>
      <c r="F100" s="22">
        <v>242.14</v>
      </c>
      <c r="G100" s="22">
        <v>0</v>
      </c>
      <c r="H100" s="23"/>
      <c r="I100" s="22"/>
      <c r="J100" s="22">
        <f>SUMIFS('WP RA4'!$F$10:$F$19,'WP RA4'!$C$10:$C$19,$C100)</f>
        <v>0</v>
      </c>
      <c r="K100" s="23"/>
      <c r="L100" s="22">
        <f t="shared" si="5"/>
        <v>0</v>
      </c>
      <c r="M100" s="22">
        <f t="shared" si="6"/>
        <v>242.14</v>
      </c>
    </row>
    <row r="101" spans="2:13" x14ac:dyDescent="0.25">
      <c r="B101" s="78">
        <f>MAX($B$8:B100)+1</f>
        <v>90</v>
      </c>
      <c r="C101" s="78" t="s">
        <v>151</v>
      </c>
      <c r="D101" s="23" t="s">
        <v>190</v>
      </c>
      <c r="E101" s="23" t="s">
        <v>363</v>
      </c>
      <c r="F101" s="22">
        <v>196.72</v>
      </c>
      <c r="G101" s="22">
        <v>0</v>
      </c>
      <c r="H101" s="23"/>
      <c r="I101" s="22"/>
      <c r="J101" s="22">
        <f>SUMIFS('WP RA4'!$F$10:$F$19,'WP RA4'!$C$10:$C$19,$C101)</f>
        <v>0</v>
      </c>
      <c r="K101" s="23"/>
      <c r="L101" s="22">
        <f t="shared" si="5"/>
        <v>0</v>
      </c>
      <c r="M101" s="22">
        <f t="shared" si="6"/>
        <v>196.72</v>
      </c>
    </row>
    <row r="102" spans="2:13" x14ac:dyDescent="0.25">
      <c r="B102" s="78">
        <f>MAX($B$8:B101)+1</f>
        <v>91</v>
      </c>
      <c r="C102" s="78" t="s">
        <v>152</v>
      </c>
      <c r="D102" s="23" t="s">
        <v>193</v>
      </c>
      <c r="E102" s="23"/>
      <c r="F102" s="22">
        <v>0</v>
      </c>
      <c r="G102" s="22">
        <v>0</v>
      </c>
      <c r="H102" s="23"/>
      <c r="I102" s="22"/>
      <c r="J102" s="22">
        <f>SUMIFS('WP RA4'!$F$10:$F$19,'WP RA4'!$C$10:$C$19,$C102)</f>
        <v>0</v>
      </c>
      <c r="K102" s="23"/>
      <c r="L102" s="22">
        <f t="shared" si="5"/>
        <v>0</v>
      </c>
      <c r="M102" s="22">
        <f t="shared" si="6"/>
        <v>0</v>
      </c>
    </row>
    <row r="103" spans="2:13" x14ac:dyDescent="0.25">
      <c r="B103" s="78">
        <f>MAX($B$8:B102)+1</f>
        <v>92</v>
      </c>
      <c r="C103" s="78" t="s">
        <v>153</v>
      </c>
      <c r="D103" s="23" t="s">
        <v>204</v>
      </c>
      <c r="E103" s="23" t="s">
        <v>391</v>
      </c>
      <c r="F103" s="22">
        <v>164241.75999999998</v>
      </c>
      <c r="G103" s="22">
        <v>0</v>
      </c>
      <c r="H103" s="23"/>
      <c r="I103" s="22"/>
      <c r="J103" s="22">
        <f>SUMIFS('WP RA4'!$F$10:$F$19,'WP RA4'!$C$10:$C$19,$C103)</f>
        <v>0</v>
      </c>
      <c r="K103" s="23"/>
      <c r="L103" s="22">
        <f t="shared" si="5"/>
        <v>0</v>
      </c>
      <c r="M103" s="22">
        <f t="shared" si="6"/>
        <v>164241.75999999998</v>
      </c>
    </row>
    <row r="104" spans="2:13" x14ac:dyDescent="0.25">
      <c r="B104" s="78">
        <f>MAX($B$8:B103)+1</f>
        <v>93</v>
      </c>
      <c r="C104" s="78" t="s">
        <v>154</v>
      </c>
      <c r="D104" s="23" t="s">
        <v>205</v>
      </c>
      <c r="E104" s="23"/>
      <c r="F104" s="22">
        <v>0</v>
      </c>
      <c r="G104" s="22">
        <v>0</v>
      </c>
      <c r="H104" s="23"/>
      <c r="I104" s="22"/>
      <c r="J104" s="22">
        <f>SUMIFS('WP RA4'!$F$10:$F$19,'WP RA4'!$C$10:$C$19,$C104)</f>
        <v>0</v>
      </c>
      <c r="K104" s="23"/>
      <c r="L104" s="22">
        <f t="shared" si="5"/>
        <v>0</v>
      </c>
      <c r="M104" s="22">
        <f t="shared" si="6"/>
        <v>0</v>
      </c>
    </row>
    <row r="105" spans="2:13" x14ac:dyDescent="0.25">
      <c r="B105" s="78">
        <f>MAX($B$8:B104)+1</f>
        <v>94</v>
      </c>
      <c r="C105" s="78" t="s">
        <v>155</v>
      </c>
      <c r="D105" s="23" t="s">
        <v>206</v>
      </c>
      <c r="E105" s="23" t="s">
        <v>394</v>
      </c>
      <c r="F105" s="22">
        <v>6509.9199999999992</v>
      </c>
      <c r="G105" s="22">
        <v>0</v>
      </c>
      <c r="H105" s="23"/>
      <c r="I105" s="22"/>
      <c r="J105" s="22">
        <f>SUMIFS('WP RA4'!$F$10:$F$19,'WP RA4'!$C$10:$C$19,$C105)</f>
        <v>0</v>
      </c>
      <c r="K105" s="23"/>
      <c r="L105" s="22">
        <f t="shared" si="5"/>
        <v>0</v>
      </c>
      <c r="M105" s="22">
        <f t="shared" si="6"/>
        <v>6509.9199999999992</v>
      </c>
    </row>
    <row r="106" spans="2:13" x14ac:dyDescent="0.25">
      <c r="B106" s="78">
        <f>MAX($B$8:B105)+1</f>
        <v>95</v>
      </c>
      <c r="C106" s="78" t="s">
        <v>156</v>
      </c>
      <c r="D106" s="23" t="s">
        <v>206</v>
      </c>
      <c r="E106" s="23" t="s">
        <v>404</v>
      </c>
      <c r="F106" s="22">
        <v>261123.66</v>
      </c>
      <c r="G106" s="22">
        <v>0</v>
      </c>
      <c r="H106" s="23"/>
      <c r="I106" s="22"/>
      <c r="J106" s="22">
        <f>SUMIFS('WP RA4'!$F$10:$F$19,'WP RA4'!$C$10:$C$19,$C106)</f>
        <v>0</v>
      </c>
      <c r="K106" s="23"/>
      <c r="L106" s="22">
        <f t="shared" si="5"/>
        <v>0</v>
      </c>
      <c r="M106" s="22">
        <f t="shared" si="6"/>
        <v>261123.66</v>
      </c>
    </row>
    <row r="107" spans="2:13" x14ac:dyDescent="0.25">
      <c r="B107" s="78">
        <f>MAX($B$8:B106)+1</f>
        <v>96</v>
      </c>
      <c r="C107" s="78" t="s">
        <v>157</v>
      </c>
      <c r="D107" s="23" t="s">
        <v>207</v>
      </c>
      <c r="E107" s="23" t="s">
        <v>391</v>
      </c>
      <c r="F107" s="22">
        <v>51785.67</v>
      </c>
      <c r="G107" s="22">
        <v>0</v>
      </c>
      <c r="H107" s="23"/>
      <c r="I107" s="22"/>
      <c r="J107" s="22">
        <f>SUMIFS('WP RA4'!$F$10:$F$19,'WP RA4'!$C$10:$C$19,$C107)</f>
        <v>0</v>
      </c>
      <c r="K107" s="23"/>
      <c r="L107" s="22">
        <f t="shared" si="5"/>
        <v>0</v>
      </c>
      <c r="M107" s="22">
        <f t="shared" si="6"/>
        <v>51785.67</v>
      </c>
    </row>
    <row r="108" spans="2:13" x14ac:dyDescent="0.25">
      <c r="B108" s="78">
        <f>MAX($B$8:B107)+1</f>
        <v>97</v>
      </c>
      <c r="C108" s="78" t="s">
        <v>158</v>
      </c>
      <c r="D108" s="23" t="s">
        <v>190</v>
      </c>
      <c r="E108" s="23" t="s">
        <v>394</v>
      </c>
      <c r="F108" s="22">
        <v>99658.489999999991</v>
      </c>
      <c r="G108" s="22">
        <v>0</v>
      </c>
      <c r="H108" s="23"/>
      <c r="I108" s="22"/>
      <c r="J108" s="22">
        <f>SUMIFS('WP RA4'!$F$10:$F$19,'WP RA4'!$C$10:$C$19,$C108)</f>
        <v>-875.69999999999993</v>
      </c>
      <c r="K108" s="23"/>
      <c r="L108" s="22">
        <f t="shared" si="5"/>
        <v>-875.69999999999993</v>
      </c>
      <c r="M108" s="22">
        <f t="shared" si="6"/>
        <v>98782.79</v>
      </c>
    </row>
    <row r="109" spans="2:13" x14ac:dyDescent="0.25">
      <c r="B109" s="78">
        <f>MAX($B$8:B108)+1</f>
        <v>98</v>
      </c>
      <c r="C109" s="78" t="s">
        <v>159</v>
      </c>
      <c r="D109" s="23" t="s">
        <v>208</v>
      </c>
      <c r="E109" s="23" t="s">
        <v>402</v>
      </c>
      <c r="F109" s="22">
        <v>604.66999999999996</v>
      </c>
      <c r="G109" s="22">
        <v>0</v>
      </c>
      <c r="H109" s="23"/>
      <c r="I109" s="22"/>
      <c r="J109" s="22">
        <f>SUMIFS('WP RA4'!$F$10:$F$19,'WP RA4'!$C$10:$C$19,$C109)</f>
        <v>0</v>
      </c>
      <c r="K109" s="23"/>
      <c r="L109" s="22">
        <f t="shared" si="5"/>
        <v>0</v>
      </c>
      <c r="M109" s="22">
        <f t="shared" si="6"/>
        <v>604.66999999999996</v>
      </c>
    </row>
    <row r="110" spans="2:13" x14ac:dyDescent="0.25">
      <c r="B110" s="78">
        <f>MAX($B$8:B109)+1</f>
        <v>99</v>
      </c>
      <c r="C110" s="78" t="s">
        <v>160</v>
      </c>
      <c r="D110" s="23" t="s">
        <v>209</v>
      </c>
      <c r="E110" s="23" t="s">
        <v>404</v>
      </c>
      <c r="F110" s="22">
        <v>36.5</v>
      </c>
      <c r="G110" s="22">
        <v>0</v>
      </c>
      <c r="H110" s="23"/>
      <c r="I110" s="22"/>
      <c r="J110" s="22">
        <f>SUMIFS('WP RA4'!$F$10:$F$19,'WP RA4'!$C$10:$C$19,$C110)</f>
        <v>0</v>
      </c>
      <c r="K110" s="23"/>
      <c r="L110" s="22">
        <f t="shared" si="5"/>
        <v>0</v>
      </c>
      <c r="M110" s="22">
        <f t="shared" si="6"/>
        <v>36.5</v>
      </c>
    </row>
    <row r="111" spans="2:13" x14ac:dyDescent="0.25">
      <c r="B111" s="78">
        <f>MAX($B$8:B110)+1</f>
        <v>100</v>
      </c>
      <c r="C111" s="78" t="s">
        <v>161</v>
      </c>
      <c r="D111" s="23" t="s">
        <v>210</v>
      </c>
      <c r="E111" s="23" t="s">
        <v>391</v>
      </c>
      <c r="F111" s="22">
        <v>415925.72000000003</v>
      </c>
      <c r="G111" s="22">
        <v>0</v>
      </c>
      <c r="H111" s="23"/>
      <c r="I111" s="22"/>
      <c r="J111" s="22">
        <f>SUMIFS('WP RA4'!$F$10:$F$19,'WP RA4'!$C$10:$C$19,$C111)</f>
        <v>0</v>
      </c>
      <c r="K111" s="23"/>
      <c r="L111" s="22">
        <f t="shared" si="5"/>
        <v>0</v>
      </c>
      <c r="M111" s="22">
        <f t="shared" si="6"/>
        <v>415925.72000000003</v>
      </c>
    </row>
    <row r="112" spans="2:13" x14ac:dyDescent="0.25">
      <c r="B112" s="78">
        <f>MAX($B$8:B111)+1</f>
        <v>101</v>
      </c>
      <c r="C112" s="78" t="s">
        <v>162</v>
      </c>
      <c r="D112" s="23" t="s">
        <v>211</v>
      </c>
      <c r="E112" s="23" t="s">
        <v>363</v>
      </c>
      <c r="F112" s="22">
        <v>0</v>
      </c>
      <c r="G112" s="22">
        <v>0</v>
      </c>
      <c r="H112" s="23"/>
      <c r="I112" s="22"/>
      <c r="J112" s="22">
        <f>SUMIFS('WP RA4'!$F$10:$F$19,'WP RA4'!$C$10:$C$19,$C112)</f>
        <v>0</v>
      </c>
      <c r="K112" s="23"/>
      <c r="L112" s="22">
        <f t="shared" si="5"/>
        <v>0</v>
      </c>
      <c r="M112" s="22">
        <f t="shared" si="6"/>
        <v>0</v>
      </c>
    </row>
    <row r="113" spans="2:13" x14ac:dyDescent="0.25">
      <c r="B113" s="78">
        <f>MAX($B$8:B112)+1</f>
        <v>102</v>
      </c>
      <c r="C113" s="78" t="s">
        <v>163</v>
      </c>
      <c r="D113" s="23" t="s">
        <v>212</v>
      </c>
      <c r="E113" s="23" t="s">
        <v>390</v>
      </c>
      <c r="F113" s="22">
        <v>3510.71</v>
      </c>
      <c r="G113" s="22">
        <v>0</v>
      </c>
      <c r="H113" s="23"/>
      <c r="I113" s="22"/>
      <c r="J113" s="22">
        <f>SUMIFS('WP RA4'!$F$10:$F$19,'WP RA4'!$C$10:$C$19,$C113)</f>
        <v>0</v>
      </c>
      <c r="K113" s="23"/>
      <c r="L113" s="22">
        <f t="shared" si="5"/>
        <v>0</v>
      </c>
      <c r="M113" s="22">
        <f t="shared" si="6"/>
        <v>3510.71</v>
      </c>
    </row>
    <row r="114" spans="2:13" x14ac:dyDescent="0.25">
      <c r="B114" s="78">
        <f>MAX($B$8:B113)+1</f>
        <v>103</v>
      </c>
      <c r="C114" s="78" t="s">
        <v>164</v>
      </c>
      <c r="D114" s="23" t="s">
        <v>213</v>
      </c>
      <c r="E114" s="23" t="s">
        <v>390</v>
      </c>
      <c r="F114" s="22">
        <v>69740.479999999996</v>
      </c>
      <c r="G114" s="22">
        <v>0</v>
      </c>
      <c r="H114" s="23"/>
      <c r="I114" s="22"/>
      <c r="J114" s="22">
        <f>SUMIFS('WP RA4'!$F$10:$F$19,'WP RA4'!$C$10:$C$19,$C114)</f>
        <v>0</v>
      </c>
      <c r="K114" s="23"/>
      <c r="L114" s="22">
        <f t="shared" si="5"/>
        <v>0</v>
      </c>
      <c r="M114" s="22">
        <f t="shared" si="6"/>
        <v>69740.479999999996</v>
      </c>
    </row>
    <row r="115" spans="2:13" x14ac:dyDescent="0.25">
      <c r="B115" s="78">
        <f>MAX($B$8:B114)+1</f>
        <v>104</v>
      </c>
      <c r="C115" s="78" t="s">
        <v>165</v>
      </c>
      <c r="D115" s="23" t="s">
        <v>214</v>
      </c>
      <c r="E115" s="23" t="s">
        <v>394</v>
      </c>
      <c r="F115" s="22">
        <v>125137.72</v>
      </c>
      <c r="G115" s="22">
        <v>0</v>
      </c>
      <c r="H115" s="23"/>
      <c r="I115" s="22"/>
      <c r="J115" s="22">
        <f>SUMIFS('WP RA4'!$F$10:$F$19,'WP RA4'!$C$10:$C$19,$C115)</f>
        <v>0</v>
      </c>
      <c r="K115" s="23"/>
      <c r="L115" s="22">
        <f t="shared" si="5"/>
        <v>0</v>
      </c>
      <c r="M115" s="22">
        <f t="shared" si="6"/>
        <v>125137.72</v>
      </c>
    </row>
    <row r="116" spans="2:13" x14ac:dyDescent="0.25">
      <c r="B116" s="78">
        <f>MAX($B$8:B115)+1</f>
        <v>105</v>
      </c>
      <c r="C116" s="78" t="s">
        <v>166</v>
      </c>
      <c r="D116" s="23" t="s">
        <v>215</v>
      </c>
      <c r="E116" s="23" t="s">
        <v>402</v>
      </c>
      <c r="F116" s="22">
        <v>12439.5</v>
      </c>
      <c r="G116" s="22">
        <v>0</v>
      </c>
      <c r="H116" s="23"/>
      <c r="I116" s="22"/>
      <c r="J116" s="22">
        <f>SUMIFS('WP RA4'!$F$10:$F$19,'WP RA4'!$C$10:$C$19,$C116)</f>
        <v>0</v>
      </c>
      <c r="K116" s="23"/>
      <c r="L116" s="22">
        <f t="shared" si="5"/>
        <v>0</v>
      </c>
      <c r="M116" s="22">
        <f t="shared" si="6"/>
        <v>12439.5</v>
      </c>
    </row>
    <row r="117" spans="2:13" x14ac:dyDescent="0.25">
      <c r="B117" s="78">
        <f>MAX($B$8:B116)+1</f>
        <v>106</v>
      </c>
      <c r="C117" s="78" t="s">
        <v>167</v>
      </c>
      <c r="D117" s="23" t="s">
        <v>216</v>
      </c>
      <c r="E117" s="23" t="s">
        <v>390</v>
      </c>
      <c r="F117" s="22">
        <v>366.14</v>
      </c>
      <c r="G117" s="22">
        <v>0</v>
      </c>
      <c r="H117" s="23"/>
      <c r="I117" s="22"/>
      <c r="J117" s="22">
        <f>SUMIFS('WP RA4'!$F$10:$F$19,'WP RA4'!$C$10:$C$19,$C117)</f>
        <v>0</v>
      </c>
      <c r="K117" s="23"/>
      <c r="L117" s="22">
        <f t="shared" si="5"/>
        <v>0</v>
      </c>
      <c r="M117" s="22">
        <f t="shared" si="6"/>
        <v>366.14</v>
      </c>
    </row>
    <row r="118" spans="2:13" x14ac:dyDescent="0.25">
      <c r="B118" s="78">
        <f>MAX($B$8:B117)+1</f>
        <v>107</v>
      </c>
      <c r="C118" s="78" t="s">
        <v>168</v>
      </c>
      <c r="D118" s="23" t="s">
        <v>217</v>
      </c>
      <c r="E118" s="23" t="s">
        <v>390</v>
      </c>
      <c r="F118" s="22">
        <v>17496.740000000002</v>
      </c>
      <c r="G118" s="22">
        <v>0</v>
      </c>
      <c r="H118" s="23"/>
      <c r="I118" s="22"/>
      <c r="J118" s="22">
        <f>SUMIFS('WP RA4'!$F$10:$F$19,'WP RA4'!$C$10:$C$19,$C118)</f>
        <v>0</v>
      </c>
      <c r="K118" s="23"/>
      <c r="L118" s="22">
        <f t="shared" si="5"/>
        <v>0</v>
      </c>
      <c r="M118" s="22">
        <f t="shared" si="6"/>
        <v>17496.740000000002</v>
      </c>
    </row>
    <row r="119" spans="2:13" x14ac:dyDescent="0.25">
      <c r="B119" s="78">
        <f>MAX($B$8:B118)+1</f>
        <v>108</v>
      </c>
      <c r="C119" s="78" t="s">
        <v>169</v>
      </c>
      <c r="D119" s="23" t="s">
        <v>87</v>
      </c>
      <c r="E119" s="23" t="s">
        <v>390</v>
      </c>
      <c r="F119" s="22">
        <v>5521.23</v>
      </c>
      <c r="G119" s="22">
        <v>0</v>
      </c>
      <c r="H119" s="23"/>
      <c r="I119" s="22"/>
      <c r="J119" s="22">
        <f>SUMIFS('WP RA4'!$F$10:$F$19,'WP RA4'!$C$10:$C$19,$C119)</f>
        <v>0</v>
      </c>
      <c r="K119" s="23"/>
      <c r="L119" s="22">
        <f t="shared" si="5"/>
        <v>0</v>
      </c>
      <c r="M119" s="22">
        <f t="shared" si="6"/>
        <v>5521.23</v>
      </c>
    </row>
    <row r="120" spans="2:13" x14ac:dyDescent="0.25">
      <c r="B120" s="78">
        <f>MAX($B$8:B119)+1</f>
        <v>109</v>
      </c>
      <c r="C120" s="78" t="s">
        <v>170</v>
      </c>
      <c r="D120" s="23" t="s">
        <v>88</v>
      </c>
      <c r="E120" s="23" t="s">
        <v>390</v>
      </c>
      <c r="F120" s="22">
        <v>66317.05</v>
      </c>
      <c r="G120" s="22">
        <v>0</v>
      </c>
      <c r="H120" s="23"/>
      <c r="I120" s="22"/>
      <c r="J120" s="22">
        <f>SUMIFS('WP RA4'!$F$10:$F$19,'WP RA4'!$C$10:$C$19,$C120)</f>
        <v>0</v>
      </c>
      <c r="K120" s="23"/>
      <c r="L120" s="22">
        <f t="shared" si="5"/>
        <v>0</v>
      </c>
      <c r="M120" s="22">
        <f t="shared" si="6"/>
        <v>66317.05</v>
      </c>
    </row>
    <row r="121" spans="2:13" x14ac:dyDescent="0.25">
      <c r="B121" s="78">
        <f>MAX($B$8:B120)+1</f>
        <v>110</v>
      </c>
      <c r="C121" s="78" t="s">
        <v>171</v>
      </c>
      <c r="D121" s="23" t="s">
        <v>218</v>
      </c>
      <c r="E121" s="23" t="s">
        <v>390</v>
      </c>
      <c r="F121" s="22">
        <v>6931.49</v>
      </c>
      <c r="G121" s="22">
        <v>0</v>
      </c>
      <c r="H121" s="23"/>
      <c r="I121" s="22"/>
      <c r="J121" s="22">
        <f>SUMIFS('WP RA4'!$F$10:$F$19,'WP RA4'!$C$10:$C$19,$C121)</f>
        <v>0</v>
      </c>
      <c r="K121" s="23"/>
      <c r="L121" s="22">
        <f t="shared" si="5"/>
        <v>0</v>
      </c>
      <c r="M121" s="22">
        <f t="shared" si="6"/>
        <v>6931.49</v>
      </c>
    </row>
    <row r="122" spans="2:13" x14ac:dyDescent="0.25">
      <c r="B122" s="78">
        <f>MAX($B$8:B121)+1</f>
        <v>111</v>
      </c>
      <c r="C122" s="78" t="s">
        <v>172</v>
      </c>
      <c r="D122" s="23" t="s">
        <v>219</v>
      </c>
      <c r="E122" s="23" t="s">
        <v>390</v>
      </c>
      <c r="F122" s="22">
        <v>8962.33</v>
      </c>
      <c r="G122" s="22">
        <v>0</v>
      </c>
      <c r="H122" s="23"/>
      <c r="I122" s="22"/>
      <c r="J122" s="22">
        <f>SUMIFS('WP RA4'!$F$10:$F$19,'WP RA4'!$C$10:$C$19,$C122)</f>
        <v>0</v>
      </c>
      <c r="K122" s="23"/>
      <c r="L122" s="22">
        <f t="shared" si="5"/>
        <v>0</v>
      </c>
      <c r="M122" s="22">
        <f t="shared" si="6"/>
        <v>8962.33</v>
      </c>
    </row>
    <row r="123" spans="2:13" x14ac:dyDescent="0.25">
      <c r="B123" s="78">
        <f>MAX($B$8:B122)+1</f>
        <v>112</v>
      </c>
      <c r="C123" s="78" t="s">
        <v>173</v>
      </c>
      <c r="D123" s="23" t="s">
        <v>220</v>
      </c>
      <c r="E123" s="23" t="s">
        <v>399</v>
      </c>
      <c r="F123" s="22">
        <v>79946.03</v>
      </c>
      <c r="G123" s="22">
        <v>0</v>
      </c>
      <c r="H123" s="23"/>
      <c r="I123" s="22"/>
      <c r="J123" s="22">
        <f>SUMIFS('WP RA4'!$F$10:$F$19,'WP RA4'!$C$10:$C$19,$C123)</f>
        <v>0</v>
      </c>
      <c r="K123" s="23"/>
      <c r="L123" s="22">
        <f t="shared" si="5"/>
        <v>0</v>
      </c>
      <c r="M123" s="22">
        <f t="shared" si="6"/>
        <v>79946.03</v>
      </c>
    </row>
    <row r="124" spans="2:13" x14ac:dyDescent="0.25">
      <c r="B124" s="78">
        <f>MAX($B$8:B123)+1</f>
        <v>113</v>
      </c>
      <c r="C124" s="78" t="s">
        <v>174</v>
      </c>
      <c r="D124" s="23" t="s">
        <v>221</v>
      </c>
      <c r="E124" s="23" t="s">
        <v>363</v>
      </c>
      <c r="F124" s="22">
        <v>-42.45</v>
      </c>
      <c r="G124" s="22">
        <v>0</v>
      </c>
      <c r="H124" s="23"/>
      <c r="I124" s="22"/>
      <c r="J124" s="22">
        <f>SUMIFS('WP RA4'!$F$10:$F$19,'WP RA4'!$C$10:$C$19,$C124)</f>
        <v>0</v>
      </c>
      <c r="K124" s="23"/>
      <c r="L124" s="22">
        <f t="shared" si="5"/>
        <v>0</v>
      </c>
      <c r="M124" s="22">
        <f t="shared" si="6"/>
        <v>-42.45</v>
      </c>
    </row>
    <row r="125" spans="2:13" x14ac:dyDescent="0.25">
      <c r="B125" s="78">
        <f>MAX($B$8:B124)+1</f>
        <v>114</v>
      </c>
      <c r="C125" s="78" t="s">
        <v>175</v>
      </c>
      <c r="D125" s="23" t="s">
        <v>222</v>
      </c>
      <c r="E125" s="23" t="s">
        <v>405</v>
      </c>
      <c r="F125" s="22">
        <v>72401.58</v>
      </c>
      <c r="G125" s="22">
        <v>0</v>
      </c>
      <c r="H125" s="147">
        <f>[4]PFIS!$E$36</f>
        <v>-5466.8852499999921</v>
      </c>
      <c r="I125" s="22"/>
      <c r="J125" s="22">
        <f>SUMIFS('WP RA4'!$F$10:$F$19,'WP RA4'!$C$10:$C$19,$C125)</f>
        <v>0</v>
      </c>
      <c r="K125" s="23"/>
      <c r="L125" s="22">
        <f t="shared" si="5"/>
        <v>-5466.8852499999921</v>
      </c>
      <c r="M125" s="22">
        <f t="shared" si="6"/>
        <v>66934.69475000001</v>
      </c>
    </row>
    <row r="126" spans="2:13" x14ac:dyDescent="0.25">
      <c r="B126" s="78">
        <f>MAX($B$8:B125)+1</f>
        <v>115</v>
      </c>
      <c r="C126" s="78">
        <v>776000</v>
      </c>
      <c r="D126" s="23" t="s">
        <v>988</v>
      </c>
      <c r="E126" s="23" t="s">
        <v>363</v>
      </c>
      <c r="F126" s="22">
        <v>-80768.789999999994</v>
      </c>
      <c r="G126" s="22">
        <v>0</v>
      </c>
      <c r="H126" s="23"/>
      <c r="I126" s="22"/>
      <c r="J126" s="22">
        <f>SUMIFS('WP RA4'!$F$10:$F$19,'WP RA4'!$C$10:$C$19,$C126)</f>
        <v>0</v>
      </c>
      <c r="K126" s="23"/>
      <c r="L126" s="22">
        <f t="shared" ref="L126" si="7">SUM(G126:K126)</f>
        <v>0</v>
      </c>
      <c r="M126" s="22">
        <f t="shared" ref="M126" si="8">F126+L126</f>
        <v>-80768.789999999994</v>
      </c>
    </row>
    <row r="127" spans="2:13" x14ac:dyDescent="0.25">
      <c r="B127" s="78">
        <f>MAX($B$8:B126)+1</f>
        <v>116</v>
      </c>
      <c r="C127" s="78" t="s">
        <v>176</v>
      </c>
      <c r="D127" s="23" t="s">
        <v>223</v>
      </c>
      <c r="E127" s="23" t="s">
        <v>402</v>
      </c>
      <c r="F127" s="22">
        <v>-2417.31</v>
      </c>
      <c r="G127" s="22">
        <v>0</v>
      </c>
      <c r="H127" s="23"/>
      <c r="I127" s="22"/>
      <c r="J127" s="22">
        <f>SUMIFS('WP RA4'!$F$10:$F$19,'WP RA4'!$C$10:$C$19,$C127)</f>
        <v>0</v>
      </c>
      <c r="K127" s="23"/>
      <c r="L127" s="22">
        <f t="shared" si="5"/>
        <v>0</v>
      </c>
      <c r="M127" s="22">
        <f t="shared" si="6"/>
        <v>-2417.31</v>
      </c>
    </row>
    <row r="128" spans="2:13" x14ac:dyDescent="0.25">
      <c r="B128" s="78">
        <f>MAX($B$8:B127)+1</f>
        <v>117</v>
      </c>
      <c r="C128" s="78" t="s">
        <v>177</v>
      </c>
      <c r="D128" s="23" t="s">
        <v>224</v>
      </c>
      <c r="E128" s="23" t="s">
        <v>402</v>
      </c>
      <c r="F128" s="22">
        <v>52548.600000000006</v>
      </c>
      <c r="G128" s="22">
        <v>0</v>
      </c>
      <c r="H128" s="23"/>
      <c r="I128" s="22"/>
      <c r="J128" s="22">
        <f>SUMIFS('WP RA4'!$F$10:$F$19,'WP RA4'!$C$10:$C$19,$C128)</f>
        <v>0</v>
      </c>
      <c r="K128" s="23"/>
      <c r="L128" s="22">
        <f t="shared" si="5"/>
        <v>0</v>
      </c>
      <c r="M128" s="22">
        <f t="shared" si="6"/>
        <v>52548.600000000006</v>
      </c>
    </row>
    <row r="129" spans="2:13" x14ac:dyDescent="0.25">
      <c r="B129" s="78">
        <f>MAX($B$8:B128)+1</f>
        <v>118</v>
      </c>
      <c r="C129" s="78" t="s">
        <v>178</v>
      </c>
      <c r="D129" s="23" t="s">
        <v>225</v>
      </c>
      <c r="E129" s="23" t="s">
        <v>390</v>
      </c>
      <c r="F129" s="22">
        <v>0</v>
      </c>
      <c r="G129" s="22">
        <v>0</v>
      </c>
      <c r="H129" s="23"/>
      <c r="I129" s="22"/>
      <c r="J129" s="22">
        <f>SUMIFS('WP RA4'!$F$10:$F$19,'WP RA4'!$C$10:$C$19,$C129)</f>
        <v>0</v>
      </c>
      <c r="K129" s="23"/>
      <c r="L129" s="22">
        <f t="shared" si="5"/>
        <v>0</v>
      </c>
      <c r="M129" s="22">
        <f t="shared" si="6"/>
        <v>0</v>
      </c>
    </row>
    <row r="130" spans="2:13" x14ac:dyDescent="0.25">
      <c r="B130" s="78">
        <f>MAX($B$8:B129)+1</f>
        <v>119</v>
      </c>
      <c r="C130" s="78" t="s">
        <v>226</v>
      </c>
      <c r="D130" s="23" t="s">
        <v>238</v>
      </c>
      <c r="E130" s="23" t="s">
        <v>391</v>
      </c>
      <c r="F130" s="138">
        <v>480.4699999999998</v>
      </c>
      <c r="G130" s="22">
        <v>0</v>
      </c>
      <c r="H130" s="23"/>
      <c r="I130" s="22"/>
      <c r="J130" s="22">
        <f>SUMIFS('WP RA4'!$F$10:$F$19,'WP RA4'!$C$10:$C$19,$C130)</f>
        <v>0</v>
      </c>
      <c r="K130" s="23"/>
      <c r="L130" s="22">
        <f t="shared" si="5"/>
        <v>0</v>
      </c>
      <c r="M130" s="22">
        <f t="shared" si="6"/>
        <v>480.4699999999998</v>
      </c>
    </row>
    <row r="131" spans="2:13" x14ac:dyDescent="0.25">
      <c r="B131" s="78">
        <f>MAX($B$8:B130)+1</f>
        <v>120</v>
      </c>
      <c r="C131" s="78" t="s">
        <v>227</v>
      </c>
      <c r="D131" s="23" t="s">
        <v>239</v>
      </c>
      <c r="E131" s="23" t="s">
        <v>394</v>
      </c>
      <c r="F131" s="138">
        <v>125.34</v>
      </c>
      <c r="G131" s="22">
        <v>0</v>
      </c>
      <c r="H131" s="23"/>
      <c r="I131" s="22"/>
      <c r="J131" s="22">
        <f>SUMIFS('WP RA4'!$F$10:$F$19,'WP RA4'!$C$10:$C$19,$C131)</f>
        <v>0</v>
      </c>
      <c r="K131" s="23"/>
      <c r="L131" s="22">
        <f t="shared" si="5"/>
        <v>0</v>
      </c>
      <c r="M131" s="22">
        <f t="shared" si="6"/>
        <v>125.34</v>
      </c>
    </row>
    <row r="132" spans="2:13" x14ac:dyDescent="0.25">
      <c r="B132" s="78">
        <f>MAX($B$8:B131)+1</f>
        <v>121</v>
      </c>
      <c r="C132" s="78" t="s">
        <v>228</v>
      </c>
      <c r="D132" s="23" t="s">
        <v>240</v>
      </c>
      <c r="E132" s="23" t="s">
        <v>394</v>
      </c>
      <c r="F132" s="138">
        <v>5037.41</v>
      </c>
      <c r="G132" s="22">
        <v>0</v>
      </c>
      <c r="H132" s="23"/>
      <c r="I132" s="22"/>
      <c r="J132" s="22">
        <f>SUMIFS('WP RA4'!$F$10:$F$19,'WP RA4'!$C$10:$C$19,$C132)</f>
        <v>0</v>
      </c>
      <c r="K132" s="23"/>
      <c r="L132" s="22">
        <f t="shared" si="5"/>
        <v>0</v>
      </c>
      <c r="M132" s="22">
        <f t="shared" si="6"/>
        <v>5037.41</v>
      </c>
    </row>
    <row r="133" spans="2:13" x14ac:dyDescent="0.25">
      <c r="B133" s="78">
        <f>MAX($B$8:B132)+1</f>
        <v>122</v>
      </c>
      <c r="C133" s="78" t="s">
        <v>229</v>
      </c>
      <c r="D133" s="23" t="s">
        <v>241</v>
      </c>
      <c r="E133" s="23" t="s">
        <v>394</v>
      </c>
      <c r="F133" s="138">
        <v>14.060000000000002</v>
      </c>
      <c r="G133" s="22">
        <v>0</v>
      </c>
      <c r="H133" s="23"/>
      <c r="I133" s="22"/>
      <c r="J133" s="22">
        <f>SUMIFS('WP RA4'!$F$10:$F$19,'WP RA4'!$C$10:$C$19,$C133)</f>
        <v>-57.99</v>
      </c>
      <c r="K133" s="23"/>
      <c r="L133" s="22">
        <f t="shared" si="5"/>
        <v>-57.99</v>
      </c>
      <c r="M133" s="22">
        <f t="shared" si="6"/>
        <v>-43.93</v>
      </c>
    </row>
    <row r="134" spans="2:13" x14ac:dyDescent="0.25">
      <c r="B134" s="78">
        <f>MAX($B$8:B133)+1</f>
        <v>123</v>
      </c>
      <c r="C134" s="78" t="s">
        <v>230</v>
      </c>
      <c r="D134" s="23" t="s">
        <v>239</v>
      </c>
      <c r="E134" s="23" t="s">
        <v>394</v>
      </c>
      <c r="F134" s="138">
        <v>788.32</v>
      </c>
      <c r="G134" s="22">
        <v>0</v>
      </c>
      <c r="H134" s="23"/>
      <c r="I134" s="22"/>
      <c r="J134" s="22">
        <f>SUMIFS('WP RA4'!$F$10:$F$19,'WP RA4'!$C$10:$C$19,$C134)</f>
        <v>0</v>
      </c>
      <c r="K134" s="23"/>
      <c r="L134" s="22">
        <f t="shared" si="5"/>
        <v>0</v>
      </c>
      <c r="M134" s="22">
        <f t="shared" si="6"/>
        <v>788.32</v>
      </c>
    </row>
    <row r="135" spans="2:13" x14ac:dyDescent="0.25">
      <c r="B135" s="78">
        <f>MAX($B$8:B134)+1</f>
        <v>124</v>
      </c>
      <c r="C135" s="78" t="s">
        <v>231</v>
      </c>
      <c r="D135" s="23" t="s">
        <v>242</v>
      </c>
      <c r="E135" s="23" t="s">
        <v>391</v>
      </c>
      <c r="F135" s="138">
        <v>102.48000000000002</v>
      </c>
      <c r="G135" s="22">
        <v>0</v>
      </c>
      <c r="H135" s="23"/>
      <c r="I135" s="22"/>
      <c r="J135" s="22">
        <f>SUMIFS('WP RA4'!$F$10:$F$19,'WP RA4'!$C$10:$C$19,$C135)</f>
        <v>0</v>
      </c>
      <c r="K135" s="23"/>
      <c r="L135" s="22">
        <f t="shared" si="5"/>
        <v>0</v>
      </c>
      <c r="M135" s="22">
        <f t="shared" si="6"/>
        <v>102.48000000000002</v>
      </c>
    </row>
    <row r="136" spans="2:13" x14ac:dyDescent="0.25">
      <c r="B136" s="78">
        <f>MAX($B$8:B135)+1</f>
        <v>125</v>
      </c>
      <c r="C136" s="78" t="s">
        <v>232</v>
      </c>
      <c r="D136" s="23" t="s">
        <v>243</v>
      </c>
      <c r="E136" s="23" t="s">
        <v>394</v>
      </c>
      <c r="F136" s="138">
        <v>16335.25</v>
      </c>
      <c r="G136" s="22">
        <v>0</v>
      </c>
      <c r="H136" s="23"/>
      <c r="I136" s="22"/>
      <c r="J136" s="22">
        <f>SUMIFS('WP RA4'!$F$10:$F$19,'WP RA4'!$C$10:$C$19,$C136)</f>
        <v>0</v>
      </c>
      <c r="K136" s="23"/>
      <c r="L136" s="22">
        <f t="shared" si="5"/>
        <v>0</v>
      </c>
      <c r="M136" s="22">
        <f t="shared" si="6"/>
        <v>16335.25</v>
      </c>
    </row>
    <row r="137" spans="2:13" x14ac:dyDescent="0.25">
      <c r="B137" s="78">
        <f>MAX($B$8:B136)+1</f>
        <v>126</v>
      </c>
      <c r="C137" s="78" t="s">
        <v>233</v>
      </c>
      <c r="D137" s="23" t="s">
        <v>244</v>
      </c>
      <c r="E137" s="23" t="s">
        <v>394</v>
      </c>
      <c r="F137" s="138">
        <v>26347.939999999995</v>
      </c>
      <c r="G137" s="22">
        <v>0</v>
      </c>
      <c r="H137" s="23"/>
      <c r="I137" s="22"/>
      <c r="J137" s="22">
        <f>SUMIFS('WP RA4'!$F$10:$F$19,'WP RA4'!$C$10:$C$19,$C137)</f>
        <v>0</v>
      </c>
      <c r="K137" s="23"/>
      <c r="L137" s="22">
        <f t="shared" si="5"/>
        <v>0</v>
      </c>
      <c r="M137" s="22">
        <f t="shared" si="6"/>
        <v>26347.939999999995</v>
      </c>
    </row>
    <row r="138" spans="2:13" x14ac:dyDescent="0.25">
      <c r="B138" s="78">
        <f>MAX($B$8:B137)+1</f>
        <v>127</v>
      </c>
      <c r="C138" s="78" t="s">
        <v>234</v>
      </c>
      <c r="D138" s="23" t="s">
        <v>245</v>
      </c>
      <c r="E138" s="23" t="s">
        <v>394</v>
      </c>
      <c r="F138" s="138">
        <v>3272.8199999999997</v>
      </c>
      <c r="G138" s="22">
        <v>0</v>
      </c>
      <c r="H138" s="23"/>
      <c r="I138" s="22"/>
      <c r="J138" s="22">
        <f>SUMIFS('WP RA4'!$F$10:$F$19,'WP RA4'!$C$10:$C$19,$C138)</f>
        <v>0</v>
      </c>
      <c r="K138" s="23"/>
      <c r="L138" s="22">
        <f t="shared" si="5"/>
        <v>0</v>
      </c>
      <c r="M138" s="22">
        <f t="shared" si="6"/>
        <v>3272.8199999999997</v>
      </c>
    </row>
    <row r="139" spans="2:13" x14ac:dyDescent="0.25">
      <c r="B139" s="78">
        <f>MAX($B$8:B138)+1</f>
        <v>128</v>
      </c>
      <c r="C139" s="78" t="s">
        <v>235</v>
      </c>
      <c r="D139" s="23" t="s">
        <v>246</v>
      </c>
      <c r="E139" s="23" t="s">
        <v>394</v>
      </c>
      <c r="F139" s="138">
        <v>372.80000000000018</v>
      </c>
      <c r="G139" s="22">
        <v>0</v>
      </c>
      <c r="H139" s="23"/>
      <c r="I139" s="22"/>
      <c r="J139" s="22">
        <f>SUMIFS('WP RA4'!$F$10:$F$19,'WP RA4'!$C$10:$C$19,$C139)</f>
        <v>0</v>
      </c>
      <c r="K139" s="23"/>
      <c r="L139" s="22">
        <f t="shared" si="5"/>
        <v>0</v>
      </c>
      <c r="M139" s="22">
        <f t="shared" si="6"/>
        <v>372.80000000000018</v>
      </c>
    </row>
    <row r="140" spans="2:13" x14ac:dyDescent="0.25">
      <c r="B140" s="78">
        <f>MAX($B$8:B139)+1</f>
        <v>129</v>
      </c>
      <c r="C140" s="78" t="s">
        <v>236</v>
      </c>
      <c r="D140" s="23" t="s">
        <v>247</v>
      </c>
      <c r="E140" s="23" t="s">
        <v>394</v>
      </c>
      <c r="F140" s="138">
        <v>1557.94</v>
      </c>
      <c r="G140" s="22">
        <v>0</v>
      </c>
      <c r="H140" s="23"/>
      <c r="I140" s="22"/>
      <c r="J140" s="22">
        <f>SUMIFS('WP RA4'!$F$10:$F$19,'WP RA4'!$C$10:$C$19,$C140)</f>
        <v>0</v>
      </c>
      <c r="K140" s="23"/>
      <c r="L140" s="22">
        <f t="shared" si="5"/>
        <v>0</v>
      </c>
      <c r="M140" s="22">
        <f t="shared" si="6"/>
        <v>1557.94</v>
      </c>
    </row>
    <row r="141" spans="2:13" x14ac:dyDescent="0.25">
      <c r="B141" s="78">
        <f>MAX($B$8:B140)+1</f>
        <v>130</v>
      </c>
      <c r="C141" s="78" t="s">
        <v>237</v>
      </c>
      <c r="D141" s="23" t="s">
        <v>248</v>
      </c>
      <c r="E141" s="23" t="s">
        <v>394</v>
      </c>
      <c r="F141" s="138">
        <v>354.32</v>
      </c>
      <c r="G141" s="22">
        <v>0</v>
      </c>
      <c r="H141" s="23"/>
      <c r="I141" s="22"/>
      <c r="J141" s="22">
        <f>SUMIFS('WP RA4'!$F$10:$F$19,'WP RA4'!$C$10:$C$19,$C141)</f>
        <v>0</v>
      </c>
      <c r="K141" s="23"/>
      <c r="L141" s="22">
        <f t="shared" si="5"/>
        <v>0</v>
      </c>
      <c r="M141" s="22">
        <f t="shared" si="6"/>
        <v>354.32</v>
      </c>
    </row>
    <row r="142" spans="2:13" ht="3.75" customHeight="1" x14ac:dyDescent="0.25">
      <c r="B142" s="78"/>
      <c r="C142" s="78"/>
      <c r="D142" s="2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2:13" x14ac:dyDescent="0.25">
      <c r="B143" s="78">
        <f>MAX($B$8:B142)+1</f>
        <v>131</v>
      </c>
      <c r="C143" s="78"/>
      <c r="D143" s="146" t="s">
        <v>253</v>
      </c>
      <c r="E143" s="146"/>
      <c r="F143" s="23"/>
      <c r="G143" s="23"/>
      <c r="H143" s="23"/>
      <c r="I143" s="23"/>
      <c r="J143" s="23"/>
      <c r="K143" s="23"/>
      <c r="L143" s="23"/>
      <c r="M143" s="23"/>
    </row>
    <row r="144" spans="2:13" x14ac:dyDescent="0.25">
      <c r="B144" s="78">
        <f>MAX($B$8:B143)+1</f>
        <v>132</v>
      </c>
      <c r="C144" s="78" t="s">
        <v>249</v>
      </c>
      <c r="D144" s="23" t="s">
        <v>251</v>
      </c>
      <c r="E144" s="23" t="s">
        <v>406</v>
      </c>
      <c r="F144" s="22">
        <v>1664009.5299999998</v>
      </c>
      <c r="G144" s="22">
        <v>0</v>
      </c>
      <c r="H144" s="23"/>
      <c r="I144" s="22">
        <v>0</v>
      </c>
      <c r="J144" s="22">
        <f>SUMIFS('WP RA4'!$F$10:$F$19,'WP RA4'!$C$10:$C$19,$C144)</f>
        <v>0</v>
      </c>
      <c r="K144" s="23"/>
      <c r="L144" s="22">
        <f t="shared" ref="L144:L145" si="9">SUM(G144:K144)</f>
        <v>0</v>
      </c>
      <c r="M144" s="22">
        <f t="shared" ref="M144:M145" si="10">F144+L144</f>
        <v>1664009.5299999998</v>
      </c>
    </row>
    <row r="145" spans="2:13" x14ac:dyDescent="0.25">
      <c r="B145" s="78">
        <f>MAX($B$8:B144)+1</f>
        <v>133</v>
      </c>
      <c r="C145" s="78" t="s">
        <v>250</v>
      </c>
      <c r="D145" s="23" t="s">
        <v>252</v>
      </c>
      <c r="E145" s="23" t="s">
        <v>406</v>
      </c>
      <c r="F145" s="22">
        <v>173247.5</v>
      </c>
      <c r="G145" s="22">
        <v>0</v>
      </c>
      <c r="H145" s="23"/>
      <c r="I145" s="22">
        <v>0</v>
      </c>
      <c r="J145" s="22">
        <f>SUMIFS('WP RA4'!$F$10:$F$19,'WP RA4'!$C$10:$C$19,$C145)</f>
        <v>0</v>
      </c>
      <c r="K145" s="23"/>
      <c r="L145" s="22">
        <f t="shared" si="9"/>
        <v>0</v>
      </c>
      <c r="M145" s="22">
        <f t="shared" si="10"/>
        <v>173247.5</v>
      </c>
    </row>
    <row r="146" spans="2:13" ht="3.75" customHeight="1" x14ac:dyDescent="0.25">
      <c r="B146" s="78"/>
      <c r="C146" s="78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2:13" x14ac:dyDescent="0.25">
      <c r="B147" s="78">
        <f>MAX($B$8:B146)+1</f>
        <v>134</v>
      </c>
      <c r="C147" s="78"/>
      <c r="D147" s="146" t="s">
        <v>254</v>
      </c>
      <c r="E147" s="146"/>
      <c r="F147" s="23"/>
      <c r="G147" s="23"/>
      <c r="H147" s="23"/>
      <c r="I147" s="23"/>
      <c r="J147" s="23"/>
      <c r="K147" s="23"/>
      <c r="L147" s="23"/>
      <c r="M147" s="23"/>
    </row>
    <row r="148" spans="2:13" x14ac:dyDescent="0.25">
      <c r="B148" s="78">
        <f>MAX($B$8:B147)+1</f>
        <v>135</v>
      </c>
      <c r="C148" s="78" t="s">
        <v>255</v>
      </c>
      <c r="D148" s="23" t="s">
        <v>256</v>
      </c>
      <c r="E148" s="23" t="s">
        <v>407</v>
      </c>
      <c r="F148" s="22">
        <v>401814.32999999996</v>
      </c>
      <c r="G148" s="22">
        <v>0</v>
      </c>
      <c r="H148" s="23"/>
      <c r="I148" s="22">
        <v>0</v>
      </c>
      <c r="J148" s="22">
        <f>SUMIFS('WP RA4'!$F$10:$F$19,'WP RA4'!$C$10:$C$19,$C148)</f>
        <v>0</v>
      </c>
      <c r="K148" s="23"/>
      <c r="L148" s="22">
        <f t="shared" ref="L148" si="11">SUM(G148:K148)</f>
        <v>0</v>
      </c>
      <c r="M148" s="22">
        <f t="shared" ref="M148" si="12">F148+L148</f>
        <v>401814.32999999996</v>
      </c>
    </row>
    <row r="149" spans="2:13" ht="3.75" customHeight="1" x14ac:dyDescent="0.25">
      <c r="B149" s="78"/>
      <c r="C149" s="78"/>
      <c r="D149" s="23"/>
      <c r="E149" s="23"/>
      <c r="F149" s="23"/>
      <c r="G149" s="23"/>
      <c r="H149" s="23"/>
      <c r="I149" s="23"/>
      <c r="J149" s="23"/>
      <c r="K149" s="23"/>
      <c r="L149" s="23"/>
      <c r="M149" s="23"/>
    </row>
    <row r="150" spans="2:13" x14ac:dyDescent="0.25">
      <c r="B150" s="78">
        <f>MAX($B$8:B149)+1</f>
        <v>136</v>
      </c>
      <c r="C150" s="78"/>
      <c r="D150" s="146" t="s">
        <v>257</v>
      </c>
      <c r="E150" s="146"/>
      <c r="F150" s="23"/>
      <c r="G150" s="23"/>
      <c r="H150" s="23"/>
      <c r="I150" s="23"/>
      <c r="J150" s="23"/>
      <c r="K150" s="23"/>
      <c r="L150" s="23"/>
      <c r="M150" s="23"/>
    </row>
    <row r="151" spans="2:13" x14ac:dyDescent="0.25">
      <c r="B151" s="78">
        <f>MAX($B$8:B150)+1</f>
        <v>137</v>
      </c>
      <c r="C151" s="78" t="s">
        <v>266</v>
      </c>
      <c r="D151" s="23" t="s">
        <v>258</v>
      </c>
      <c r="E151" s="23" t="s">
        <v>401</v>
      </c>
      <c r="F151" s="22">
        <v>663.3599999999999</v>
      </c>
      <c r="G151" s="22">
        <v>0</v>
      </c>
      <c r="H151" s="23"/>
      <c r="I151" s="22">
        <v>0</v>
      </c>
      <c r="J151" s="22">
        <f>SUMIFS('WP RA4'!$F$10:$F$19,'WP RA4'!$C$10:$C$19,$C151)</f>
        <v>0</v>
      </c>
      <c r="K151" s="23"/>
      <c r="L151" s="22">
        <f t="shared" ref="L151:L158" si="13">SUM(G151:K151)</f>
        <v>0</v>
      </c>
      <c r="M151" s="22">
        <f t="shared" ref="M151:M158" si="14">F151+L151</f>
        <v>663.3599999999999</v>
      </c>
    </row>
    <row r="152" spans="2:13" x14ac:dyDescent="0.25">
      <c r="B152" s="78">
        <f>MAX($B$8:B151)+1</f>
        <v>138</v>
      </c>
      <c r="C152" s="78" t="s">
        <v>267</v>
      </c>
      <c r="D152" s="23" t="s">
        <v>259</v>
      </c>
      <c r="E152" s="23" t="s">
        <v>408</v>
      </c>
      <c r="F152" s="22">
        <v>375027.43</v>
      </c>
      <c r="G152" s="22">
        <v>0</v>
      </c>
      <c r="H152" s="23"/>
      <c r="I152" s="22">
        <v>0</v>
      </c>
      <c r="J152" s="22">
        <f>SUMIFS('WP RA4'!$F$10:$F$19,'WP RA4'!$C$10:$C$19,$C152)</f>
        <v>0</v>
      </c>
      <c r="K152" s="23"/>
      <c r="L152" s="22">
        <f t="shared" si="13"/>
        <v>0</v>
      </c>
      <c r="M152" s="22">
        <f t="shared" si="14"/>
        <v>375027.43</v>
      </c>
    </row>
    <row r="153" spans="2:13" x14ac:dyDescent="0.25">
      <c r="B153" s="78">
        <f>MAX($B$8:B152)+1</f>
        <v>139</v>
      </c>
      <c r="C153" s="78" t="s">
        <v>268</v>
      </c>
      <c r="D153" s="23" t="s">
        <v>260</v>
      </c>
      <c r="E153" s="23" t="s">
        <v>408</v>
      </c>
      <c r="F153" s="22">
        <v>3563.71</v>
      </c>
      <c r="G153" s="22">
        <v>0</v>
      </c>
      <c r="H153" s="23"/>
      <c r="I153" s="22">
        <v>0</v>
      </c>
      <c r="J153" s="22">
        <f>SUMIFS('WP RA4'!$F$10:$F$19,'WP RA4'!$C$10:$C$19,$C153)</f>
        <v>0</v>
      </c>
      <c r="K153" s="23"/>
      <c r="L153" s="22">
        <f t="shared" si="13"/>
        <v>0</v>
      </c>
      <c r="M153" s="22">
        <f t="shared" si="14"/>
        <v>3563.71</v>
      </c>
    </row>
    <row r="154" spans="2:13" x14ac:dyDescent="0.25">
      <c r="B154" s="78">
        <f>MAX($B$8:B153)+1</f>
        <v>140</v>
      </c>
      <c r="C154" s="78" t="s">
        <v>269</v>
      </c>
      <c r="D154" s="23" t="s">
        <v>261</v>
      </c>
      <c r="E154" s="23" t="s">
        <v>408</v>
      </c>
      <c r="F154" s="22">
        <v>17895.14</v>
      </c>
      <c r="G154" s="22">
        <v>0</v>
      </c>
      <c r="H154" s="23"/>
      <c r="I154" s="22">
        <v>0</v>
      </c>
      <c r="J154" s="22">
        <f>SUMIFS('WP RA4'!$F$10:$F$19,'WP RA4'!$C$10:$C$19,$C154)</f>
        <v>0</v>
      </c>
      <c r="K154" s="23"/>
      <c r="L154" s="22">
        <f t="shared" si="13"/>
        <v>0</v>
      </c>
      <c r="M154" s="22">
        <f t="shared" si="14"/>
        <v>17895.14</v>
      </c>
    </row>
    <row r="155" spans="2:13" x14ac:dyDescent="0.25">
      <c r="B155" s="78">
        <f>MAX($B$8:B154)+1</f>
        <v>141</v>
      </c>
      <c r="C155" s="78" t="s">
        <v>270</v>
      </c>
      <c r="D155" s="23" t="s">
        <v>262</v>
      </c>
      <c r="E155" s="23" t="s">
        <v>409</v>
      </c>
      <c r="F155" s="22">
        <v>237847.90000000002</v>
      </c>
      <c r="G155" s="22">
        <v>0</v>
      </c>
      <c r="H155" s="23"/>
      <c r="I155" s="22">
        <v>0</v>
      </c>
      <c r="J155" s="22">
        <f>SUMIFS('WP RA4'!$F$10:$F$19,'WP RA4'!$C$10:$C$19,$C155)</f>
        <v>0</v>
      </c>
      <c r="K155" s="23"/>
      <c r="L155" s="22">
        <f t="shared" si="13"/>
        <v>0</v>
      </c>
      <c r="M155" s="22">
        <f t="shared" si="14"/>
        <v>237847.90000000002</v>
      </c>
    </row>
    <row r="156" spans="2:13" x14ac:dyDescent="0.25">
      <c r="B156" s="78">
        <f>MAX($B$8:B155)+1</f>
        <v>142</v>
      </c>
      <c r="C156" s="78" t="s">
        <v>271</v>
      </c>
      <c r="D156" s="23" t="s">
        <v>263</v>
      </c>
      <c r="E156" s="23" t="s">
        <v>410</v>
      </c>
      <c r="F156" s="22">
        <v>721439.98</v>
      </c>
      <c r="G156" s="22">
        <v>0</v>
      </c>
      <c r="H156" s="23"/>
      <c r="I156" s="22">
        <v>0</v>
      </c>
      <c r="J156" s="22">
        <f>SUMIFS('WP RA4'!$F$10:$F$19,'WP RA4'!$C$10:$C$19,$C156)</f>
        <v>0</v>
      </c>
      <c r="K156" s="23"/>
      <c r="L156" s="22">
        <f t="shared" si="13"/>
        <v>0</v>
      </c>
      <c r="M156" s="22">
        <f t="shared" si="14"/>
        <v>721439.98</v>
      </c>
    </row>
    <row r="157" spans="2:13" x14ac:dyDescent="0.25">
      <c r="B157" s="78">
        <f>MAX($B$8:B156)+1</f>
        <v>143</v>
      </c>
      <c r="C157" s="78" t="s">
        <v>272</v>
      </c>
      <c r="D157" s="23" t="s">
        <v>264</v>
      </c>
      <c r="E157" s="23" t="s">
        <v>410</v>
      </c>
      <c r="F157" s="22">
        <v>0</v>
      </c>
      <c r="G157" s="22">
        <v>0</v>
      </c>
      <c r="H157" s="23"/>
      <c r="I157" s="22">
        <v>0</v>
      </c>
      <c r="J157" s="22">
        <f>SUMIFS('WP RA4'!$F$10:$F$19,'WP RA4'!$C$10:$C$19,$C157)</f>
        <v>0</v>
      </c>
      <c r="K157" s="23"/>
      <c r="L157" s="22">
        <f t="shared" si="13"/>
        <v>0</v>
      </c>
      <c r="M157" s="22">
        <f t="shared" si="14"/>
        <v>0</v>
      </c>
    </row>
    <row r="158" spans="2:13" x14ac:dyDescent="0.25">
      <c r="B158" s="78">
        <f>MAX($B$8:B157)+1</f>
        <v>144</v>
      </c>
      <c r="C158" s="78" t="s">
        <v>273</v>
      </c>
      <c r="D158" s="23" t="s">
        <v>265</v>
      </c>
      <c r="E158" s="23" t="s">
        <v>408</v>
      </c>
      <c r="F158" s="22">
        <v>-195694.41</v>
      </c>
      <c r="G158" s="22">
        <v>0</v>
      </c>
      <c r="H158" s="23"/>
      <c r="I158" s="22">
        <v>0</v>
      </c>
      <c r="J158" s="22">
        <f>SUMIFS('WP RA4'!$F$10:$F$19,'WP RA4'!$C$10:$C$19,$C158)</f>
        <v>0</v>
      </c>
      <c r="K158" s="23"/>
      <c r="L158" s="22">
        <f t="shared" si="13"/>
        <v>0</v>
      </c>
      <c r="M158" s="22">
        <f t="shared" si="14"/>
        <v>-195694.41</v>
      </c>
    </row>
    <row r="159" spans="2:13" ht="3.75" customHeight="1" x14ac:dyDescent="0.25">
      <c r="B159" s="78"/>
      <c r="C159" s="78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2:13" x14ac:dyDescent="0.25">
      <c r="B160" s="78">
        <f>MAX($B$8:B159)+1</f>
        <v>145</v>
      </c>
      <c r="C160" s="78"/>
      <c r="D160" s="146" t="s">
        <v>274</v>
      </c>
      <c r="E160" s="146"/>
      <c r="F160" s="23"/>
      <c r="G160" s="23"/>
      <c r="H160" s="23"/>
      <c r="I160" s="23"/>
      <c r="J160" s="23"/>
      <c r="K160" s="23"/>
      <c r="L160" s="23"/>
      <c r="M160" s="23"/>
    </row>
    <row r="161" spans="2:13" x14ac:dyDescent="0.25">
      <c r="B161" s="78">
        <f>MAX($B$8:B160)+1</f>
        <v>146</v>
      </c>
      <c r="C161" s="78" t="s">
        <v>275</v>
      </c>
      <c r="D161" s="23" t="s">
        <v>303</v>
      </c>
      <c r="E161" s="23" t="s">
        <v>411</v>
      </c>
      <c r="F161" s="22">
        <v>-147419.07</v>
      </c>
      <c r="G161" s="22">
        <f>-F161</f>
        <v>147419.07</v>
      </c>
      <c r="H161" s="23"/>
      <c r="I161" s="22">
        <v>0</v>
      </c>
      <c r="J161" s="22">
        <v>0</v>
      </c>
      <c r="K161" s="23"/>
      <c r="L161" s="22">
        <f t="shared" ref="L161:L188" si="15">SUM(G161:K161)</f>
        <v>147419.07</v>
      </c>
      <c r="M161" s="22">
        <f t="shared" ref="M161:M188" si="16">F161+L161</f>
        <v>0</v>
      </c>
    </row>
    <row r="162" spans="2:13" x14ac:dyDescent="0.25">
      <c r="B162" s="78">
        <f>MAX($B$8:B161)+1</f>
        <v>147</v>
      </c>
      <c r="C162" s="78" t="s">
        <v>276</v>
      </c>
      <c r="D162" s="23" t="s">
        <v>304</v>
      </c>
      <c r="E162" s="23" t="s">
        <v>411</v>
      </c>
      <c r="F162" s="22">
        <v>0</v>
      </c>
      <c r="G162" s="22">
        <f t="shared" ref="G162:G188" si="17">-F162</f>
        <v>0</v>
      </c>
      <c r="H162" s="23"/>
      <c r="I162" s="22">
        <v>0</v>
      </c>
      <c r="J162" s="22">
        <v>0</v>
      </c>
      <c r="K162" s="23"/>
      <c r="L162" s="22">
        <f t="shared" si="15"/>
        <v>0</v>
      </c>
      <c r="M162" s="22">
        <f t="shared" si="16"/>
        <v>0</v>
      </c>
    </row>
    <row r="163" spans="2:13" x14ac:dyDescent="0.25">
      <c r="B163" s="78">
        <f>MAX($B$8:B162)+1</f>
        <v>148</v>
      </c>
      <c r="C163" s="78" t="s">
        <v>277</v>
      </c>
      <c r="D163" s="23" t="s">
        <v>305</v>
      </c>
      <c r="E163" s="23" t="s">
        <v>411</v>
      </c>
      <c r="F163" s="22">
        <v>0</v>
      </c>
      <c r="G163" s="22">
        <f t="shared" si="17"/>
        <v>0</v>
      </c>
      <c r="H163" s="23"/>
      <c r="I163" s="22">
        <v>0</v>
      </c>
      <c r="J163" s="22">
        <v>0</v>
      </c>
      <c r="K163" s="23"/>
      <c r="L163" s="22">
        <f t="shared" si="15"/>
        <v>0</v>
      </c>
      <c r="M163" s="22">
        <f t="shared" si="16"/>
        <v>0</v>
      </c>
    </row>
    <row r="164" spans="2:13" x14ac:dyDescent="0.25">
      <c r="B164" s="78">
        <f>MAX($B$8:B163)+1</f>
        <v>149</v>
      </c>
      <c r="C164" s="78" t="s">
        <v>278</v>
      </c>
      <c r="D164" s="23" t="s">
        <v>306</v>
      </c>
      <c r="E164" s="23" t="s">
        <v>411</v>
      </c>
      <c r="F164" s="22">
        <v>0</v>
      </c>
      <c r="G164" s="22">
        <f t="shared" si="17"/>
        <v>0</v>
      </c>
      <c r="H164" s="23"/>
      <c r="I164" s="22">
        <v>0</v>
      </c>
      <c r="J164" s="22">
        <v>0</v>
      </c>
      <c r="K164" s="23"/>
      <c r="L164" s="22">
        <f t="shared" si="15"/>
        <v>0</v>
      </c>
      <c r="M164" s="22">
        <f t="shared" si="16"/>
        <v>0</v>
      </c>
    </row>
    <row r="165" spans="2:13" x14ac:dyDescent="0.25">
      <c r="B165" s="78">
        <f>MAX($B$8:B164)+1</f>
        <v>150</v>
      </c>
      <c r="C165" s="78" t="s">
        <v>279</v>
      </c>
      <c r="D165" s="23" t="s">
        <v>307</v>
      </c>
      <c r="E165" s="23" t="s">
        <v>411</v>
      </c>
      <c r="F165" s="22">
        <v>-377.68</v>
      </c>
      <c r="G165" s="22">
        <f t="shared" si="17"/>
        <v>377.68</v>
      </c>
      <c r="H165" s="23"/>
      <c r="I165" s="22">
        <v>0</v>
      </c>
      <c r="J165" s="22">
        <v>0</v>
      </c>
      <c r="K165" s="23"/>
      <c r="L165" s="22">
        <f t="shared" si="15"/>
        <v>377.68</v>
      </c>
      <c r="M165" s="22">
        <f t="shared" si="16"/>
        <v>0</v>
      </c>
    </row>
    <row r="166" spans="2:13" x14ac:dyDescent="0.25">
      <c r="B166" s="78">
        <f>MAX($B$8:B165)+1</f>
        <v>151</v>
      </c>
      <c r="C166" s="78" t="s">
        <v>280</v>
      </c>
      <c r="D166" s="23" t="s">
        <v>308</v>
      </c>
      <c r="E166" s="23" t="s">
        <v>411</v>
      </c>
      <c r="F166" s="22">
        <v>-1341.0699999999997</v>
      </c>
      <c r="G166" s="22">
        <f t="shared" si="17"/>
        <v>1341.0699999999997</v>
      </c>
      <c r="H166" s="23"/>
      <c r="I166" s="22">
        <v>0</v>
      </c>
      <c r="J166" s="22">
        <v>0</v>
      </c>
      <c r="K166" s="23"/>
      <c r="L166" s="22">
        <f t="shared" si="15"/>
        <v>1341.0699999999997</v>
      </c>
      <c r="M166" s="22">
        <f t="shared" si="16"/>
        <v>0</v>
      </c>
    </row>
    <row r="167" spans="2:13" x14ac:dyDescent="0.25">
      <c r="B167" s="78">
        <f>MAX($B$8:B166)+1</f>
        <v>152</v>
      </c>
      <c r="C167" s="78" t="s">
        <v>281</v>
      </c>
      <c r="D167" s="23" t="s">
        <v>309</v>
      </c>
      <c r="E167" s="23" t="s">
        <v>411</v>
      </c>
      <c r="F167" s="22">
        <v>-130768.95</v>
      </c>
      <c r="G167" s="22">
        <f t="shared" si="17"/>
        <v>130768.95</v>
      </c>
      <c r="H167" s="23"/>
      <c r="I167" s="22">
        <v>0</v>
      </c>
      <c r="J167" s="22">
        <v>0</v>
      </c>
      <c r="K167" s="23"/>
      <c r="L167" s="22">
        <f t="shared" si="15"/>
        <v>130768.95</v>
      </c>
      <c r="M167" s="22">
        <f t="shared" si="16"/>
        <v>0</v>
      </c>
    </row>
    <row r="168" spans="2:13" x14ac:dyDescent="0.25">
      <c r="B168" s="78">
        <f>MAX($B$8:B167)+1</f>
        <v>153</v>
      </c>
      <c r="C168" s="78" t="s">
        <v>282</v>
      </c>
      <c r="D168" s="23" t="s">
        <v>310</v>
      </c>
      <c r="E168" s="23" t="s">
        <v>412</v>
      </c>
      <c r="F168" s="22">
        <v>0</v>
      </c>
      <c r="G168" s="22">
        <f t="shared" si="17"/>
        <v>0</v>
      </c>
      <c r="H168" s="23"/>
      <c r="I168" s="22">
        <v>0</v>
      </c>
      <c r="J168" s="22">
        <v>0</v>
      </c>
      <c r="K168" s="23"/>
      <c r="L168" s="22">
        <f t="shared" si="15"/>
        <v>0</v>
      </c>
      <c r="M168" s="22">
        <f t="shared" si="16"/>
        <v>0</v>
      </c>
    </row>
    <row r="169" spans="2:13" x14ac:dyDescent="0.25">
      <c r="B169" s="78">
        <f>MAX($B$8:B168)+1</f>
        <v>154</v>
      </c>
      <c r="C169" s="78" t="s">
        <v>283</v>
      </c>
      <c r="D169" s="23" t="s">
        <v>311</v>
      </c>
      <c r="E169" s="23" t="s">
        <v>412</v>
      </c>
      <c r="F169" s="22">
        <v>183000</v>
      </c>
      <c r="G169" s="22">
        <f t="shared" si="17"/>
        <v>-183000</v>
      </c>
      <c r="H169" s="23"/>
      <c r="I169" s="22">
        <v>0</v>
      </c>
      <c r="J169" s="22">
        <v>0</v>
      </c>
      <c r="K169" s="23"/>
      <c r="L169" s="22">
        <f t="shared" si="15"/>
        <v>-183000</v>
      </c>
      <c r="M169" s="22">
        <f t="shared" si="16"/>
        <v>0</v>
      </c>
    </row>
    <row r="170" spans="2:13" x14ac:dyDescent="0.25">
      <c r="B170" s="78">
        <f>MAX($B$8:B169)+1</f>
        <v>155</v>
      </c>
      <c r="C170" s="78" t="s">
        <v>284</v>
      </c>
      <c r="D170" s="23" t="s">
        <v>312</v>
      </c>
      <c r="E170" s="23" t="s">
        <v>412</v>
      </c>
      <c r="F170" s="22">
        <v>-92000.04</v>
      </c>
      <c r="G170" s="22">
        <f t="shared" si="17"/>
        <v>92000.04</v>
      </c>
      <c r="H170" s="23"/>
      <c r="I170" s="22">
        <v>0</v>
      </c>
      <c r="J170" s="22">
        <v>0</v>
      </c>
      <c r="K170" s="23"/>
      <c r="L170" s="22">
        <f t="shared" si="15"/>
        <v>92000.04</v>
      </c>
      <c r="M170" s="22">
        <f t="shared" si="16"/>
        <v>0</v>
      </c>
    </row>
    <row r="171" spans="2:13" x14ac:dyDescent="0.25">
      <c r="B171" s="78">
        <f>MAX($B$8:B170)+1</f>
        <v>156</v>
      </c>
      <c r="C171" s="78" t="s">
        <v>285</v>
      </c>
      <c r="D171" s="23" t="s">
        <v>313</v>
      </c>
      <c r="E171" s="23" t="s">
        <v>412</v>
      </c>
      <c r="F171" s="22">
        <v>-49505.960000000006</v>
      </c>
      <c r="G171" s="22">
        <f t="shared" si="17"/>
        <v>49505.960000000006</v>
      </c>
      <c r="H171" s="23"/>
      <c r="I171" s="22">
        <v>0</v>
      </c>
      <c r="J171" s="22">
        <v>0</v>
      </c>
      <c r="K171" s="23"/>
      <c r="L171" s="22">
        <f t="shared" si="15"/>
        <v>49505.960000000006</v>
      </c>
      <c r="M171" s="22">
        <f t="shared" si="16"/>
        <v>0</v>
      </c>
    </row>
    <row r="172" spans="2:13" x14ac:dyDescent="0.25">
      <c r="B172" s="78">
        <f>MAX($B$8:B171)+1</f>
        <v>157</v>
      </c>
      <c r="C172" s="78" t="s">
        <v>286</v>
      </c>
      <c r="D172" s="23" t="s">
        <v>314</v>
      </c>
      <c r="E172" s="23" t="s">
        <v>412</v>
      </c>
      <c r="F172" s="22">
        <v>9534.619999999999</v>
      </c>
      <c r="G172" s="22">
        <f t="shared" si="17"/>
        <v>-9534.619999999999</v>
      </c>
      <c r="H172" s="23"/>
      <c r="I172" s="22">
        <v>0</v>
      </c>
      <c r="J172" s="22">
        <v>0</v>
      </c>
      <c r="K172" s="23"/>
      <c r="L172" s="22">
        <f t="shared" si="15"/>
        <v>-9534.619999999999</v>
      </c>
      <c r="M172" s="22">
        <f t="shared" si="16"/>
        <v>0</v>
      </c>
    </row>
    <row r="173" spans="2:13" x14ac:dyDescent="0.25">
      <c r="B173" s="78">
        <f>MAX($B$8:B172)+1</f>
        <v>158</v>
      </c>
      <c r="C173" s="78" t="s">
        <v>287</v>
      </c>
      <c r="D173" s="23" t="s">
        <v>315</v>
      </c>
      <c r="E173" s="23" t="s">
        <v>412</v>
      </c>
      <c r="F173" s="22">
        <v>6713.32</v>
      </c>
      <c r="G173" s="22">
        <f t="shared" si="17"/>
        <v>-6713.32</v>
      </c>
      <c r="H173" s="23"/>
      <c r="I173" s="22">
        <v>0</v>
      </c>
      <c r="J173" s="22">
        <v>0</v>
      </c>
      <c r="K173" s="23"/>
      <c r="L173" s="22">
        <f t="shared" si="15"/>
        <v>-6713.32</v>
      </c>
      <c r="M173" s="22">
        <f t="shared" si="16"/>
        <v>0</v>
      </c>
    </row>
    <row r="174" spans="2:13" x14ac:dyDescent="0.25">
      <c r="B174" s="78">
        <f>MAX($B$8:B173)+1</f>
        <v>159</v>
      </c>
      <c r="C174" s="78" t="s">
        <v>288</v>
      </c>
      <c r="D174" s="23" t="s">
        <v>316</v>
      </c>
      <c r="E174" s="23" t="s">
        <v>432</v>
      </c>
      <c r="F174" s="22">
        <v>0</v>
      </c>
      <c r="G174" s="22">
        <f t="shared" si="17"/>
        <v>0</v>
      </c>
      <c r="H174" s="23"/>
      <c r="I174" s="22">
        <v>0</v>
      </c>
      <c r="J174" s="22">
        <v>0</v>
      </c>
      <c r="K174" s="23"/>
      <c r="L174" s="22">
        <f t="shared" si="15"/>
        <v>0</v>
      </c>
      <c r="M174" s="22">
        <f t="shared" si="16"/>
        <v>0</v>
      </c>
    </row>
    <row r="175" spans="2:13" x14ac:dyDescent="0.25">
      <c r="B175" s="78">
        <f>MAX($B$8:B174)+1</f>
        <v>160</v>
      </c>
      <c r="C175" s="78" t="s">
        <v>289</v>
      </c>
      <c r="D175" s="23" t="s">
        <v>317</v>
      </c>
      <c r="E175" s="23" t="s">
        <v>412</v>
      </c>
      <c r="F175" s="22">
        <v>91203.65</v>
      </c>
      <c r="G175" s="22">
        <f t="shared" si="17"/>
        <v>-91203.65</v>
      </c>
      <c r="H175" s="23"/>
      <c r="I175" s="22">
        <v>0</v>
      </c>
      <c r="J175" s="22">
        <v>0</v>
      </c>
      <c r="K175" s="23"/>
      <c r="L175" s="22">
        <f t="shared" si="15"/>
        <v>-91203.65</v>
      </c>
      <c r="M175" s="22">
        <f t="shared" si="16"/>
        <v>0</v>
      </c>
    </row>
    <row r="176" spans="2:13" x14ac:dyDescent="0.25">
      <c r="B176" s="78">
        <f>MAX($B$8:B175)+1</f>
        <v>161</v>
      </c>
      <c r="C176" s="78" t="s">
        <v>290</v>
      </c>
      <c r="D176" s="23" t="s">
        <v>318</v>
      </c>
      <c r="E176" s="23" t="s">
        <v>412</v>
      </c>
      <c r="F176" s="22">
        <v>79245.14</v>
      </c>
      <c r="G176" s="22">
        <f t="shared" si="17"/>
        <v>-79245.14</v>
      </c>
      <c r="H176" s="23"/>
      <c r="I176" s="22">
        <v>0</v>
      </c>
      <c r="J176" s="22">
        <v>0</v>
      </c>
      <c r="K176" s="23"/>
      <c r="L176" s="22">
        <f t="shared" si="15"/>
        <v>-79245.14</v>
      </c>
      <c r="M176" s="22">
        <f t="shared" si="16"/>
        <v>0</v>
      </c>
    </row>
    <row r="177" spans="2:13" x14ac:dyDescent="0.25">
      <c r="B177" s="78">
        <f>MAX($B$8:B176)+1</f>
        <v>162</v>
      </c>
      <c r="C177" s="78" t="s">
        <v>291</v>
      </c>
      <c r="D177" s="23" t="s">
        <v>319</v>
      </c>
      <c r="E177" s="23" t="s">
        <v>412</v>
      </c>
      <c r="F177" s="22">
        <v>152.63</v>
      </c>
      <c r="G177" s="22">
        <f t="shared" si="17"/>
        <v>-152.63</v>
      </c>
      <c r="H177" s="23"/>
      <c r="I177" s="22">
        <v>0</v>
      </c>
      <c r="J177" s="22">
        <v>0</v>
      </c>
      <c r="K177" s="23"/>
      <c r="L177" s="22">
        <f t="shared" si="15"/>
        <v>-152.63</v>
      </c>
      <c r="M177" s="22">
        <f t="shared" si="16"/>
        <v>0</v>
      </c>
    </row>
    <row r="178" spans="2:13" x14ac:dyDescent="0.25">
      <c r="B178" s="78">
        <f>MAX($B$8:B177)+1</f>
        <v>163</v>
      </c>
      <c r="C178" s="78" t="s">
        <v>292</v>
      </c>
      <c r="D178" s="23" t="s">
        <v>320</v>
      </c>
      <c r="E178" s="23" t="s">
        <v>432</v>
      </c>
      <c r="F178" s="22">
        <v>0</v>
      </c>
      <c r="G178" s="22">
        <f t="shared" si="17"/>
        <v>0</v>
      </c>
      <c r="H178" s="23"/>
      <c r="I178" s="22">
        <v>0</v>
      </c>
      <c r="J178" s="22">
        <v>0</v>
      </c>
      <c r="K178" s="23"/>
      <c r="L178" s="22">
        <f t="shared" si="15"/>
        <v>0</v>
      </c>
      <c r="M178" s="22">
        <f t="shared" si="16"/>
        <v>0</v>
      </c>
    </row>
    <row r="179" spans="2:13" x14ac:dyDescent="0.25">
      <c r="B179" s="78">
        <f>MAX($B$8:B178)+1</f>
        <v>164</v>
      </c>
      <c r="C179" s="78" t="s">
        <v>293</v>
      </c>
      <c r="D179" s="23" t="s">
        <v>321</v>
      </c>
      <c r="E179" s="23" t="s">
        <v>412</v>
      </c>
      <c r="F179" s="22">
        <v>10.66</v>
      </c>
      <c r="G179" s="22">
        <f t="shared" si="17"/>
        <v>-10.66</v>
      </c>
      <c r="H179" s="23"/>
      <c r="I179" s="22">
        <v>0</v>
      </c>
      <c r="J179" s="22">
        <v>0</v>
      </c>
      <c r="K179" s="23"/>
      <c r="L179" s="22">
        <f t="shared" si="15"/>
        <v>-10.66</v>
      </c>
      <c r="M179" s="22">
        <f t="shared" si="16"/>
        <v>0</v>
      </c>
    </row>
    <row r="180" spans="2:13" x14ac:dyDescent="0.25">
      <c r="B180" s="78">
        <f>MAX($B$8:B179)+1</f>
        <v>165</v>
      </c>
      <c r="C180" s="78" t="s">
        <v>294</v>
      </c>
      <c r="D180" s="23" t="s">
        <v>108</v>
      </c>
      <c r="E180" s="23" t="s">
        <v>412</v>
      </c>
      <c r="F180" s="22">
        <v>62903.49</v>
      </c>
      <c r="G180" s="22">
        <f t="shared" si="17"/>
        <v>-62903.49</v>
      </c>
      <c r="H180" s="23"/>
      <c r="I180" s="22">
        <v>0</v>
      </c>
      <c r="J180" s="22">
        <v>0</v>
      </c>
      <c r="K180" s="23"/>
      <c r="L180" s="22">
        <f t="shared" si="15"/>
        <v>-62903.49</v>
      </c>
      <c r="M180" s="22">
        <f t="shared" si="16"/>
        <v>0</v>
      </c>
    </row>
    <row r="181" spans="2:13" x14ac:dyDescent="0.25">
      <c r="B181" s="78">
        <f>MAX($B$8:B180)+1</f>
        <v>166</v>
      </c>
      <c r="C181" s="78" t="s">
        <v>295</v>
      </c>
      <c r="D181" s="23" t="s">
        <v>102</v>
      </c>
      <c r="E181" s="23" t="s">
        <v>412</v>
      </c>
      <c r="F181" s="22">
        <v>11613.84</v>
      </c>
      <c r="G181" s="22">
        <f t="shared" si="17"/>
        <v>-11613.84</v>
      </c>
      <c r="H181" s="23"/>
      <c r="I181" s="22">
        <v>0</v>
      </c>
      <c r="J181" s="22">
        <v>0</v>
      </c>
      <c r="K181" s="23"/>
      <c r="L181" s="22">
        <f t="shared" si="15"/>
        <v>-11613.84</v>
      </c>
      <c r="M181" s="22">
        <f t="shared" si="16"/>
        <v>0</v>
      </c>
    </row>
    <row r="182" spans="2:13" x14ac:dyDescent="0.25">
      <c r="B182" s="78">
        <f>MAX($B$8:B181)+1</f>
        <v>167</v>
      </c>
      <c r="C182" s="78" t="s">
        <v>296</v>
      </c>
      <c r="D182" s="23" t="s">
        <v>322</v>
      </c>
      <c r="E182" s="23" t="s">
        <v>412</v>
      </c>
      <c r="F182" s="22">
        <v>9594.4900000000016</v>
      </c>
      <c r="G182" s="22">
        <f t="shared" si="17"/>
        <v>-9594.4900000000016</v>
      </c>
      <c r="H182" s="23"/>
      <c r="I182" s="22">
        <v>0</v>
      </c>
      <c r="J182" s="22">
        <v>0</v>
      </c>
      <c r="K182" s="23"/>
      <c r="L182" s="22">
        <f t="shared" si="15"/>
        <v>-9594.4900000000016</v>
      </c>
      <c r="M182" s="22">
        <f t="shared" si="16"/>
        <v>0</v>
      </c>
    </row>
    <row r="183" spans="2:13" x14ac:dyDescent="0.25">
      <c r="B183" s="78">
        <f>MAX($B$8:B182)+1</f>
        <v>168</v>
      </c>
      <c r="C183" s="78" t="s">
        <v>297</v>
      </c>
      <c r="D183" s="23" t="s">
        <v>323</v>
      </c>
      <c r="E183" s="23" t="s">
        <v>363</v>
      </c>
      <c r="F183" s="22">
        <v>-6763.6200000000026</v>
      </c>
      <c r="G183" s="22">
        <f t="shared" si="17"/>
        <v>6763.6200000000026</v>
      </c>
      <c r="H183" s="23"/>
      <c r="I183" s="22">
        <v>0</v>
      </c>
      <c r="J183" s="22">
        <v>0</v>
      </c>
      <c r="K183" s="23"/>
      <c r="L183" s="22">
        <f t="shared" si="15"/>
        <v>6763.6200000000026</v>
      </c>
      <c r="M183" s="22">
        <f t="shared" si="16"/>
        <v>0</v>
      </c>
    </row>
    <row r="184" spans="2:13" x14ac:dyDescent="0.25">
      <c r="B184" s="78">
        <f>MAX($B$8:B183)+1</f>
        <v>169</v>
      </c>
      <c r="C184" s="78" t="s">
        <v>298</v>
      </c>
      <c r="D184" s="23" t="s">
        <v>324</v>
      </c>
      <c r="E184" s="23" t="s">
        <v>363</v>
      </c>
      <c r="F184" s="22">
        <v>-11410.67</v>
      </c>
      <c r="G184" s="22">
        <f t="shared" si="17"/>
        <v>11410.67</v>
      </c>
      <c r="H184" s="23"/>
      <c r="I184" s="22">
        <v>0</v>
      </c>
      <c r="J184" s="22">
        <v>0</v>
      </c>
      <c r="K184" s="23"/>
      <c r="L184" s="22">
        <f t="shared" si="15"/>
        <v>11410.67</v>
      </c>
      <c r="M184" s="22">
        <f t="shared" si="16"/>
        <v>0</v>
      </c>
    </row>
    <row r="185" spans="2:13" x14ac:dyDescent="0.25">
      <c r="B185" s="78">
        <f>MAX($B$8:B184)+1</f>
        <v>170</v>
      </c>
      <c r="C185" s="78" t="s">
        <v>299</v>
      </c>
      <c r="D185" s="23" t="s">
        <v>325</v>
      </c>
      <c r="E185" s="23" t="s">
        <v>363</v>
      </c>
      <c r="F185" s="22">
        <v>21004.14</v>
      </c>
      <c r="G185" s="22">
        <f t="shared" si="17"/>
        <v>-21004.14</v>
      </c>
      <c r="H185" s="23"/>
      <c r="I185" s="22">
        <v>0</v>
      </c>
      <c r="J185" s="22">
        <v>0</v>
      </c>
      <c r="K185" s="23"/>
      <c r="L185" s="22">
        <f t="shared" si="15"/>
        <v>-21004.14</v>
      </c>
      <c r="M185" s="22">
        <f t="shared" si="16"/>
        <v>0</v>
      </c>
    </row>
    <row r="186" spans="2:13" x14ac:dyDescent="0.25">
      <c r="B186" s="78">
        <f>MAX($B$8:B185)+1</f>
        <v>171</v>
      </c>
      <c r="C186" s="78" t="s">
        <v>300</v>
      </c>
      <c r="D186" s="23" t="s">
        <v>326</v>
      </c>
      <c r="E186" s="23" t="s">
        <v>363</v>
      </c>
      <c r="F186" s="22">
        <v>62015.65</v>
      </c>
      <c r="G186" s="22">
        <f t="shared" si="17"/>
        <v>-62015.65</v>
      </c>
      <c r="H186" s="23"/>
      <c r="I186" s="22">
        <v>0</v>
      </c>
      <c r="J186" s="22">
        <v>0</v>
      </c>
      <c r="K186" s="23"/>
      <c r="L186" s="22">
        <f t="shared" si="15"/>
        <v>-62015.65</v>
      </c>
      <c r="M186" s="22">
        <f t="shared" si="16"/>
        <v>0</v>
      </c>
    </row>
    <row r="187" spans="2:13" x14ac:dyDescent="0.25">
      <c r="B187" s="78">
        <f>MAX($B$8:B186)+1</f>
        <v>172</v>
      </c>
      <c r="C187" s="78" t="s">
        <v>301</v>
      </c>
      <c r="D187" s="23" t="s">
        <v>327</v>
      </c>
      <c r="E187" s="23" t="s">
        <v>363</v>
      </c>
      <c r="F187" s="22">
        <v>6591</v>
      </c>
      <c r="G187" s="22">
        <f t="shared" si="17"/>
        <v>-6591</v>
      </c>
      <c r="H187" s="23"/>
      <c r="I187" s="22">
        <v>0</v>
      </c>
      <c r="J187" s="22">
        <v>0</v>
      </c>
      <c r="K187" s="23"/>
      <c r="L187" s="22">
        <f t="shared" si="15"/>
        <v>-6591</v>
      </c>
      <c r="M187" s="22">
        <f t="shared" si="16"/>
        <v>0</v>
      </c>
    </row>
    <row r="188" spans="2:13" x14ac:dyDescent="0.25">
      <c r="B188" s="78">
        <f>MAX($B$8:B187)+1</f>
        <v>173</v>
      </c>
      <c r="C188" s="78" t="s">
        <v>302</v>
      </c>
      <c r="D188" s="23" t="s">
        <v>328</v>
      </c>
      <c r="E188" s="23" t="s">
        <v>407</v>
      </c>
      <c r="F188" s="22">
        <v>-19908.240000000002</v>
      </c>
      <c r="G188" s="22">
        <f t="shared" si="17"/>
        <v>19908.240000000002</v>
      </c>
      <c r="H188" s="23"/>
      <c r="I188" s="22">
        <v>0</v>
      </c>
      <c r="J188" s="22">
        <v>0</v>
      </c>
      <c r="K188" s="23"/>
      <c r="L188" s="22">
        <f t="shared" si="15"/>
        <v>19908.240000000002</v>
      </c>
      <c r="M188" s="22">
        <f t="shared" si="16"/>
        <v>0</v>
      </c>
    </row>
    <row r="189" spans="2:13" ht="3.75" customHeight="1" x14ac:dyDescent="0.25">
      <c r="B189" s="78"/>
      <c r="C189" s="78"/>
      <c r="D189" s="23"/>
      <c r="E189" s="23"/>
      <c r="F189" s="23"/>
      <c r="G189" s="23"/>
      <c r="H189" s="23"/>
      <c r="I189" s="23"/>
      <c r="J189" s="23"/>
      <c r="K189" s="23"/>
      <c r="L189" s="23"/>
      <c r="M189" s="23"/>
    </row>
    <row r="190" spans="2:13" x14ac:dyDescent="0.25">
      <c r="B190" s="78">
        <f>MAX($B$8:B189)+1</f>
        <v>174</v>
      </c>
      <c r="C190" s="78"/>
      <c r="D190" s="146" t="s">
        <v>329</v>
      </c>
      <c r="E190" s="146"/>
      <c r="F190" s="23"/>
      <c r="G190" s="23"/>
      <c r="H190" s="23"/>
      <c r="I190" s="23"/>
      <c r="J190" s="23"/>
      <c r="K190" s="23"/>
      <c r="L190" s="23"/>
      <c r="M190" s="23"/>
    </row>
    <row r="191" spans="2:13" x14ac:dyDescent="0.25">
      <c r="B191" s="78">
        <f>MAX($B$8:B190)+1</f>
        <v>175</v>
      </c>
      <c r="C191" s="78" t="s">
        <v>330</v>
      </c>
      <c r="D191" s="23" t="s">
        <v>333</v>
      </c>
      <c r="E191" s="23" t="s">
        <v>413</v>
      </c>
      <c r="F191" s="22">
        <v>430263.98</v>
      </c>
      <c r="G191" s="22">
        <v>0</v>
      </c>
      <c r="H191" s="23"/>
      <c r="I191" s="22">
        <v>0</v>
      </c>
      <c r="J191" s="22">
        <v>0</v>
      </c>
      <c r="K191" s="23"/>
      <c r="L191" s="22">
        <f t="shared" ref="L191" si="18">SUM(G191:K191)</f>
        <v>0</v>
      </c>
      <c r="M191" s="22">
        <f t="shared" ref="M191" si="19">F191+L191</f>
        <v>430263.98</v>
      </c>
    </row>
    <row r="192" spans="2:13" x14ac:dyDescent="0.25">
      <c r="B192" s="78">
        <f>MAX($B$8:B191)+1</f>
        <v>176</v>
      </c>
      <c r="C192" s="78" t="s">
        <v>331</v>
      </c>
      <c r="D192" s="23" t="s">
        <v>334</v>
      </c>
      <c r="E192" s="23" t="s">
        <v>413</v>
      </c>
      <c r="F192" s="22">
        <v>29625.239999999998</v>
      </c>
      <c r="G192" s="22">
        <v>0</v>
      </c>
      <c r="H192" s="23"/>
      <c r="I192" s="22">
        <v>0</v>
      </c>
      <c r="J192" s="22">
        <v>0</v>
      </c>
      <c r="K192" s="23"/>
      <c r="L192" s="22">
        <f t="shared" ref="L192:L193" si="20">SUM(G192:K192)</f>
        <v>0</v>
      </c>
      <c r="M192" s="22">
        <f t="shared" ref="M192:M193" si="21">F192+L192</f>
        <v>29625.239999999998</v>
      </c>
    </row>
    <row r="193" spans="2:13" x14ac:dyDescent="0.25">
      <c r="B193" s="78">
        <f>MAX($B$8:B192)+1</f>
        <v>177</v>
      </c>
      <c r="C193" s="78" t="s">
        <v>332</v>
      </c>
      <c r="D193" s="23" t="s">
        <v>335</v>
      </c>
      <c r="E193" s="23" t="s">
        <v>413</v>
      </c>
      <c r="F193" s="22">
        <v>-26465.850000000002</v>
      </c>
      <c r="G193" s="22">
        <v>0</v>
      </c>
      <c r="H193" s="23"/>
      <c r="I193" s="22">
        <v>0</v>
      </c>
      <c r="J193" s="22">
        <v>0</v>
      </c>
      <c r="K193" s="23"/>
      <c r="L193" s="22">
        <f t="shared" si="20"/>
        <v>0</v>
      </c>
      <c r="M193" s="22">
        <f t="shared" si="21"/>
        <v>-26465.850000000002</v>
      </c>
    </row>
    <row r="194" spans="2:13" ht="3.75" customHeight="1" x14ac:dyDescent="0.25">
      <c r="B194" s="78"/>
      <c r="C194" s="78"/>
      <c r="D194" s="23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2:13" x14ac:dyDescent="0.25">
      <c r="B195" s="78">
        <f>MAX($B$8:B194)+1</f>
        <v>178</v>
      </c>
      <c r="C195" s="78"/>
      <c r="D195" s="146" t="s">
        <v>336</v>
      </c>
      <c r="E195" s="146"/>
      <c r="F195" s="23"/>
      <c r="G195" s="23"/>
      <c r="H195" s="23"/>
      <c r="I195" s="23"/>
      <c r="J195" s="23"/>
      <c r="K195" s="23"/>
      <c r="L195" s="23"/>
      <c r="M195" s="23"/>
    </row>
    <row r="196" spans="2:13" x14ac:dyDescent="0.25">
      <c r="B196" s="78">
        <f>MAX($B$8:B195)+1</f>
        <v>179</v>
      </c>
      <c r="C196" s="78" t="s">
        <v>337</v>
      </c>
      <c r="D196" s="23" t="s">
        <v>338</v>
      </c>
      <c r="E196" s="23"/>
      <c r="F196" s="22">
        <v>830058</v>
      </c>
      <c r="G196" s="22">
        <v>0</v>
      </c>
      <c r="H196" s="23"/>
      <c r="I196" s="22">
        <v>0</v>
      </c>
      <c r="J196" s="22">
        <v>0</v>
      </c>
      <c r="K196" s="23"/>
      <c r="L196" s="22">
        <f t="shared" ref="L196" si="22">SUM(G196:K196)</f>
        <v>0</v>
      </c>
      <c r="M196" s="22">
        <f t="shared" ref="M196" si="23">F196+L196</f>
        <v>830058</v>
      </c>
    </row>
  </sheetData>
  <mergeCells count="1"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CD25-C5B1-4173-B190-F179728FF122}">
  <sheetPr>
    <tabColor rgb="FF00B050"/>
  </sheetPr>
  <dimension ref="A1:R196"/>
  <sheetViews>
    <sheetView workbookViewId="0">
      <pane ySplit="9" topLeftCell="A10" activePane="bottomLeft" state="frozen"/>
      <selection activeCell="B1" sqref="B1"/>
      <selection pane="bottomLeft"/>
    </sheetView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4" width="39.28515625" customWidth="1"/>
    <col min="5" max="5" width="39.28515625" style="52" customWidth="1"/>
    <col min="6" max="17" width="17.85546875" customWidth="1"/>
    <col min="18" max="18" width="14.85546875" customWidth="1"/>
  </cols>
  <sheetData>
    <row r="1" spans="1:18" ht="7.5" customHeight="1" x14ac:dyDescent="0.25">
      <c r="A1" s="51" t="str" cm="1">
        <f t="array" aca="1" ref="A1" ca="1">MID(CELL("filename",A1),FIND("]",CELL("filename",A1))+1,255)</f>
        <v>WWSCo IS Pro Forma</v>
      </c>
    </row>
    <row r="2" spans="1:18" x14ac:dyDescent="0.25">
      <c r="B2" s="24" t="s">
        <v>451</v>
      </c>
      <c r="C2" s="46"/>
    </row>
    <row r="3" spans="1:18" x14ac:dyDescent="0.25">
      <c r="B3" s="1" t="s">
        <v>533</v>
      </c>
      <c r="C3" s="46"/>
    </row>
    <row r="4" spans="1:18" ht="7.5" customHeight="1" x14ac:dyDescent="0.25">
      <c r="B4" s="1"/>
      <c r="C4" s="46"/>
    </row>
    <row r="5" spans="1:18" s="6" customFormat="1" x14ac:dyDescent="0.25">
      <c r="C5" s="16"/>
      <c r="E5" s="54"/>
      <c r="F5" s="16"/>
      <c r="G5" s="88" t="s">
        <v>438</v>
      </c>
      <c r="H5" s="16" t="s">
        <v>442</v>
      </c>
      <c r="I5" s="16" t="str">
        <f ca="1">RIGHT('WP PF6'!$A$1,3)</f>
        <v>PF6</v>
      </c>
      <c r="J5" s="16" t="str">
        <f ca="1">RIGHT('WP PF7'!$A$1,3)</f>
        <v>PF7</v>
      </c>
      <c r="K5" s="16" t="str">
        <f ca="1">RIGHT('WP PF8'!$A$1,3)</f>
        <v>PF8</v>
      </c>
      <c r="L5" s="16" t="str">
        <f ca="1">RIGHT('WP PF9'!$A$1,3)</f>
        <v>PF9</v>
      </c>
      <c r="M5" s="16" t="str">
        <f ca="1">RIGHT('WP PF10'!$A$1,4)</f>
        <v>PF10</v>
      </c>
      <c r="N5" s="16" t="str">
        <f ca="1">RIGHT('WP PF11'!$A$1,4)</f>
        <v>PF11</v>
      </c>
      <c r="O5" s="16" t="str">
        <f ca="1">RIGHT('WP PF12'!$A$1,4)</f>
        <v>PF12</v>
      </c>
      <c r="P5" s="16" t="s">
        <v>423</v>
      </c>
      <c r="Q5" s="16"/>
    </row>
    <row r="6" spans="1:18" s="6" customFormat="1" x14ac:dyDescent="0.25">
      <c r="B6" s="16" t="s">
        <v>417</v>
      </c>
      <c r="C6" s="16"/>
      <c r="E6" s="54"/>
      <c r="F6" s="16" t="s">
        <v>426</v>
      </c>
      <c r="G6" s="157" t="s">
        <v>1078</v>
      </c>
      <c r="H6" s="47" t="s">
        <v>1113</v>
      </c>
      <c r="I6" s="47" t="s">
        <v>443</v>
      </c>
      <c r="J6" s="47" t="s">
        <v>534</v>
      </c>
      <c r="K6" s="47" t="s">
        <v>445</v>
      </c>
      <c r="L6" s="47" t="s">
        <v>959</v>
      </c>
      <c r="M6" s="47" t="s">
        <v>572</v>
      </c>
      <c r="N6" s="47" t="s">
        <v>409</v>
      </c>
      <c r="O6" s="47" t="s">
        <v>511</v>
      </c>
      <c r="P6" s="16" t="s">
        <v>450</v>
      </c>
      <c r="Q6" s="16" t="s">
        <v>450</v>
      </c>
    </row>
    <row r="7" spans="1:18" s="6" customFormat="1" x14ac:dyDescent="0.25">
      <c r="B7" s="17" t="s">
        <v>418</v>
      </c>
      <c r="C7" s="17" t="s">
        <v>0</v>
      </c>
      <c r="D7" s="18" t="s">
        <v>1</v>
      </c>
      <c r="E7" s="148" t="s">
        <v>429</v>
      </c>
      <c r="F7" s="17" t="s">
        <v>427</v>
      </c>
      <c r="G7" s="160" t="s">
        <v>1079</v>
      </c>
      <c r="H7" s="48" t="s">
        <v>441</v>
      </c>
      <c r="I7" s="48" t="s">
        <v>444</v>
      </c>
      <c r="J7" s="48" t="s">
        <v>446</v>
      </c>
      <c r="K7" s="48" t="s">
        <v>425</v>
      </c>
      <c r="L7" s="48" t="s">
        <v>449</v>
      </c>
      <c r="M7" s="48" t="s">
        <v>449</v>
      </c>
      <c r="N7" s="48" t="s">
        <v>522</v>
      </c>
      <c r="O7" s="48" t="s">
        <v>444</v>
      </c>
      <c r="P7" s="17" t="s">
        <v>425</v>
      </c>
      <c r="Q7" s="17" t="s">
        <v>426</v>
      </c>
    </row>
    <row r="8" spans="1:18" x14ac:dyDescent="0.25">
      <c r="B8" s="2"/>
      <c r="C8" s="19" t="s">
        <v>419</v>
      </c>
      <c r="D8" s="19" t="s">
        <v>420</v>
      </c>
      <c r="E8" s="19" t="s">
        <v>421</v>
      </c>
      <c r="F8" s="19" t="s">
        <v>422</v>
      </c>
      <c r="G8" s="20" t="s">
        <v>430</v>
      </c>
      <c r="H8" s="19" t="s">
        <v>431</v>
      </c>
      <c r="I8" s="19" t="s">
        <v>434</v>
      </c>
      <c r="J8" s="19" t="s">
        <v>435</v>
      </c>
      <c r="K8" s="19" t="s">
        <v>436</v>
      </c>
      <c r="L8" s="19" t="s">
        <v>447</v>
      </c>
      <c r="M8" s="19" t="s">
        <v>448</v>
      </c>
      <c r="N8" s="19" t="s">
        <v>490</v>
      </c>
      <c r="O8" s="19" t="s">
        <v>491</v>
      </c>
      <c r="P8" s="19" t="s">
        <v>492</v>
      </c>
      <c r="Q8" s="19" t="s">
        <v>493</v>
      </c>
    </row>
    <row r="9" spans="1:18" ht="3.75" customHeight="1" x14ac:dyDescent="0.25">
      <c r="B9" s="2"/>
      <c r="C9" s="19"/>
      <c r="D9" s="19"/>
      <c r="E9" s="5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8" x14ac:dyDescent="0.25">
      <c r="B10" s="78">
        <v>1</v>
      </c>
      <c r="C10" s="20"/>
      <c r="D10" s="142" t="s">
        <v>510</v>
      </c>
      <c r="E10" s="149"/>
      <c r="F10" s="79">
        <f t="shared" ref="F10:N10" si="0">SUM(F$13:F$196)</f>
        <v>-1575315.9233500012</v>
      </c>
      <c r="G10" s="79">
        <f t="shared" si="0"/>
        <v>-585778.3583333334</v>
      </c>
      <c r="H10" s="79">
        <f t="shared" si="0"/>
        <v>120362.95712000001</v>
      </c>
      <c r="I10" s="79">
        <f t="shared" si="0"/>
        <v>309345.07522607641</v>
      </c>
      <c r="J10" s="79">
        <f t="shared" ca="1" si="0"/>
        <v>-18397.683497290313</v>
      </c>
      <c r="K10" s="79">
        <f t="shared" si="0"/>
        <v>-13455.686000000002</v>
      </c>
      <c r="L10" s="79">
        <f t="shared" si="0"/>
        <v>10048.641589999997</v>
      </c>
      <c r="M10" s="79">
        <f t="shared" ca="1" si="0"/>
        <v>28896.245834499998</v>
      </c>
      <c r="N10" s="79">
        <f t="shared" si="0"/>
        <v>32810.786999999982</v>
      </c>
      <c r="O10" s="79">
        <f t="shared" ref="O10" si="1">SUM(O$13:O$196)</f>
        <v>18902.166666666668</v>
      </c>
      <c r="P10" s="79">
        <f ca="1">SUM(P$13:P$196)</f>
        <v>-97265.854393380578</v>
      </c>
      <c r="Q10" s="79">
        <f ca="1">SUM(Q$13:Q$196)</f>
        <v>-1672581.7777433852</v>
      </c>
      <c r="R10" s="15"/>
    </row>
    <row r="11" spans="1:18" ht="3.75" customHeight="1" x14ac:dyDescent="0.25">
      <c r="B11" s="78"/>
      <c r="C11" s="20"/>
      <c r="D11" s="20"/>
      <c r="E11" s="14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8" x14ac:dyDescent="0.25">
      <c r="B12" s="78">
        <v>2</v>
      </c>
      <c r="C12" s="143"/>
      <c r="D12" s="144" t="s">
        <v>40</v>
      </c>
      <c r="E12" s="150"/>
      <c r="F12" s="143"/>
      <c r="G12" s="143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8" x14ac:dyDescent="0.25">
      <c r="B13" s="78">
        <f>MAX($B$8:B12)+1</f>
        <v>3</v>
      </c>
      <c r="C13" s="78" t="s">
        <v>3</v>
      </c>
      <c r="D13" s="23" t="s">
        <v>21</v>
      </c>
      <c r="E13" s="151" t="str">
        <f>'EP IS Restatements'!E13</f>
        <v>Metered Sales</v>
      </c>
      <c r="F13" s="22">
        <f>'WWSCo IS Restatements'!M13</f>
        <v>-7796644.0699999984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>SUM(G13:O13)</f>
        <v>0</v>
      </c>
      <c r="Q13" s="22">
        <f>F13+P13</f>
        <v>-7796644.0699999984</v>
      </c>
      <c r="R13" s="15"/>
    </row>
    <row r="14" spans="1:18" x14ac:dyDescent="0.25">
      <c r="B14" s="78">
        <f>MAX($B$8:B13)+1</f>
        <v>4</v>
      </c>
      <c r="C14" s="78" t="s">
        <v>4</v>
      </c>
      <c r="D14" s="23" t="s">
        <v>22</v>
      </c>
      <c r="E14" s="151" t="str">
        <f>'EP IS Restatements'!E14</f>
        <v>Metered Sales</v>
      </c>
      <c r="F14" s="22">
        <f>'WWSCo IS Restatements'!M14</f>
        <v>-4932171.45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ref="P14:P30" si="2">SUM(G14:O14)</f>
        <v>0</v>
      </c>
      <c r="Q14" s="22">
        <f t="shared" ref="Q14:Q30" si="3">F14+P14</f>
        <v>-4932171.45</v>
      </c>
      <c r="R14" s="15"/>
    </row>
    <row r="15" spans="1:18" x14ac:dyDescent="0.25">
      <c r="B15" s="78">
        <f>MAX($B$8:B14)+1</f>
        <v>5</v>
      </c>
      <c r="C15" s="78" t="s">
        <v>5</v>
      </c>
      <c r="D15" s="23" t="s">
        <v>23</v>
      </c>
      <c r="E15" s="151" t="str">
        <f>'EP IS Restatements'!E15</f>
        <v>Metered Sales</v>
      </c>
      <c r="F15" s="22">
        <f>'WWSCo IS Restatements'!M15</f>
        <v>22879.34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2"/>
        <v>0</v>
      </c>
      <c r="Q15" s="22">
        <f t="shared" si="3"/>
        <v>22879.34</v>
      </c>
      <c r="R15" s="15"/>
    </row>
    <row r="16" spans="1:18" x14ac:dyDescent="0.25">
      <c r="B16" s="78">
        <f>MAX($B$8:B15)+1</f>
        <v>6</v>
      </c>
      <c r="C16" s="78" t="s">
        <v>6</v>
      </c>
      <c r="D16" s="23" t="s">
        <v>24</v>
      </c>
      <c r="E16" s="151" t="str">
        <f>'EP IS Restatements'!E16</f>
        <v>Metered Sales</v>
      </c>
      <c r="F16" s="22">
        <f>'WWSCo IS Restatements'!M16</f>
        <v>-205438.49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2"/>
        <v>0</v>
      </c>
      <c r="Q16" s="22">
        <f t="shared" si="3"/>
        <v>-205438.49</v>
      </c>
      <c r="R16" s="15"/>
    </row>
    <row r="17" spans="2:18" x14ac:dyDescent="0.25">
      <c r="B17" s="78">
        <f>MAX($B$8:B16)+1</f>
        <v>7</v>
      </c>
      <c r="C17" s="78" t="s">
        <v>7</v>
      </c>
      <c r="D17" s="23" t="s">
        <v>25</v>
      </c>
      <c r="E17" s="151" t="str">
        <f>'EP IS Restatements'!E17</f>
        <v>Metered Sales</v>
      </c>
      <c r="F17" s="22">
        <f>'WWSCo IS Restatements'!M17</f>
        <v>-90409.55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2"/>
        <v>0</v>
      </c>
      <c r="Q17" s="22">
        <f t="shared" si="3"/>
        <v>-90409.55</v>
      </c>
      <c r="R17" s="15"/>
    </row>
    <row r="18" spans="2:18" x14ac:dyDescent="0.25">
      <c r="B18" s="78">
        <f>MAX($B$8:B17)+1</f>
        <v>8</v>
      </c>
      <c r="C18" s="78" t="s">
        <v>8</v>
      </c>
      <c r="D18" s="23" t="s">
        <v>26</v>
      </c>
      <c r="E18" s="151" t="str">
        <f>'EP IS Restatements'!E18</f>
        <v>Un-metered Sales</v>
      </c>
      <c r="F18" s="22">
        <f>'WWSCo IS Restatements'!M18</f>
        <v>-6536.16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2"/>
        <v>0</v>
      </c>
      <c r="Q18" s="22">
        <f t="shared" si="3"/>
        <v>-6536.16</v>
      </c>
      <c r="R18" s="15"/>
    </row>
    <row r="19" spans="2:18" x14ac:dyDescent="0.25">
      <c r="B19" s="78">
        <f>MAX($B$8:B18)+1</f>
        <v>9</v>
      </c>
      <c r="C19" s="78" t="s">
        <v>9</v>
      </c>
      <c r="D19" s="23" t="s">
        <v>27</v>
      </c>
      <c r="E19" s="151" t="str">
        <f>'EP IS Restatements'!E19</f>
        <v>Metered Sales</v>
      </c>
      <c r="F19" s="22">
        <f>'WWSCo IS Restatements'!M19</f>
        <v>-154228.25999999998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si="2"/>
        <v>0</v>
      </c>
      <c r="Q19" s="22">
        <f t="shared" si="3"/>
        <v>-154228.25999999998</v>
      </c>
      <c r="R19" s="15"/>
    </row>
    <row r="20" spans="2:18" x14ac:dyDescent="0.25">
      <c r="B20" s="78">
        <f>MAX($B$8:B19)+1</f>
        <v>10</v>
      </c>
      <c r="C20" s="78" t="s">
        <v>10</v>
      </c>
      <c r="D20" s="23" t="s">
        <v>28</v>
      </c>
      <c r="E20" s="151" t="str">
        <f>'EP IS Restatements'!E20</f>
        <v>Metered Sales</v>
      </c>
      <c r="F20" s="22">
        <f>'WWSCo IS Restatements'!M20</f>
        <v>-24231.46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2"/>
        <v>0</v>
      </c>
      <c r="Q20" s="22">
        <f t="shared" si="3"/>
        <v>-24231.46</v>
      </c>
      <c r="R20" s="15"/>
    </row>
    <row r="21" spans="2:18" x14ac:dyDescent="0.25">
      <c r="B21" s="78">
        <f>MAX($B$8:B20)+1</f>
        <v>11</v>
      </c>
      <c r="C21" s="78" t="s">
        <v>11</v>
      </c>
      <c r="D21" s="23" t="s">
        <v>29</v>
      </c>
      <c r="E21" s="151" t="str">
        <f>'EP IS Restatements'!E21</f>
        <v>Fire Protection / Irrigation</v>
      </c>
      <c r="F21" s="22">
        <f>'WWSCo IS Restatements'!M21</f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2"/>
        <v>0</v>
      </c>
      <c r="Q21" s="22">
        <f t="shared" si="3"/>
        <v>0</v>
      </c>
      <c r="R21" s="15"/>
    </row>
    <row r="22" spans="2:18" x14ac:dyDescent="0.25">
      <c r="B22" s="78">
        <f>MAX($B$8:B21)+1</f>
        <v>12</v>
      </c>
      <c r="C22" s="78" t="s">
        <v>12</v>
      </c>
      <c r="D22" s="23" t="s">
        <v>30</v>
      </c>
      <c r="E22" s="151" t="str">
        <f>'EP IS Restatements'!E22</f>
        <v>Other Income, Ancillary Charges</v>
      </c>
      <c r="F22" s="22">
        <f>'WWSCo IS Restatements'!M22</f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2"/>
        <v>0</v>
      </c>
      <c r="Q22" s="22">
        <f t="shared" si="3"/>
        <v>0</v>
      </c>
      <c r="R22" s="15"/>
    </row>
    <row r="23" spans="2:18" x14ac:dyDescent="0.25">
      <c r="B23" s="78">
        <f>MAX($B$8:B22)+1</f>
        <v>13</v>
      </c>
      <c r="C23" s="78" t="s">
        <v>13</v>
      </c>
      <c r="D23" s="23" t="s">
        <v>31</v>
      </c>
      <c r="E23" s="151" t="str">
        <f>'EP IS Restatements'!E23</f>
        <v>Other Income, Ancillary Charges</v>
      </c>
      <c r="F23" s="22">
        <f>'WWSCo IS Restatements'!M23</f>
        <v>-3115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2"/>
        <v>0</v>
      </c>
      <c r="Q23" s="22">
        <f t="shared" si="3"/>
        <v>-3115</v>
      </c>
      <c r="R23" s="15"/>
    </row>
    <row r="24" spans="2:18" x14ac:dyDescent="0.25">
      <c r="B24" s="78">
        <f>MAX($B$8:B23)+1</f>
        <v>14</v>
      </c>
      <c r="C24" s="78" t="s">
        <v>14</v>
      </c>
      <c r="D24" s="23" t="s">
        <v>32</v>
      </c>
      <c r="E24" s="151" t="str">
        <f>'EP IS Restatements'!E24</f>
        <v>Other Income, Ancillary Charges</v>
      </c>
      <c r="F24" s="22">
        <f>'WWSCo IS Restatements'!M24</f>
        <v>-33862.5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2"/>
        <v>0</v>
      </c>
      <c r="Q24" s="22">
        <f t="shared" si="3"/>
        <v>-33862.5</v>
      </c>
      <c r="R24" s="15"/>
    </row>
    <row r="25" spans="2:18" x14ac:dyDescent="0.25">
      <c r="B25" s="78">
        <f>MAX($B$8:B24)+1</f>
        <v>15</v>
      </c>
      <c r="C25" s="78" t="s">
        <v>15</v>
      </c>
      <c r="D25" s="23" t="s">
        <v>33</v>
      </c>
      <c r="E25" s="151" t="str">
        <f>'EP IS Restatements'!E25</f>
        <v>Other Income, Ancillary Charges</v>
      </c>
      <c r="F25" s="22">
        <f>'WWSCo IS Restatements'!M25</f>
        <v>-4285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2"/>
        <v>0</v>
      </c>
      <c r="Q25" s="22">
        <f t="shared" si="3"/>
        <v>-4285</v>
      </c>
      <c r="R25" s="15"/>
    </row>
    <row r="26" spans="2:18" x14ac:dyDescent="0.25">
      <c r="B26" s="78">
        <f>MAX($B$8:B25)+1</f>
        <v>16</v>
      </c>
      <c r="C26" s="78" t="s">
        <v>16</v>
      </c>
      <c r="D26" s="23" t="s">
        <v>34</v>
      </c>
      <c r="E26" s="151" t="str">
        <f>'EP IS Restatements'!E26</f>
        <v>Fire Protection / Irrigation</v>
      </c>
      <c r="F26" s="22">
        <f>'WWSCo IS Restatements'!M26</f>
        <v>-64124.76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2"/>
        <v>0</v>
      </c>
      <c r="Q26" s="22">
        <f t="shared" si="3"/>
        <v>-64124.76</v>
      </c>
      <c r="R26" s="15"/>
    </row>
    <row r="27" spans="2:18" x14ac:dyDescent="0.25">
      <c r="B27" s="78">
        <f>MAX($B$8:B26)+1</f>
        <v>17</v>
      </c>
      <c r="C27" s="78" t="s">
        <v>17</v>
      </c>
      <c r="D27" s="23" t="s">
        <v>35</v>
      </c>
      <c r="E27" s="151" t="str">
        <f>'EP IS Restatements'!E27</f>
        <v>Metered Sales</v>
      </c>
      <c r="F27" s="22">
        <f>'WWSCo IS Restatements'!M27</f>
        <v>-15335.299999999988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2"/>
        <v>0</v>
      </c>
      <c r="Q27" s="22">
        <f t="shared" si="3"/>
        <v>-15335.299999999988</v>
      </c>
      <c r="R27" s="15"/>
    </row>
    <row r="28" spans="2:18" x14ac:dyDescent="0.25">
      <c r="B28" s="78">
        <f>MAX($B$8:B27)+1</f>
        <v>18</v>
      </c>
      <c r="C28" s="78" t="s">
        <v>18</v>
      </c>
      <c r="D28" s="23" t="s">
        <v>36</v>
      </c>
      <c r="E28" s="151" t="str">
        <f>'EP IS Restatements'!E28</f>
        <v>Metered Sales</v>
      </c>
      <c r="F28" s="22">
        <f>'WWSCo IS Restatements'!M28</f>
        <v>-77254.2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2"/>
        <v>0</v>
      </c>
      <c r="Q28" s="22">
        <f t="shared" si="3"/>
        <v>-77254.2</v>
      </c>
      <c r="R28" s="15"/>
    </row>
    <row r="29" spans="2:18" x14ac:dyDescent="0.25">
      <c r="B29" s="78">
        <f>MAX($B$8:B28)+1</f>
        <v>19</v>
      </c>
      <c r="C29" s="78" t="s">
        <v>19</v>
      </c>
      <c r="D29" s="23" t="s">
        <v>37</v>
      </c>
      <c r="E29" s="151" t="str">
        <f>'EP IS Restatements'!E29</f>
        <v>Other Income, Ancillary Charges</v>
      </c>
      <c r="F29" s="22">
        <f>'WWSCo IS Restatements'!M29</f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si="2"/>
        <v>0</v>
      </c>
      <c r="Q29" s="22">
        <f t="shared" si="3"/>
        <v>0</v>
      </c>
      <c r="R29" s="15"/>
    </row>
    <row r="30" spans="2:18" x14ac:dyDescent="0.25">
      <c r="B30" s="78">
        <f>MAX($B$8:B29)+1</f>
        <v>20</v>
      </c>
      <c r="C30" s="78" t="s">
        <v>20</v>
      </c>
      <c r="D30" s="23" t="s">
        <v>38</v>
      </c>
      <c r="E30" s="151" t="str">
        <f>'EP IS Restatements'!E30</f>
        <v>Ready-to-Serve</v>
      </c>
      <c r="F30" s="22">
        <f>'WWSCo IS Restatements'!M30</f>
        <v>-43444.59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2"/>
        <v>0</v>
      </c>
      <c r="Q30" s="22">
        <f t="shared" si="3"/>
        <v>-43444.59</v>
      </c>
      <c r="R30" s="15"/>
    </row>
    <row r="31" spans="2:18" ht="3.75" customHeight="1" x14ac:dyDescent="0.25">
      <c r="B31" s="78"/>
      <c r="C31" s="78"/>
      <c r="D31" s="23"/>
      <c r="E31" s="15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8" x14ac:dyDescent="0.25">
      <c r="B32" s="78">
        <f>MAX($B$8:B31)+1</f>
        <v>21</v>
      </c>
      <c r="C32" s="78"/>
      <c r="D32" s="146" t="s">
        <v>41</v>
      </c>
      <c r="E32" s="15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8" x14ac:dyDescent="0.25">
      <c r="B33" s="78">
        <f>MAX($B$8:B32)+1</f>
        <v>22</v>
      </c>
      <c r="C33" s="78" t="s">
        <v>42</v>
      </c>
      <c r="D33" s="23" t="s">
        <v>82</v>
      </c>
      <c r="E33" s="151" t="str">
        <f>'EP IS Restatements'!E33</f>
        <v>Purchased Power/Water</v>
      </c>
      <c r="F33" s="22">
        <f>'WWSCo IS Restatements'!M33</f>
        <v>20612.829999999958</v>
      </c>
      <c r="G33" s="22">
        <v>0</v>
      </c>
      <c r="H33" s="22">
        <v>0</v>
      </c>
      <c r="I33" s="22">
        <v>0</v>
      </c>
      <c r="J33" s="22">
        <v>0</v>
      </c>
      <c r="K33" s="23"/>
      <c r="L33" s="22">
        <v>0</v>
      </c>
      <c r="M33" s="22">
        <f>IF(SUM(H33:K33)=0,SUM(F33:K33)*0.022,0)</f>
        <v>453.48225999999903</v>
      </c>
      <c r="N33" s="22">
        <v>0</v>
      </c>
      <c r="O33" s="22">
        <v>0</v>
      </c>
      <c r="P33" s="22">
        <f t="shared" ref="P33:P96" si="4">SUM(G33:O33)</f>
        <v>453.48225999999903</v>
      </c>
      <c r="Q33" s="22">
        <f t="shared" ref="Q33:Q64" si="5">F33+P33</f>
        <v>21066.312259999959</v>
      </c>
      <c r="R33" s="15"/>
    </row>
    <row r="34" spans="2:18" x14ac:dyDescent="0.25">
      <c r="B34" s="78">
        <f>MAX($B$8:B33)+1</f>
        <v>23</v>
      </c>
      <c r="C34" s="78" t="s">
        <v>43</v>
      </c>
      <c r="D34" s="23" t="s">
        <v>83</v>
      </c>
      <c r="E34" s="151" t="str">
        <f>'EP IS Restatements'!E34</f>
        <v>Purchased Power/Water</v>
      </c>
      <c r="F34" s="22">
        <f>'WWSCo IS Restatements'!M34</f>
        <v>567625.59</v>
      </c>
      <c r="G34" s="22">
        <v>0</v>
      </c>
      <c r="H34" s="22">
        <v>0</v>
      </c>
      <c r="I34" s="22">
        <v>0</v>
      </c>
      <c r="J34" s="22">
        <v>0</v>
      </c>
      <c r="K34" s="23"/>
      <c r="L34" s="22">
        <f>'WP PF9'!L21</f>
        <v>10048.641589999997</v>
      </c>
      <c r="M34" s="22">
        <v>0</v>
      </c>
      <c r="N34" s="22">
        <v>0</v>
      </c>
      <c r="O34" s="22">
        <v>0</v>
      </c>
      <c r="P34" s="22">
        <f t="shared" si="4"/>
        <v>10048.641589999997</v>
      </c>
      <c r="Q34" s="22">
        <f t="shared" si="5"/>
        <v>577674.23158999998</v>
      </c>
      <c r="R34" s="15"/>
    </row>
    <row r="35" spans="2:18" x14ac:dyDescent="0.25">
      <c r="B35" s="78">
        <f>MAX($B$8:B34)+1</f>
        <v>24</v>
      </c>
      <c r="C35" s="78" t="s">
        <v>44</v>
      </c>
      <c r="D35" s="23" t="s">
        <v>84</v>
      </c>
      <c r="E35" s="151" t="str">
        <f>'EP IS Restatements'!E35</f>
        <v>Office, Postage, Phone, and Bank Charges</v>
      </c>
      <c r="F35" s="22">
        <f>'WWSCo IS Restatements'!M35</f>
        <v>489.75999999999931</v>
      </c>
      <c r="G35" s="22">
        <v>0</v>
      </c>
      <c r="H35" s="22">
        <v>0</v>
      </c>
      <c r="I35" s="22">
        <v>0</v>
      </c>
      <c r="J35" s="22">
        <v>0</v>
      </c>
      <c r="K35" s="23"/>
      <c r="L35" s="22">
        <v>0</v>
      </c>
      <c r="M35" s="22">
        <f>IF(SUM(H35:K35)=0,SUM(F35:K35)*0.022,0)</f>
        <v>10.774719999999984</v>
      </c>
      <c r="N35" s="22">
        <v>0</v>
      </c>
      <c r="O35" s="22">
        <v>0</v>
      </c>
      <c r="P35" s="22">
        <f t="shared" si="4"/>
        <v>10.774719999999984</v>
      </c>
      <c r="Q35" s="22">
        <f t="shared" si="5"/>
        <v>500.53471999999931</v>
      </c>
      <c r="R35" s="15"/>
    </row>
    <row r="36" spans="2:18" x14ac:dyDescent="0.25">
      <c r="B36" s="78">
        <f>MAX($B$8:B35)+1</f>
        <v>25</v>
      </c>
      <c r="C36" s="78" t="s">
        <v>45</v>
      </c>
      <c r="D36" s="23" t="s">
        <v>85</v>
      </c>
      <c r="E36" s="151" t="str">
        <f>'EP IS Restatements'!E36</f>
        <v>Salary and Wages - Employees</v>
      </c>
      <c r="F36" s="22">
        <f>'WWSCo IS Restatements'!M36</f>
        <v>685606.26</v>
      </c>
      <c r="G36" s="22">
        <v>0</v>
      </c>
      <c r="H36" s="22">
        <f>SUM(F36:F36)*0.032</f>
        <v>21939.400320000001</v>
      </c>
      <c r="I36" s="22">
        <f>'WP PF6'!M32</f>
        <v>161850.61226708337</v>
      </c>
      <c r="J36" s="22">
        <v>0</v>
      </c>
      <c r="K36" s="23"/>
      <c r="L36" s="22">
        <v>0</v>
      </c>
      <c r="M36" s="22">
        <f t="shared" ref="M36:M97" si="6">IF(SUM(H36:K36)=0,SUM(F36:K36)*0.022,0)</f>
        <v>0</v>
      </c>
      <c r="N36" s="22">
        <v>0</v>
      </c>
      <c r="O36" s="22">
        <v>0</v>
      </c>
      <c r="P36" s="22">
        <f t="shared" si="4"/>
        <v>183790.01258708339</v>
      </c>
      <c r="Q36" s="22">
        <f t="shared" si="5"/>
        <v>869396.2725870834</v>
      </c>
      <c r="R36" s="15"/>
    </row>
    <row r="37" spans="2:18" x14ac:dyDescent="0.25">
      <c r="B37" s="78">
        <f>MAX($B$8:B36)+1</f>
        <v>26</v>
      </c>
      <c r="C37" s="78" t="s">
        <v>46</v>
      </c>
      <c r="D37" s="23" t="s">
        <v>86</v>
      </c>
      <c r="E37" s="151" t="str">
        <f>'EP IS Restatements'!E37</f>
        <v>Office, Postage, Phone, and Bank Charges</v>
      </c>
      <c r="F37" s="22">
        <f>'WWSCo IS Restatements'!M37</f>
        <v>1344.33</v>
      </c>
      <c r="G37" s="22">
        <v>0</v>
      </c>
      <c r="H37" s="22">
        <v>0</v>
      </c>
      <c r="I37" s="22">
        <v>0</v>
      </c>
      <c r="J37" s="22">
        <v>0</v>
      </c>
      <c r="K37" s="23"/>
      <c r="L37" s="22">
        <v>0</v>
      </c>
      <c r="M37" s="22">
        <f t="shared" si="6"/>
        <v>29.575259999999997</v>
      </c>
      <c r="N37" s="22">
        <v>0</v>
      </c>
      <c r="O37" s="22">
        <v>0</v>
      </c>
      <c r="P37" s="22">
        <f t="shared" si="4"/>
        <v>29.575259999999997</v>
      </c>
      <c r="Q37" s="22">
        <f t="shared" si="5"/>
        <v>1373.90526</v>
      </c>
      <c r="R37" s="15"/>
    </row>
    <row r="38" spans="2:18" x14ac:dyDescent="0.25">
      <c r="B38" s="78">
        <f>MAX($B$8:B37)+1</f>
        <v>27</v>
      </c>
      <c r="C38" s="78" t="s">
        <v>47</v>
      </c>
      <c r="D38" s="23" t="s">
        <v>87</v>
      </c>
      <c r="E38" s="151" t="str">
        <f>'EP IS Restatements'!E38</f>
        <v>Office, Postage, Phone, and Bank Charges</v>
      </c>
      <c r="F38" s="22">
        <f>'WWSCo IS Restatements'!M38</f>
        <v>10520.650000000001</v>
      </c>
      <c r="G38" s="22">
        <v>0</v>
      </c>
      <c r="H38" s="22">
        <v>0</v>
      </c>
      <c r="I38" s="22">
        <v>0</v>
      </c>
      <c r="J38" s="22">
        <v>0</v>
      </c>
      <c r="K38" s="23"/>
      <c r="L38" s="22">
        <v>0</v>
      </c>
      <c r="M38" s="22">
        <f t="shared" si="6"/>
        <v>231.45430000000002</v>
      </c>
      <c r="N38" s="22">
        <v>0</v>
      </c>
      <c r="O38" s="22">
        <v>0</v>
      </c>
      <c r="P38" s="22">
        <f t="shared" si="4"/>
        <v>231.45430000000002</v>
      </c>
      <c r="Q38" s="22">
        <f t="shared" si="5"/>
        <v>10752.104300000001</v>
      </c>
      <c r="R38" s="15"/>
    </row>
    <row r="39" spans="2:18" x14ac:dyDescent="0.25">
      <c r="B39" s="78">
        <f>MAX($B$8:B38)+1</f>
        <v>28</v>
      </c>
      <c r="C39" s="78" t="s">
        <v>48</v>
      </c>
      <c r="D39" s="23" t="s">
        <v>88</v>
      </c>
      <c r="E39" s="151" t="str">
        <f>'EP IS Restatements'!E39</f>
        <v>Office, Postage, Phone, and Bank Charges</v>
      </c>
      <c r="F39" s="22">
        <f>'WWSCo IS Restatements'!M39</f>
        <v>770.92</v>
      </c>
      <c r="G39" s="22">
        <v>0</v>
      </c>
      <c r="H39" s="22">
        <v>0</v>
      </c>
      <c r="I39" s="22">
        <v>0</v>
      </c>
      <c r="J39" s="22">
        <v>0</v>
      </c>
      <c r="K39" s="23"/>
      <c r="L39" s="22">
        <v>0</v>
      </c>
      <c r="M39" s="22">
        <f t="shared" si="6"/>
        <v>16.960239999999999</v>
      </c>
      <c r="N39" s="22">
        <v>0</v>
      </c>
      <c r="O39" s="22">
        <v>0</v>
      </c>
      <c r="P39" s="22">
        <f t="shared" si="4"/>
        <v>16.960239999999999</v>
      </c>
      <c r="Q39" s="22">
        <f t="shared" si="5"/>
        <v>787.88023999999996</v>
      </c>
      <c r="R39" s="15"/>
    </row>
    <row r="40" spans="2:18" x14ac:dyDescent="0.25">
      <c r="B40" s="78">
        <f>MAX($B$8:B39)+1</f>
        <v>29</v>
      </c>
      <c r="C40" s="78" t="s">
        <v>49</v>
      </c>
      <c r="D40" s="23" t="s">
        <v>89</v>
      </c>
      <c r="E40" s="151" t="str">
        <f>'EP IS Restatements'!E40</f>
        <v>Office, Postage, Phone, and Bank Charges</v>
      </c>
      <c r="F40" s="22">
        <f>'WWSCo IS Restatements'!M40</f>
        <v>70906.259999999995</v>
      </c>
      <c r="G40" s="22">
        <v>0</v>
      </c>
      <c r="H40" s="22">
        <v>0</v>
      </c>
      <c r="I40" s="22">
        <v>0</v>
      </c>
      <c r="J40" s="22">
        <v>0</v>
      </c>
      <c r="K40" s="23"/>
      <c r="L40" s="22">
        <v>0</v>
      </c>
      <c r="M40" s="22">
        <f t="shared" si="6"/>
        <v>1559.9377199999999</v>
      </c>
      <c r="N40" s="22">
        <v>0</v>
      </c>
      <c r="O40" s="22">
        <v>0</v>
      </c>
      <c r="P40" s="22">
        <f t="shared" si="4"/>
        <v>1559.9377199999999</v>
      </c>
      <c r="Q40" s="22">
        <f t="shared" si="5"/>
        <v>72466.197719999996</v>
      </c>
      <c r="R40" s="15"/>
    </row>
    <row r="41" spans="2:18" x14ac:dyDescent="0.25">
      <c r="B41" s="78">
        <f>MAX($B$8:B40)+1</f>
        <v>30</v>
      </c>
      <c r="C41" s="78" t="s">
        <v>50</v>
      </c>
      <c r="D41" s="23" t="s">
        <v>90</v>
      </c>
      <c r="E41" s="151" t="str">
        <f>'EP IS Restatements'!E41</f>
        <v>Office, Postage, Phone, and Bank Charges</v>
      </c>
      <c r="F41" s="22">
        <f>'WWSCo IS Restatements'!M41</f>
        <v>4418.13</v>
      </c>
      <c r="G41" s="22">
        <v>0</v>
      </c>
      <c r="H41" s="22">
        <v>0</v>
      </c>
      <c r="I41" s="22">
        <v>0</v>
      </c>
      <c r="J41" s="22">
        <v>0</v>
      </c>
      <c r="K41" s="23"/>
      <c r="L41" s="22">
        <v>0</v>
      </c>
      <c r="M41" s="22">
        <f t="shared" si="6"/>
        <v>97.198859999999996</v>
      </c>
      <c r="N41" s="22">
        <v>0</v>
      </c>
      <c r="O41" s="22">
        <v>0</v>
      </c>
      <c r="P41" s="22">
        <f t="shared" si="4"/>
        <v>97.198859999999996</v>
      </c>
      <c r="Q41" s="22">
        <f t="shared" si="5"/>
        <v>4515.3288600000005</v>
      </c>
      <c r="R41" s="15"/>
    </row>
    <row r="42" spans="2:18" x14ac:dyDescent="0.25">
      <c r="B42" s="78">
        <f>MAX($B$8:B41)+1</f>
        <v>31</v>
      </c>
      <c r="C42" s="78" t="s">
        <v>51</v>
      </c>
      <c r="D42" s="23" t="s">
        <v>91</v>
      </c>
      <c r="E42" s="151" t="str">
        <f>'EP IS Restatements'!E42</f>
        <v>Contractual Accounting</v>
      </c>
      <c r="F42" s="22">
        <f>'WWSCo IS Restatements'!M42</f>
        <v>111826.36</v>
      </c>
      <c r="G42" s="22">
        <v>0</v>
      </c>
      <c r="H42" s="22">
        <v>0</v>
      </c>
      <c r="I42" s="22">
        <v>0</v>
      </c>
      <c r="J42" s="22">
        <v>0</v>
      </c>
      <c r="K42" s="23"/>
      <c r="L42" s="22">
        <v>0</v>
      </c>
      <c r="M42" s="22">
        <f t="shared" si="6"/>
        <v>2460.17992</v>
      </c>
      <c r="N42" s="22">
        <v>0</v>
      </c>
      <c r="O42" s="22">
        <v>0</v>
      </c>
      <c r="P42" s="22">
        <f t="shared" si="4"/>
        <v>2460.17992</v>
      </c>
      <c r="Q42" s="22">
        <f t="shared" si="5"/>
        <v>114286.53992</v>
      </c>
      <c r="R42" s="15"/>
    </row>
    <row r="43" spans="2:18" x14ac:dyDescent="0.25">
      <c r="B43" s="78">
        <f>MAX($B$8:B42)+1</f>
        <v>32</v>
      </c>
      <c r="C43" s="78" t="s">
        <v>52</v>
      </c>
      <c r="D43" s="23" t="s">
        <v>92</v>
      </c>
      <c r="E43" s="151" t="str">
        <f>'EP IS Restatements'!E43</f>
        <v>Office, Postage, Phone, and Bank Charges</v>
      </c>
      <c r="F43" s="22">
        <f>'WWSCo IS Restatements'!M43</f>
        <v>218101.32</v>
      </c>
      <c r="G43" s="22">
        <v>0</v>
      </c>
      <c r="H43" s="22">
        <v>0</v>
      </c>
      <c r="I43" s="22">
        <v>0</v>
      </c>
      <c r="J43" s="22">
        <v>0</v>
      </c>
      <c r="K43" s="23"/>
      <c r="L43" s="22">
        <v>0</v>
      </c>
      <c r="M43" s="22">
        <f t="shared" si="6"/>
        <v>4798.2290400000002</v>
      </c>
      <c r="N43" s="22">
        <v>0</v>
      </c>
      <c r="O43" s="22">
        <v>0</v>
      </c>
      <c r="P43" s="22">
        <f t="shared" si="4"/>
        <v>4798.2290400000002</v>
      </c>
      <c r="Q43" s="22">
        <f t="shared" si="5"/>
        <v>222899.54904000001</v>
      </c>
      <c r="R43" s="15"/>
    </row>
    <row r="44" spans="2:18" x14ac:dyDescent="0.25">
      <c r="B44" s="78">
        <f>MAX($B$8:B43)+1</f>
        <v>33</v>
      </c>
      <c r="C44" s="78" t="s">
        <v>53</v>
      </c>
      <c r="D44" s="23" t="s">
        <v>93</v>
      </c>
      <c r="E44" s="151" t="str">
        <f>'EP IS Restatements'!E44</f>
        <v>Travel, Education, CCR, and Public Relations</v>
      </c>
      <c r="F44" s="22">
        <f>'WWSCo IS Restatements'!M44</f>
        <v>23244.119999999995</v>
      </c>
      <c r="G44" s="22">
        <v>0</v>
      </c>
      <c r="H44" s="22">
        <v>0</v>
      </c>
      <c r="I44" s="22">
        <v>0</v>
      </c>
      <c r="J44" s="22">
        <v>0</v>
      </c>
      <c r="K44" s="23"/>
      <c r="L44" s="22">
        <v>0</v>
      </c>
      <c r="M44" s="22">
        <f t="shared" si="6"/>
        <v>511.37063999999987</v>
      </c>
      <c r="N44" s="22">
        <v>0</v>
      </c>
      <c r="O44" s="22">
        <v>0</v>
      </c>
      <c r="P44" s="22">
        <f t="shared" si="4"/>
        <v>511.37063999999987</v>
      </c>
      <c r="Q44" s="22">
        <f t="shared" si="5"/>
        <v>23755.490639999996</v>
      </c>
      <c r="R44" s="15"/>
    </row>
    <row r="45" spans="2:18" x14ac:dyDescent="0.25">
      <c r="B45" s="78">
        <f>MAX($B$8:B44)+1</f>
        <v>34</v>
      </c>
      <c r="C45" s="78" t="s">
        <v>54</v>
      </c>
      <c r="D45" s="23" t="s">
        <v>94</v>
      </c>
      <c r="E45" s="151" t="str">
        <f>'EP IS Restatements'!E45</f>
        <v>Travel, Education, CCR, and Public Relations</v>
      </c>
      <c r="F45" s="22">
        <f>'WWSCo IS Restatements'!M45</f>
        <v>12511.529999999999</v>
      </c>
      <c r="G45" s="22">
        <v>0</v>
      </c>
      <c r="H45" s="22">
        <v>0</v>
      </c>
      <c r="I45" s="22">
        <v>0</v>
      </c>
      <c r="J45" s="22">
        <v>0</v>
      </c>
      <c r="K45" s="23"/>
      <c r="L45" s="22">
        <v>0</v>
      </c>
      <c r="M45" s="22">
        <f t="shared" si="6"/>
        <v>275.25365999999997</v>
      </c>
      <c r="N45" s="22">
        <v>0</v>
      </c>
      <c r="O45" s="22">
        <v>0</v>
      </c>
      <c r="P45" s="22">
        <f t="shared" si="4"/>
        <v>275.25365999999997</v>
      </c>
      <c r="Q45" s="22">
        <f t="shared" si="5"/>
        <v>12786.783659999999</v>
      </c>
      <c r="R45" s="15"/>
    </row>
    <row r="46" spans="2:18" x14ac:dyDescent="0.25">
      <c r="B46" s="78">
        <f>MAX($B$8:B45)+1</f>
        <v>35</v>
      </c>
      <c r="C46" s="78" t="s">
        <v>55</v>
      </c>
      <c r="D46" s="23" t="s">
        <v>95</v>
      </c>
      <c r="E46" s="151" t="str">
        <f>'EP IS Restatements'!E46</f>
        <v>Travel, Education, CCR, and Public Relations</v>
      </c>
      <c r="F46" s="22">
        <f>'WWSCo IS Restatements'!M46</f>
        <v>324.53000000000003</v>
      </c>
      <c r="G46" s="22">
        <v>0</v>
      </c>
      <c r="H46" s="22">
        <v>0</v>
      </c>
      <c r="I46" s="22">
        <v>0</v>
      </c>
      <c r="J46" s="22">
        <v>0</v>
      </c>
      <c r="K46" s="23"/>
      <c r="L46" s="22">
        <v>0</v>
      </c>
      <c r="M46" s="22">
        <f t="shared" si="6"/>
        <v>7.1396600000000001</v>
      </c>
      <c r="N46" s="22">
        <v>0</v>
      </c>
      <c r="O46" s="22">
        <v>0</v>
      </c>
      <c r="P46" s="22">
        <f t="shared" si="4"/>
        <v>7.1396600000000001</v>
      </c>
      <c r="Q46" s="22">
        <f t="shared" si="5"/>
        <v>331.66966000000002</v>
      </c>
      <c r="R46" s="15"/>
    </row>
    <row r="47" spans="2:18" x14ac:dyDescent="0.25">
      <c r="B47" s="78">
        <f>MAX($B$8:B46)+1</f>
        <v>36</v>
      </c>
      <c r="C47" s="78" t="s">
        <v>56</v>
      </c>
      <c r="D47" s="23" t="s">
        <v>96</v>
      </c>
      <c r="E47" s="151" t="str">
        <f>'EP IS Restatements'!E47</f>
        <v>Travel, Education, CCR, and Public Relations</v>
      </c>
      <c r="F47" s="22">
        <f>'WWSCo IS Restatements'!M47</f>
        <v>19452.57</v>
      </c>
      <c r="G47" s="22">
        <v>0</v>
      </c>
      <c r="H47" s="22">
        <v>0</v>
      </c>
      <c r="I47" s="22">
        <v>0</v>
      </c>
      <c r="J47" s="22">
        <v>0</v>
      </c>
      <c r="K47" s="23"/>
      <c r="L47" s="22">
        <v>0</v>
      </c>
      <c r="M47" s="22">
        <f t="shared" si="6"/>
        <v>427.95653999999996</v>
      </c>
      <c r="N47" s="22">
        <v>0</v>
      </c>
      <c r="O47" s="22">
        <v>0</v>
      </c>
      <c r="P47" s="22">
        <f t="shared" si="4"/>
        <v>427.95653999999996</v>
      </c>
      <c r="Q47" s="22">
        <f t="shared" si="5"/>
        <v>19880.526539999999</v>
      </c>
      <c r="R47" s="15"/>
    </row>
    <row r="48" spans="2:18" x14ac:dyDescent="0.25">
      <c r="B48" s="78">
        <f>MAX($B$8:B47)+1</f>
        <v>37</v>
      </c>
      <c r="C48" s="78" t="s">
        <v>57</v>
      </c>
      <c r="D48" s="23" t="s">
        <v>97</v>
      </c>
      <c r="E48" s="151" t="str">
        <f>'EP IS Restatements'!E48</f>
        <v>Travel, Education, CCR, and Public Relations</v>
      </c>
      <c r="F48" s="22">
        <f>'WWSCo IS Restatements'!M48</f>
        <v>-150</v>
      </c>
      <c r="G48" s="22">
        <v>0</v>
      </c>
      <c r="H48" s="22">
        <v>0</v>
      </c>
      <c r="I48" s="22">
        <v>0</v>
      </c>
      <c r="J48" s="22">
        <v>0</v>
      </c>
      <c r="K48" s="23"/>
      <c r="L48" s="22">
        <v>0</v>
      </c>
      <c r="M48" s="22">
        <f t="shared" si="6"/>
        <v>-3.3</v>
      </c>
      <c r="N48" s="22">
        <v>0</v>
      </c>
      <c r="O48" s="22">
        <v>0</v>
      </c>
      <c r="P48" s="22">
        <f t="shared" si="4"/>
        <v>-3.3</v>
      </c>
      <c r="Q48" s="22">
        <f t="shared" si="5"/>
        <v>-153.30000000000001</v>
      </c>
      <c r="R48" s="15"/>
    </row>
    <row r="49" spans="2:18" x14ac:dyDescent="0.25">
      <c r="B49" s="78">
        <f>MAX($B$8:B48)+1</f>
        <v>38</v>
      </c>
      <c r="C49" s="78" t="s">
        <v>58</v>
      </c>
      <c r="D49" s="23" t="s">
        <v>98</v>
      </c>
      <c r="E49" s="151" t="str">
        <f>'EP IS Restatements'!E49</f>
        <v>Material &amp; Supplies</v>
      </c>
      <c r="F49" s="22">
        <f>'WWSCo IS Restatements'!M49</f>
        <v>623.80999999999995</v>
      </c>
      <c r="G49" s="22">
        <v>0</v>
      </c>
      <c r="H49" s="22">
        <v>0</v>
      </c>
      <c r="I49" s="22">
        <v>0</v>
      </c>
      <c r="J49" s="22">
        <v>0</v>
      </c>
      <c r="K49" s="23"/>
      <c r="L49" s="22">
        <v>0</v>
      </c>
      <c r="M49" s="22">
        <f t="shared" si="6"/>
        <v>13.723819999999998</v>
      </c>
      <c r="N49" s="22">
        <v>0</v>
      </c>
      <c r="O49" s="22">
        <v>0</v>
      </c>
      <c r="P49" s="22">
        <f t="shared" si="4"/>
        <v>13.723819999999998</v>
      </c>
      <c r="Q49" s="22">
        <f t="shared" si="5"/>
        <v>637.53381999999999</v>
      </c>
      <c r="R49" s="15"/>
    </row>
    <row r="50" spans="2:18" x14ac:dyDescent="0.25">
      <c r="B50" s="78">
        <f>MAX($B$8:B49)+1</f>
        <v>39</v>
      </c>
      <c r="C50" s="78" t="s">
        <v>59</v>
      </c>
      <c r="D50" s="23" t="s">
        <v>99</v>
      </c>
      <c r="E50" s="151" t="str">
        <f>'EP IS Restatements'!E50</f>
        <v>Insurance - Vehicle, General Liability, Workman's Comp.</v>
      </c>
      <c r="F50" s="22">
        <f>'WWSCo IS Restatements'!M50</f>
        <v>14803.939999999999</v>
      </c>
      <c r="G50" s="22">
        <v>0</v>
      </c>
      <c r="H50" s="22">
        <v>0</v>
      </c>
      <c r="I50" s="22">
        <v>0</v>
      </c>
      <c r="J50" s="22">
        <v>0</v>
      </c>
      <c r="K50" s="23"/>
      <c r="L50" s="22">
        <v>0</v>
      </c>
      <c r="M50" s="22">
        <f t="shared" si="6"/>
        <v>325.68667999999997</v>
      </c>
      <c r="N50" s="22">
        <v>0</v>
      </c>
      <c r="O50" s="22">
        <v>0</v>
      </c>
      <c r="P50" s="22">
        <f t="shared" si="4"/>
        <v>325.68667999999997</v>
      </c>
      <c r="Q50" s="22">
        <f t="shared" si="5"/>
        <v>15129.626679999999</v>
      </c>
      <c r="R50" s="15"/>
    </row>
    <row r="51" spans="2:18" x14ac:dyDescent="0.25">
      <c r="B51" s="78">
        <f>MAX($B$8:B50)+1</f>
        <v>40</v>
      </c>
      <c r="C51" s="78" t="s">
        <v>60</v>
      </c>
      <c r="D51" s="23" t="s">
        <v>100</v>
      </c>
      <c r="E51" s="151" t="str">
        <f>'EP IS Restatements'!E51</f>
        <v>Travel, Education, CCR, and Public Relations</v>
      </c>
      <c r="F51" s="22">
        <f>'WWSCo IS Restatements'!M51</f>
        <v>23021.590000000004</v>
      </c>
      <c r="G51" s="22">
        <v>0</v>
      </c>
      <c r="H51" s="22">
        <v>0</v>
      </c>
      <c r="I51" s="22">
        <v>0</v>
      </c>
      <c r="J51" s="22">
        <v>0</v>
      </c>
      <c r="K51" s="23"/>
      <c r="L51" s="22">
        <v>0</v>
      </c>
      <c r="M51" s="22">
        <f t="shared" si="6"/>
        <v>506.47498000000007</v>
      </c>
      <c r="N51" s="22">
        <v>0</v>
      </c>
      <c r="O51" s="22">
        <v>0</v>
      </c>
      <c r="P51" s="22">
        <f t="shared" si="4"/>
        <v>506.47498000000007</v>
      </c>
      <c r="Q51" s="22">
        <f t="shared" si="5"/>
        <v>23528.064980000003</v>
      </c>
      <c r="R51" s="15"/>
    </row>
    <row r="52" spans="2:18" x14ac:dyDescent="0.25">
      <c r="B52" s="78">
        <f>MAX($B$8:B51)+1</f>
        <v>41</v>
      </c>
      <c r="C52" s="78" t="s">
        <v>61</v>
      </c>
      <c r="D52" s="23" t="s">
        <v>101</v>
      </c>
      <c r="E52" s="151" t="str">
        <f>'EP IS Restatements'!E52</f>
        <v>Insurance - Vehicle, General Liability, Workman's Comp.</v>
      </c>
      <c r="F52" s="22">
        <f>'WWSCo IS Restatements'!M52</f>
        <v>43080.689999999995</v>
      </c>
      <c r="G52" s="22">
        <v>0</v>
      </c>
      <c r="H52" s="22">
        <v>0</v>
      </c>
      <c r="I52" s="22">
        <v>0</v>
      </c>
      <c r="J52" s="22">
        <v>0</v>
      </c>
      <c r="K52" s="23"/>
      <c r="L52" s="22">
        <v>0</v>
      </c>
      <c r="M52" s="22">
        <f t="shared" si="6"/>
        <v>947.77517999999986</v>
      </c>
      <c r="N52" s="22">
        <v>0</v>
      </c>
      <c r="O52" s="22">
        <v>0</v>
      </c>
      <c r="P52" s="22">
        <f t="shared" si="4"/>
        <v>947.77517999999986</v>
      </c>
      <c r="Q52" s="22">
        <f t="shared" si="5"/>
        <v>44028.465179999992</v>
      </c>
      <c r="R52" s="15"/>
    </row>
    <row r="53" spans="2:18" x14ac:dyDescent="0.25">
      <c r="B53" s="78">
        <f>MAX($B$8:B52)+1</f>
        <v>42</v>
      </c>
      <c r="C53" s="78" t="s">
        <v>62</v>
      </c>
      <c r="D53" s="23" t="s">
        <v>102</v>
      </c>
      <c r="E53" s="151" t="str">
        <f>'EP IS Restatements'!E53</f>
        <v>Salary and Wages - Employees</v>
      </c>
      <c r="F53" s="22">
        <f>'WWSCo IS Restatements'!M53</f>
        <v>-338546.07999999996</v>
      </c>
      <c r="G53" s="22">
        <v>0</v>
      </c>
      <c r="H53" s="22">
        <f>SUM(F53:F53)*0.032</f>
        <v>-10833.474559999999</v>
      </c>
      <c r="I53" s="22">
        <v>0</v>
      </c>
      <c r="J53" s="22">
        <v>0</v>
      </c>
      <c r="K53" s="23"/>
      <c r="L53" s="22">
        <v>0</v>
      </c>
      <c r="M53" s="22">
        <f>IF(SUM(H53:K53)=0,SUM(F53:K53)*0.022,0)</f>
        <v>0</v>
      </c>
      <c r="N53" s="22">
        <v>0</v>
      </c>
      <c r="O53" s="22">
        <v>0</v>
      </c>
      <c r="P53" s="22">
        <f t="shared" si="4"/>
        <v>-10833.474559999999</v>
      </c>
      <c r="Q53" s="22">
        <f t="shared" si="5"/>
        <v>-349379.55455999996</v>
      </c>
      <c r="R53" s="15"/>
    </row>
    <row r="54" spans="2:18" x14ac:dyDescent="0.25">
      <c r="B54" s="78">
        <f>MAX($B$8:B53)+1</f>
        <v>43</v>
      </c>
      <c r="C54" s="78" t="s">
        <v>63</v>
      </c>
      <c r="D54" s="23" t="s">
        <v>103</v>
      </c>
      <c r="E54" s="151" t="str">
        <f>'EP IS Restatements'!E54</f>
        <v>Employee Pensions and Benefits</v>
      </c>
      <c r="F54" s="22">
        <f>'WWSCo IS Restatements'!M54</f>
        <v>244408.5</v>
      </c>
      <c r="G54" s="22">
        <v>0</v>
      </c>
      <c r="H54" s="22">
        <f t="shared" ref="H54:H59" si="7">SUM(F54:F54)*0.032</f>
        <v>7821.0720000000001</v>
      </c>
      <c r="I54" s="22">
        <v>0</v>
      </c>
      <c r="J54" s="22">
        <v>0</v>
      </c>
      <c r="K54" s="23"/>
      <c r="L54" s="22">
        <v>0</v>
      </c>
      <c r="M54" s="22">
        <f t="shared" si="6"/>
        <v>0</v>
      </c>
      <c r="N54" s="22">
        <v>0</v>
      </c>
      <c r="O54" s="22">
        <v>0</v>
      </c>
      <c r="P54" s="22">
        <f t="shared" si="4"/>
        <v>7821.0720000000001</v>
      </c>
      <c r="Q54" s="22">
        <f t="shared" si="5"/>
        <v>252229.57199999999</v>
      </c>
      <c r="R54" s="15"/>
    </row>
    <row r="55" spans="2:18" x14ac:dyDescent="0.25">
      <c r="B55" s="78">
        <f>MAX($B$8:B54)+1</f>
        <v>44</v>
      </c>
      <c r="C55" s="78" t="s">
        <v>64</v>
      </c>
      <c r="D55" s="23" t="s">
        <v>104</v>
      </c>
      <c r="E55" s="151" t="str">
        <f>'EP IS Restatements'!E55</f>
        <v>Employee Pensions and Benefits</v>
      </c>
      <c r="F55" s="22">
        <f>'WWSCo IS Restatements'!M55</f>
        <v>1547000.04</v>
      </c>
      <c r="G55" s="22">
        <v>0</v>
      </c>
      <c r="H55" s="22">
        <f t="shared" si="7"/>
        <v>49504.001280000004</v>
      </c>
      <c r="I55" s="22">
        <v>0</v>
      </c>
      <c r="J55" s="22">
        <v>0</v>
      </c>
      <c r="K55" s="23"/>
      <c r="L55" s="22">
        <v>0</v>
      </c>
      <c r="M55" s="22">
        <f t="shared" si="6"/>
        <v>0</v>
      </c>
      <c r="N55" s="22">
        <v>0</v>
      </c>
      <c r="O55" s="22">
        <v>0</v>
      </c>
      <c r="P55" s="22">
        <f t="shared" si="4"/>
        <v>49504.001280000004</v>
      </c>
      <c r="Q55" s="22">
        <f t="shared" si="5"/>
        <v>1596504.04128</v>
      </c>
      <c r="R55" s="15"/>
    </row>
    <row r="56" spans="2:18" x14ac:dyDescent="0.25">
      <c r="B56" s="78">
        <f>MAX($B$8:B55)+1</f>
        <v>45</v>
      </c>
      <c r="C56" s="78" t="s">
        <v>65</v>
      </c>
      <c r="D56" s="23" t="s">
        <v>105</v>
      </c>
      <c r="E56" s="151" t="str">
        <f>'EP IS Restatements'!E56</f>
        <v>Employee Pensions and Benefits</v>
      </c>
      <c r="F56" s="22">
        <f>'WWSCo IS Restatements'!M56</f>
        <v>1204643.67</v>
      </c>
      <c r="G56" s="22">
        <v>0</v>
      </c>
      <c r="H56" s="22">
        <f t="shared" si="7"/>
        <v>38548.597439999998</v>
      </c>
      <c r="I56" s="22">
        <v>0</v>
      </c>
      <c r="J56" s="22">
        <v>0</v>
      </c>
      <c r="K56" s="23"/>
      <c r="L56" s="22">
        <v>0</v>
      </c>
      <c r="M56" s="22">
        <f t="shared" si="6"/>
        <v>0</v>
      </c>
      <c r="N56" s="22">
        <v>0</v>
      </c>
      <c r="O56" s="22">
        <v>0</v>
      </c>
      <c r="P56" s="22">
        <f t="shared" si="4"/>
        <v>38548.597439999998</v>
      </c>
      <c r="Q56" s="22">
        <f t="shared" si="5"/>
        <v>1243192.2674399999</v>
      </c>
      <c r="R56" s="15"/>
    </row>
    <row r="57" spans="2:18" x14ac:dyDescent="0.25">
      <c r="B57" s="78">
        <f>MAX($B$8:B56)+1</f>
        <v>46</v>
      </c>
      <c r="C57" s="78" t="s">
        <v>66</v>
      </c>
      <c r="D57" s="23" t="s">
        <v>106</v>
      </c>
      <c r="E57" s="151" t="str">
        <f>'EP IS Restatements'!E57</f>
        <v>Employee Pensions and Benefits</v>
      </c>
      <c r="F57" s="22">
        <f>'WWSCo IS Restatements'!M57</f>
        <v>605000.04</v>
      </c>
      <c r="G57" s="22">
        <v>0</v>
      </c>
      <c r="H57" s="22">
        <f t="shared" si="7"/>
        <v>19360.00128</v>
      </c>
      <c r="I57" s="22">
        <v>0</v>
      </c>
      <c r="J57" s="22">
        <v>0</v>
      </c>
      <c r="K57" s="23"/>
      <c r="L57" s="22">
        <v>0</v>
      </c>
      <c r="M57" s="22">
        <f t="shared" si="6"/>
        <v>0</v>
      </c>
      <c r="N57" s="22">
        <v>0</v>
      </c>
      <c r="O57" s="22">
        <v>0</v>
      </c>
      <c r="P57" s="22">
        <f t="shared" si="4"/>
        <v>19360.00128</v>
      </c>
      <c r="Q57" s="22">
        <f t="shared" si="5"/>
        <v>624360.04128</v>
      </c>
      <c r="R57" s="15"/>
    </row>
    <row r="58" spans="2:18" x14ac:dyDescent="0.25">
      <c r="B58" s="78">
        <f>MAX($B$8:B57)+1</f>
        <v>47</v>
      </c>
      <c r="C58" s="78" t="s">
        <v>67</v>
      </c>
      <c r="D58" s="23" t="s">
        <v>107</v>
      </c>
      <c r="E58" s="151" t="str">
        <f>'EP IS Restatements'!E58</f>
        <v>Employee Pensions and Benefits</v>
      </c>
      <c r="F58" s="22">
        <f>'WWSCo IS Restatements'!M58</f>
        <v>24251.46</v>
      </c>
      <c r="G58" s="22">
        <v>0</v>
      </c>
      <c r="H58" s="22">
        <f t="shared" si="7"/>
        <v>776.04671999999994</v>
      </c>
      <c r="I58" s="22">
        <v>0</v>
      </c>
      <c r="J58" s="22">
        <v>0</v>
      </c>
      <c r="K58" s="23"/>
      <c r="L58" s="22">
        <v>0</v>
      </c>
      <c r="M58" s="22">
        <f t="shared" si="6"/>
        <v>0</v>
      </c>
      <c r="N58" s="22">
        <v>0</v>
      </c>
      <c r="O58" s="22">
        <v>0</v>
      </c>
      <c r="P58" s="22">
        <f t="shared" si="4"/>
        <v>776.04671999999994</v>
      </c>
      <c r="Q58" s="22">
        <f t="shared" si="5"/>
        <v>25027.506719999998</v>
      </c>
      <c r="R58" s="15"/>
    </row>
    <row r="59" spans="2:18" x14ac:dyDescent="0.25">
      <c r="B59" s="78">
        <f>MAX($B$8:B58)+1</f>
        <v>48</v>
      </c>
      <c r="C59" s="78" t="s">
        <v>68</v>
      </c>
      <c r="D59" s="23" t="s">
        <v>108</v>
      </c>
      <c r="E59" s="151" t="str">
        <f>'EP IS Restatements'!E59</f>
        <v>Employee Pensions and Benefits</v>
      </c>
      <c r="F59" s="22">
        <f>'WWSCo IS Restatements'!M59</f>
        <v>-1789346.4899999998</v>
      </c>
      <c r="G59" s="22">
        <v>0</v>
      </c>
      <c r="H59" s="22">
        <f t="shared" si="7"/>
        <v>-57259.087679999997</v>
      </c>
      <c r="I59" s="22">
        <f>'WP PF6'!M33</f>
        <v>147494.46295899304</v>
      </c>
      <c r="J59" s="22">
        <v>0</v>
      </c>
      <c r="K59" s="23"/>
      <c r="L59" s="22">
        <v>0</v>
      </c>
      <c r="M59" s="22">
        <f t="shared" si="6"/>
        <v>0</v>
      </c>
      <c r="N59" s="22">
        <v>0</v>
      </c>
      <c r="O59" s="22">
        <v>0</v>
      </c>
      <c r="P59" s="22">
        <f t="shared" si="4"/>
        <v>90235.375278993044</v>
      </c>
      <c r="Q59" s="22">
        <f t="shared" si="5"/>
        <v>-1699111.1147210067</v>
      </c>
      <c r="R59" s="15"/>
    </row>
    <row r="60" spans="2:18" x14ac:dyDescent="0.25">
      <c r="B60" s="78">
        <f>MAX($B$8:B59)+1</f>
        <v>49</v>
      </c>
      <c r="C60" s="78" t="s">
        <v>69</v>
      </c>
      <c r="D60" s="23" t="s">
        <v>109</v>
      </c>
      <c r="E60" s="151" t="str">
        <f>'EP IS Restatements'!E60</f>
        <v>Salary and Wages - Employees</v>
      </c>
      <c r="F60" s="22">
        <f>'WWSCo IS Restatements'!M60</f>
        <v>155499.24</v>
      </c>
      <c r="G60" s="22">
        <v>0</v>
      </c>
      <c r="H60" s="23"/>
      <c r="I60" s="22">
        <v>0</v>
      </c>
      <c r="J60" s="22">
        <v>0</v>
      </c>
      <c r="K60" s="23"/>
      <c r="L60" s="22">
        <v>0</v>
      </c>
      <c r="M60" s="22">
        <f t="shared" si="6"/>
        <v>3420.9832799999995</v>
      </c>
      <c r="N60" s="22">
        <v>0</v>
      </c>
      <c r="O60" s="22">
        <v>0</v>
      </c>
      <c r="P60" s="22">
        <f t="shared" si="4"/>
        <v>3420.9832799999995</v>
      </c>
      <c r="Q60" s="22">
        <f t="shared" si="5"/>
        <v>158920.22327999998</v>
      </c>
      <c r="R60" s="15"/>
    </row>
    <row r="61" spans="2:18" x14ac:dyDescent="0.25">
      <c r="B61" s="78">
        <f>MAX($B$8:B60)+1</f>
        <v>50</v>
      </c>
      <c r="C61" s="78" t="s">
        <v>70</v>
      </c>
      <c r="D61" s="23" t="s">
        <v>110</v>
      </c>
      <c r="E61" s="151" t="str">
        <f>'EP IS Restatements'!E61</f>
        <v>Salary and Wages - Employees</v>
      </c>
      <c r="F61" s="22">
        <f>'WWSCo IS Restatements'!M61</f>
        <v>530411.42000000004</v>
      </c>
      <c r="G61" s="22">
        <v>0</v>
      </c>
      <c r="H61" s="23"/>
      <c r="I61" s="22">
        <v>0</v>
      </c>
      <c r="J61" s="22">
        <v>0</v>
      </c>
      <c r="K61" s="23"/>
      <c r="L61" s="22">
        <v>0</v>
      </c>
      <c r="M61" s="22">
        <f t="shared" si="6"/>
        <v>11669.051240000001</v>
      </c>
      <c r="N61" s="22">
        <v>0</v>
      </c>
      <c r="O61" s="22">
        <v>0</v>
      </c>
      <c r="P61" s="22">
        <f t="shared" si="4"/>
        <v>11669.051240000001</v>
      </c>
      <c r="Q61" s="22">
        <f t="shared" si="5"/>
        <v>542080.4712400001</v>
      </c>
      <c r="R61" s="15"/>
    </row>
    <row r="62" spans="2:18" x14ac:dyDescent="0.25">
      <c r="B62" s="78">
        <f>MAX($B$8:B61)+1</f>
        <v>51</v>
      </c>
      <c r="C62" s="78" t="s">
        <v>71</v>
      </c>
      <c r="D62" s="23" t="s">
        <v>111</v>
      </c>
      <c r="E62" s="151" t="str">
        <f>'EP IS Restatements'!E62</f>
        <v>Regulatory Commission Expenses - Fees</v>
      </c>
      <c r="F62" s="22">
        <f>'WWSCo IS Restatements'!M62</f>
        <v>44364.97</v>
      </c>
      <c r="G62" s="22">
        <v>0</v>
      </c>
      <c r="H62" s="23"/>
      <c r="I62" s="22">
        <v>0</v>
      </c>
      <c r="J62" s="22">
        <v>0</v>
      </c>
      <c r="K62" s="23"/>
      <c r="L62" s="22">
        <v>0</v>
      </c>
      <c r="M62" s="22"/>
      <c r="N62" s="22">
        <v>0</v>
      </c>
      <c r="O62" s="22">
        <v>0</v>
      </c>
      <c r="P62" s="22">
        <f t="shared" si="4"/>
        <v>0</v>
      </c>
      <c r="Q62" s="22">
        <f t="shared" si="5"/>
        <v>44364.97</v>
      </c>
      <c r="R62" s="15"/>
    </row>
    <row r="63" spans="2:18" x14ac:dyDescent="0.25">
      <c r="B63" s="78">
        <f>MAX($B$8:B62)+1</f>
        <v>52</v>
      </c>
      <c r="C63" s="78" t="s">
        <v>71</v>
      </c>
      <c r="D63" s="23" t="s">
        <v>530</v>
      </c>
      <c r="E63" s="151" t="str">
        <f>'EP IS Restatements'!E63</f>
        <v>Regulatory Commission Expenses - Fees</v>
      </c>
      <c r="F63" s="22">
        <f>'WWSCo IS Restatements'!M63</f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/>
      <c r="M63" s="22">
        <v>0</v>
      </c>
      <c r="N63" s="22">
        <v>0</v>
      </c>
      <c r="O63" s="22">
        <f>'WP PF12'!D16</f>
        <v>18902.166666666668</v>
      </c>
      <c r="P63" s="22">
        <f t="shared" si="4"/>
        <v>18902.166666666668</v>
      </c>
      <c r="Q63" s="22">
        <f t="shared" si="5"/>
        <v>18902.166666666668</v>
      </c>
      <c r="R63" s="15"/>
    </row>
    <row r="64" spans="2:18" x14ac:dyDescent="0.25">
      <c r="B64" s="78">
        <f>MAX($B$8:B62)+1</f>
        <v>52</v>
      </c>
      <c r="C64" s="78" t="s">
        <v>72</v>
      </c>
      <c r="D64" s="23" t="s">
        <v>112</v>
      </c>
      <c r="E64" s="151" t="str">
        <f>'EP IS Restatements'!E64</f>
        <v>Contractual Legal</v>
      </c>
      <c r="F64" s="22">
        <f>'WWSCo IS Restatements'!M64</f>
        <v>7108.6</v>
      </c>
      <c r="G64" s="22">
        <v>0</v>
      </c>
      <c r="H64" s="23"/>
      <c r="I64" s="22">
        <v>0</v>
      </c>
      <c r="J64" s="22">
        <v>0</v>
      </c>
      <c r="K64" s="23"/>
      <c r="L64" s="22">
        <v>0</v>
      </c>
      <c r="M64" s="22">
        <f t="shared" si="6"/>
        <v>156.38919999999999</v>
      </c>
      <c r="N64" s="22">
        <v>0</v>
      </c>
      <c r="O64" s="22">
        <v>0</v>
      </c>
      <c r="P64" s="22">
        <f t="shared" si="4"/>
        <v>156.38919999999999</v>
      </c>
      <c r="Q64" s="22">
        <f t="shared" si="5"/>
        <v>7264.9892</v>
      </c>
      <c r="R64" s="15"/>
    </row>
    <row r="65" spans="2:18" x14ac:dyDescent="0.25">
      <c r="B65" s="78">
        <f>MAX($B$8:B64)+1</f>
        <v>53</v>
      </c>
      <c r="C65" s="78" t="s">
        <v>73</v>
      </c>
      <c r="D65" s="23" t="s">
        <v>113</v>
      </c>
      <c r="E65" s="151" t="str">
        <f>'EP IS Restatements'!E65</f>
        <v>Contractual Operations</v>
      </c>
      <c r="F65" s="22">
        <f>'WWSCo IS Restatements'!M65</f>
        <v>4600</v>
      </c>
      <c r="G65" s="22">
        <v>0</v>
      </c>
      <c r="H65" s="23"/>
      <c r="I65" s="22">
        <v>0</v>
      </c>
      <c r="J65" s="22">
        <v>0</v>
      </c>
      <c r="K65" s="23"/>
      <c r="L65" s="22">
        <v>0</v>
      </c>
      <c r="M65" s="22">
        <f t="shared" si="6"/>
        <v>101.19999999999999</v>
      </c>
      <c r="N65" s="22">
        <v>0</v>
      </c>
      <c r="O65" s="22">
        <v>0</v>
      </c>
      <c r="P65" s="22">
        <f t="shared" si="4"/>
        <v>101.19999999999999</v>
      </c>
      <c r="Q65" s="22">
        <f t="shared" ref="Q65:Q96" si="8">F65+P65</f>
        <v>4701.2</v>
      </c>
      <c r="R65" s="15"/>
    </row>
    <row r="66" spans="2:18" x14ac:dyDescent="0.25">
      <c r="B66" s="78">
        <f>MAX($B$8:B65)+1</f>
        <v>54</v>
      </c>
      <c r="C66" s="78" t="s">
        <v>74</v>
      </c>
      <c r="D66" s="23" t="s">
        <v>114</v>
      </c>
      <c r="E66" s="151" t="str">
        <f>'EP IS Restatements'!E66</f>
        <v>Travel, Education, CCR, and Public Relations</v>
      </c>
      <c r="F66" s="22">
        <f>'WWSCo IS Restatements'!M66</f>
        <v>14468.06</v>
      </c>
      <c r="G66" s="22">
        <v>0</v>
      </c>
      <c r="H66" s="23"/>
      <c r="I66" s="22">
        <v>0</v>
      </c>
      <c r="J66" s="22">
        <v>0</v>
      </c>
      <c r="K66" s="23"/>
      <c r="L66" s="22">
        <v>0</v>
      </c>
      <c r="M66" s="22">
        <f t="shared" si="6"/>
        <v>318.29731999999996</v>
      </c>
      <c r="N66" s="22">
        <v>0</v>
      </c>
      <c r="O66" s="22">
        <v>0</v>
      </c>
      <c r="P66" s="22">
        <f t="shared" si="4"/>
        <v>318.29731999999996</v>
      </c>
      <c r="Q66" s="22">
        <f t="shared" si="8"/>
        <v>14786.357319999999</v>
      </c>
      <c r="R66" s="15"/>
    </row>
    <row r="67" spans="2:18" x14ac:dyDescent="0.25">
      <c r="B67" s="78">
        <f>MAX($B$8:B66)+1</f>
        <v>55</v>
      </c>
      <c r="C67" s="78" t="s">
        <v>75</v>
      </c>
      <c r="D67" s="23" t="s">
        <v>115</v>
      </c>
      <c r="E67" s="151" t="str">
        <f>'EP IS Restatements'!E67</f>
        <v>Travel, Education, CCR, and Public Relations</v>
      </c>
      <c r="F67" s="22">
        <f>'WWSCo IS Restatements'!M67</f>
        <v>110</v>
      </c>
      <c r="G67" s="22">
        <v>0</v>
      </c>
      <c r="H67" s="23"/>
      <c r="I67" s="22">
        <v>0</v>
      </c>
      <c r="J67" s="22">
        <v>0</v>
      </c>
      <c r="K67" s="23"/>
      <c r="L67" s="22">
        <v>0</v>
      </c>
      <c r="M67" s="22">
        <f t="shared" si="6"/>
        <v>2.42</v>
      </c>
      <c r="N67" s="22">
        <v>0</v>
      </c>
      <c r="O67" s="22">
        <v>0</v>
      </c>
      <c r="P67" s="22">
        <f t="shared" si="4"/>
        <v>2.42</v>
      </c>
      <c r="Q67" s="22">
        <f t="shared" si="8"/>
        <v>112.42</v>
      </c>
      <c r="R67" s="15"/>
    </row>
    <row r="68" spans="2:18" x14ac:dyDescent="0.25">
      <c r="B68" s="78">
        <f>MAX($B$8:B67)+1</f>
        <v>56</v>
      </c>
      <c r="C68" s="78" t="s">
        <v>76</v>
      </c>
      <c r="D68" s="23" t="s">
        <v>116</v>
      </c>
      <c r="E68" s="151" t="str">
        <f>'EP IS Restatements'!E68</f>
        <v>Office, Postage, Phone, and Bank Charges</v>
      </c>
      <c r="F68" s="22">
        <f>'WWSCo IS Restatements'!M68</f>
        <v>6067.07</v>
      </c>
      <c r="G68" s="22">
        <v>0</v>
      </c>
      <c r="H68" s="23"/>
      <c r="I68" s="22">
        <v>0</v>
      </c>
      <c r="J68" s="22">
        <v>0</v>
      </c>
      <c r="K68" s="23"/>
      <c r="L68" s="22">
        <v>0</v>
      </c>
      <c r="M68" s="22">
        <f t="shared" si="6"/>
        <v>133.47554</v>
      </c>
      <c r="N68" s="22">
        <v>0</v>
      </c>
      <c r="O68" s="22">
        <v>0</v>
      </c>
      <c r="P68" s="22">
        <f t="shared" si="4"/>
        <v>133.47554</v>
      </c>
      <c r="Q68" s="22">
        <f t="shared" si="8"/>
        <v>6200.5455400000001</v>
      </c>
      <c r="R68" s="15"/>
    </row>
    <row r="69" spans="2:18" x14ac:dyDescent="0.25">
      <c r="B69" s="78">
        <f>MAX($B$8:B68)+1</f>
        <v>57</v>
      </c>
      <c r="C69" s="78" t="s">
        <v>77</v>
      </c>
      <c r="D69" s="23" t="s">
        <v>117</v>
      </c>
      <c r="E69" s="151" t="str">
        <f>'EP IS Restatements'!E69</f>
        <v>Salary and Wages - Employees</v>
      </c>
      <c r="F69" s="22">
        <f>'WWSCo IS Restatements'!M69</f>
        <v>22122</v>
      </c>
      <c r="G69" s="22">
        <v>0</v>
      </c>
      <c r="H69" s="22">
        <f>SUM(F69:F69)*0.032</f>
        <v>707.904</v>
      </c>
      <c r="I69" s="22">
        <v>0</v>
      </c>
      <c r="J69" s="22">
        <v>0</v>
      </c>
      <c r="K69" s="23"/>
      <c r="L69" s="22">
        <v>0</v>
      </c>
      <c r="M69" s="22">
        <f t="shared" si="6"/>
        <v>0</v>
      </c>
      <c r="N69" s="22">
        <v>0</v>
      </c>
      <c r="O69" s="22">
        <v>0</v>
      </c>
      <c r="P69" s="22">
        <f t="shared" si="4"/>
        <v>707.904</v>
      </c>
      <c r="Q69" s="22">
        <f t="shared" si="8"/>
        <v>22829.903999999999</v>
      </c>
      <c r="R69" s="15"/>
    </row>
    <row r="70" spans="2:18" x14ac:dyDescent="0.25">
      <c r="B70" s="78">
        <f>MAX($B$8:B69)+1</f>
        <v>58</v>
      </c>
      <c r="C70" s="78" t="s">
        <v>78</v>
      </c>
      <c r="D70" s="23" t="s">
        <v>118</v>
      </c>
      <c r="E70" s="151" t="str">
        <f>'EP IS Restatements'!E70</f>
        <v>Employee Pensions and Benefits</v>
      </c>
      <c r="F70" s="22">
        <f>'WWSCo IS Restatements'!M70</f>
        <v>3085.91</v>
      </c>
      <c r="G70" s="22">
        <v>0</v>
      </c>
      <c r="H70" s="22">
        <f>SUM(F70:F70)*0.032</f>
        <v>98.749119999999991</v>
      </c>
      <c r="I70" s="22">
        <v>0</v>
      </c>
      <c r="J70" s="22">
        <v>0</v>
      </c>
      <c r="K70" s="23"/>
      <c r="L70" s="22">
        <v>0</v>
      </c>
      <c r="M70" s="22">
        <f t="shared" si="6"/>
        <v>0</v>
      </c>
      <c r="N70" s="22">
        <v>0</v>
      </c>
      <c r="O70" s="22">
        <v>0</v>
      </c>
      <c r="P70" s="22">
        <f t="shared" si="4"/>
        <v>98.749119999999991</v>
      </c>
      <c r="Q70" s="22">
        <f t="shared" si="8"/>
        <v>3184.6591199999998</v>
      </c>
      <c r="R70" s="15"/>
    </row>
    <row r="71" spans="2:18" x14ac:dyDescent="0.25">
      <c r="B71" s="78">
        <f>MAX($B$8:B70)+1</f>
        <v>59</v>
      </c>
      <c r="C71" s="78" t="s">
        <v>79</v>
      </c>
      <c r="D71" s="23" t="s">
        <v>119</v>
      </c>
      <c r="E71" s="151" t="str">
        <f>'EP IS Restatements'!E71</f>
        <v>Office, Postage, Phone, and Bank Charges</v>
      </c>
      <c r="F71" s="22">
        <f>'WWSCo IS Restatements'!M71</f>
        <v>12107.630000000001</v>
      </c>
      <c r="G71" s="22">
        <v>0</v>
      </c>
      <c r="H71" s="23"/>
      <c r="I71" s="22">
        <v>0</v>
      </c>
      <c r="J71" s="22">
        <v>0</v>
      </c>
      <c r="K71" s="23"/>
      <c r="L71" s="22">
        <v>0</v>
      </c>
      <c r="M71" s="22">
        <f t="shared" si="6"/>
        <v>266.36786000000001</v>
      </c>
      <c r="N71" s="22">
        <v>0</v>
      </c>
      <c r="O71" s="22">
        <v>0</v>
      </c>
      <c r="P71" s="22">
        <f t="shared" si="4"/>
        <v>266.36786000000001</v>
      </c>
      <c r="Q71" s="22">
        <f t="shared" si="8"/>
        <v>12373.997860000001</v>
      </c>
      <c r="R71" s="15"/>
    </row>
    <row r="72" spans="2:18" x14ac:dyDescent="0.25">
      <c r="B72" s="78">
        <f>MAX($B$8:B71)+1</f>
        <v>60</v>
      </c>
      <c r="C72" s="78" t="s">
        <v>80</v>
      </c>
      <c r="D72" s="23" t="s">
        <v>120</v>
      </c>
      <c r="E72" s="151" t="str">
        <f>'EP IS Restatements'!E72</f>
        <v>Material &amp; Supplies</v>
      </c>
      <c r="F72" s="22">
        <f>'WWSCo IS Restatements'!M72</f>
        <v>6128.79</v>
      </c>
      <c r="G72" s="22">
        <v>0</v>
      </c>
      <c r="H72" s="23"/>
      <c r="I72" s="22">
        <v>0</v>
      </c>
      <c r="J72" s="22">
        <v>0</v>
      </c>
      <c r="K72" s="23"/>
      <c r="L72" s="22">
        <v>0</v>
      </c>
      <c r="M72" s="22">
        <f t="shared" si="6"/>
        <v>134.83338000000001</v>
      </c>
      <c r="N72" s="22">
        <v>0</v>
      </c>
      <c r="O72" s="22">
        <v>0</v>
      </c>
      <c r="P72" s="22">
        <f t="shared" si="4"/>
        <v>134.83338000000001</v>
      </c>
      <c r="Q72" s="22">
        <f t="shared" si="8"/>
        <v>6263.62338</v>
      </c>
      <c r="R72" s="15"/>
    </row>
    <row r="73" spans="2:18" x14ac:dyDescent="0.25">
      <c r="B73" s="78">
        <f>MAX($B$8:B72)+1</f>
        <v>61</v>
      </c>
      <c r="C73" s="78" t="s">
        <v>81</v>
      </c>
      <c r="D73" s="23" t="s">
        <v>121</v>
      </c>
      <c r="E73" s="151" t="str">
        <f>'EP IS Restatements'!E73</f>
        <v>Miscellaneous</v>
      </c>
      <c r="F73" s="22">
        <f>'WWSCo IS Restatements'!M73</f>
        <v>-443533.78</v>
      </c>
      <c r="G73" s="22">
        <f>'WP PF4'!$M$23</f>
        <v>-328393.89166666666</v>
      </c>
      <c r="H73" s="23"/>
      <c r="I73" s="22">
        <v>0</v>
      </c>
      <c r="J73" s="22">
        <v>0</v>
      </c>
      <c r="K73" s="23"/>
      <c r="L73" s="22">
        <v>0</v>
      </c>
      <c r="M73" s="22">
        <f t="shared" si="6"/>
        <v>-16982.408776666663</v>
      </c>
      <c r="N73" s="22">
        <v>0</v>
      </c>
      <c r="O73" s="22">
        <v>0</v>
      </c>
      <c r="P73" s="22">
        <f t="shared" si="4"/>
        <v>-345376.30044333334</v>
      </c>
      <c r="Q73" s="22">
        <f t="shared" si="8"/>
        <v>-788910.08044333337</v>
      </c>
      <c r="R73" s="15"/>
    </row>
    <row r="74" spans="2:18" x14ac:dyDescent="0.25">
      <c r="B74" s="78">
        <f>MAX($B$8:B73)+1</f>
        <v>62</v>
      </c>
      <c r="C74" s="78" t="s">
        <v>124</v>
      </c>
      <c r="D74" s="23" t="s">
        <v>122</v>
      </c>
      <c r="E74" s="151" t="str">
        <f>'EP IS Restatements'!E74</f>
        <v>Miscellaneous</v>
      </c>
      <c r="F74" s="22">
        <f>'WWSCo IS Restatements'!M74</f>
        <v>623047.26</v>
      </c>
      <c r="G74" s="22">
        <f>'WP PF4'!$M$18</f>
        <v>-143489.33333333334</v>
      </c>
      <c r="H74" s="23"/>
      <c r="I74" s="22">
        <v>0</v>
      </c>
      <c r="J74" s="22">
        <f ca="1">'WP PF7'!H57</f>
        <v>-18397.683497290313</v>
      </c>
      <c r="K74" s="23"/>
      <c r="L74" s="22">
        <v>0</v>
      </c>
      <c r="M74" s="22">
        <f t="shared" ca="1" si="6"/>
        <v>0</v>
      </c>
      <c r="N74" s="22">
        <v>0</v>
      </c>
      <c r="O74" s="22">
        <v>0</v>
      </c>
      <c r="P74" s="22">
        <f t="shared" ca="1" si="4"/>
        <v>-161887.01683062364</v>
      </c>
      <c r="Q74" s="22">
        <f t="shared" ca="1" si="8"/>
        <v>461160.24316937639</v>
      </c>
      <c r="R74" s="15"/>
    </row>
    <row r="75" spans="2:18" x14ac:dyDescent="0.25">
      <c r="B75" s="78">
        <f>MAX($B$8:B74)+1</f>
        <v>63</v>
      </c>
      <c r="C75" s="78" t="s">
        <v>125</v>
      </c>
      <c r="D75" s="23" t="s">
        <v>123</v>
      </c>
      <c r="E75" s="151"/>
      <c r="F75" s="22">
        <f>'WWSCo IS Restatements'!M75</f>
        <v>0</v>
      </c>
      <c r="G75" s="22">
        <v>0</v>
      </c>
      <c r="H75" s="23"/>
      <c r="I75" s="22">
        <v>0</v>
      </c>
      <c r="J75" s="22">
        <v>0</v>
      </c>
      <c r="K75" s="23"/>
      <c r="L75" s="22">
        <v>0</v>
      </c>
      <c r="M75" s="22">
        <f t="shared" si="6"/>
        <v>0</v>
      </c>
      <c r="N75" s="22">
        <v>0</v>
      </c>
      <c r="O75" s="22">
        <v>0</v>
      </c>
      <c r="P75" s="22">
        <f t="shared" si="4"/>
        <v>0</v>
      </c>
      <c r="Q75" s="22">
        <f t="shared" si="8"/>
        <v>0</v>
      </c>
      <c r="R75" s="15"/>
    </row>
    <row r="76" spans="2:18" x14ac:dyDescent="0.25">
      <c r="B76" s="78">
        <f>MAX($B$8:B75)+1</f>
        <v>64</v>
      </c>
      <c r="C76" s="78" t="s">
        <v>126</v>
      </c>
      <c r="D76" s="23" t="s">
        <v>179</v>
      </c>
      <c r="E76" s="151" t="str">
        <f>'EP IS Restatements'!E76</f>
        <v>Salary and Wages - Employees</v>
      </c>
      <c r="F76" s="22">
        <f>'WWSCo IS Restatements'!M76</f>
        <v>415463.76999999996</v>
      </c>
      <c r="G76" s="22">
        <v>0</v>
      </c>
      <c r="H76" s="22">
        <f>SUM(F76:F76)*0.032</f>
        <v>13294.840639999999</v>
      </c>
      <c r="I76" s="22">
        <v>0</v>
      </c>
      <c r="J76" s="22">
        <v>0</v>
      </c>
      <c r="K76" s="23"/>
      <c r="L76" s="22">
        <v>0</v>
      </c>
      <c r="M76" s="22">
        <f t="shared" si="6"/>
        <v>0</v>
      </c>
      <c r="N76" s="22">
        <v>0</v>
      </c>
      <c r="O76" s="22">
        <v>0</v>
      </c>
      <c r="P76" s="22">
        <f t="shared" si="4"/>
        <v>13294.840639999999</v>
      </c>
      <c r="Q76" s="22">
        <f t="shared" si="8"/>
        <v>428758.61063999997</v>
      </c>
      <c r="R76" s="15"/>
    </row>
    <row r="77" spans="2:18" x14ac:dyDescent="0.25">
      <c r="B77" s="78">
        <f>MAX($B$8:B76)+1</f>
        <v>65</v>
      </c>
      <c r="C77" s="78" t="s">
        <v>127</v>
      </c>
      <c r="D77" s="23" t="s">
        <v>180</v>
      </c>
      <c r="E77" s="151" t="str">
        <f>'EP IS Restatements'!E77</f>
        <v>Material &amp; Supplies</v>
      </c>
      <c r="F77" s="22">
        <f>'WWSCo IS Restatements'!M77</f>
        <v>4361.6400000000003</v>
      </c>
      <c r="G77" s="22">
        <v>0</v>
      </c>
      <c r="H77" s="23"/>
      <c r="I77" s="22">
        <v>0</v>
      </c>
      <c r="J77" s="22">
        <v>0</v>
      </c>
      <c r="K77" s="23"/>
      <c r="L77" s="22">
        <v>0</v>
      </c>
      <c r="M77" s="22">
        <f t="shared" si="6"/>
        <v>95.95608</v>
      </c>
      <c r="N77" s="22">
        <v>0</v>
      </c>
      <c r="O77" s="22">
        <v>0</v>
      </c>
      <c r="P77" s="22">
        <f t="shared" si="4"/>
        <v>95.95608</v>
      </c>
      <c r="Q77" s="22">
        <f t="shared" si="8"/>
        <v>4457.5960800000003</v>
      </c>
      <c r="R77" s="15"/>
    </row>
    <row r="78" spans="2:18" x14ac:dyDescent="0.25">
      <c r="B78" s="78">
        <f>MAX($B$8:B77)+1</f>
        <v>66</v>
      </c>
      <c r="C78" s="78" t="s">
        <v>128</v>
      </c>
      <c r="D78" s="23" t="s">
        <v>181</v>
      </c>
      <c r="E78" s="151" t="str">
        <f>'EP IS Restatements'!E78</f>
        <v>Contractual Engineer</v>
      </c>
      <c r="F78" s="22">
        <f>'WWSCo IS Restatements'!M78</f>
        <v>5595</v>
      </c>
      <c r="G78" s="22">
        <v>0</v>
      </c>
      <c r="H78" s="23"/>
      <c r="I78" s="22">
        <v>0</v>
      </c>
      <c r="J78" s="22">
        <v>0</v>
      </c>
      <c r="K78" s="23"/>
      <c r="L78" s="22">
        <v>0</v>
      </c>
      <c r="M78" s="22">
        <f t="shared" si="6"/>
        <v>123.08999999999999</v>
      </c>
      <c r="N78" s="22">
        <v>0</v>
      </c>
      <c r="O78" s="22">
        <v>0</v>
      </c>
      <c r="P78" s="22">
        <f t="shared" si="4"/>
        <v>123.08999999999999</v>
      </c>
      <c r="Q78" s="22">
        <f t="shared" si="8"/>
        <v>5718.09</v>
      </c>
      <c r="R78" s="15"/>
    </row>
    <row r="79" spans="2:18" x14ac:dyDescent="0.25">
      <c r="B79" s="78">
        <f>MAX($B$8:B78)+1</f>
        <v>67</v>
      </c>
      <c r="C79" s="78" t="s">
        <v>129</v>
      </c>
      <c r="D79" s="23" t="s">
        <v>182</v>
      </c>
      <c r="E79" s="151" t="str">
        <f>'EP IS Restatements'!E79</f>
        <v>Other Taxes &amp; Licenses (DOH/DOE)</v>
      </c>
      <c r="F79" s="22">
        <f>'WWSCo IS Restatements'!M79</f>
        <v>23116.690000000002</v>
      </c>
      <c r="G79" s="22">
        <v>0</v>
      </c>
      <c r="H79" s="23"/>
      <c r="I79" s="22">
        <v>0</v>
      </c>
      <c r="J79" s="22">
        <v>0</v>
      </c>
      <c r="K79" s="23"/>
      <c r="L79" s="22">
        <v>0</v>
      </c>
      <c r="M79" s="22">
        <f t="shared" si="6"/>
        <v>508.56718000000001</v>
      </c>
      <c r="N79" s="22">
        <v>0</v>
      </c>
      <c r="O79" s="22">
        <v>0</v>
      </c>
      <c r="P79" s="22">
        <f t="shared" si="4"/>
        <v>508.56718000000001</v>
      </c>
      <c r="Q79" s="22">
        <f t="shared" si="8"/>
        <v>23625.257180000001</v>
      </c>
      <c r="R79" s="15"/>
    </row>
    <row r="80" spans="2:18" x14ac:dyDescent="0.25">
      <c r="B80" s="78">
        <f>MAX($B$8:B79)+1</f>
        <v>68</v>
      </c>
      <c r="C80" s="78" t="s">
        <v>130</v>
      </c>
      <c r="D80" s="23" t="s">
        <v>183</v>
      </c>
      <c r="E80" s="151"/>
      <c r="F80" s="22">
        <f>'WWSCo IS Restatements'!M80</f>
        <v>0</v>
      </c>
      <c r="G80" s="22">
        <v>0</v>
      </c>
      <c r="H80" s="23"/>
      <c r="I80" s="22">
        <v>0</v>
      </c>
      <c r="J80" s="22">
        <v>0</v>
      </c>
      <c r="K80" s="23"/>
      <c r="L80" s="22">
        <v>0</v>
      </c>
      <c r="M80" s="22">
        <f t="shared" si="6"/>
        <v>0</v>
      </c>
      <c r="N80" s="22">
        <v>0</v>
      </c>
      <c r="O80" s="22">
        <v>0</v>
      </c>
      <c r="P80" s="22">
        <f t="shared" si="4"/>
        <v>0</v>
      </c>
      <c r="Q80" s="22">
        <f t="shared" si="8"/>
        <v>0</v>
      </c>
      <c r="R80" s="15"/>
    </row>
    <row r="81" spans="2:18" x14ac:dyDescent="0.25">
      <c r="B81" s="78">
        <f>MAX($B$8:B80)+1</f>
        <v>69</v>
      </c>
      <c r="C81" s="78" t="s">
        <v>131</v>
      </c>
      <c r="D81" s="23" t="s">
        <v>184</v>
      </c>
      <c r="E81" s="151" t="str">
        <f>'EP IS Restatements'!E81</f>
        <v>Salary and Wages - Employees</v>
      </c>
      <c r="F81" s="22">
        <f>'WWSCo IS Restatements'!M81</f>
        <v>250.56</v>
      </c>
      <c r="G81" s="22">
        <v>0</v>
      </c>
      <c r="H81" s="22">
        <f>SUM(F81:F81)*0.032</f>
        <v>8.0179200000000002</v>
      </c>
      <c r="I81" s="22">
        <v>0</v>
      </c>
      <c r="J81" s="22">
        <v>0</v>
      </c>
      <c r="K81" s="23"/>
      <c r="L81" s="22">
        <v>0</v>
      </c>
      <c r="M81" s="22">
        <f t="shared" si="6"/>
        <v>0</v>
      </c>
      <c r="N81" s="22">
        <v>0</v>
      </c>
      <c r="O81" s="22">
        <v>0</v>
      </c>
      <c r="P81" s="22">
        <f t="shared" si="4"/>
        <v>8.0179200000000002</v>
      </c>
      <c r="Q81" s="22">
        <f t="shared" si="8"/>
        <v>258.57792000000001</v>
      </c>
      <c r="R81" s="15"/>
    </row>
    <row r="82" spans="2:18" x14ac:dyDescent="0.25">
      <c r="B82" s="78">
        <f>MAX($B$8:B81)+1</f>
        <v>70</v>
      </c>
      <c r="C82" s="78" t="s">
        <v>132</v>
      </c>
      <c r="D82" s="23" t="s">
        <v>185</v>
      </c>
      <c r="E82" s="151" t="str">
        <f>'EP IS Restatements'!E82</f>
        <v>Miscellaneous</v>
      </c>
      <c r="F82" s="22">
        <f>'WWSCo IS Restatements'!M82</f>
        <v>-24.22</v>
      </c>
      <c r="G82" s="22">
        <v>0</v>
      </c>
      <c r="H82" s="23"/>
      <c r="I82" s="22">
        <v>0</v>
      </c>
      <c r="J82" s="22">
        <v>0</v>
      </c>
      <c r="K82" s="23"/>
      <c r="L82" s="22">
        <v>0</v>
      </c>
      <c r="M82" s="22">
        <f t="shared" si="6"/>
        <v>-0.53283999999999998</v>
      </c>
      <c r="N82" s="22">
        <v>0</v>
      </c>
      <c r="O82" s="22">
        <v>0</v>
      </c>
      <c r="P82" s="22">
        <f t="shared" si="4"/>
        <v>-0.53283999999999998</v>
      </c>
      <c r="Q82" s="22">
        <f t="shared" si="8"/>
        <v>-24.752839999999999</v>
      </c>
      <c r="R82" s="15"/>
    </row>
    <row r="83" spans="2:18" x14ac:dyDescent="0.25">
      <c r="B83" s="78">
        <f>MAX($B$8:B82)+1</f>
        <v>71</v>
      </c>
      <c r="C83" s="78" t="s">
        <v>133</v>
      </c>
      <c r="D83" s="23" t="s">
        <v>186</v>
      </c>
      <c r="E83" s="151" t="str">
        <f>'EP IS Restatements'!E83</f>
        <v>Salary and Wages - Employees</v>
      </c>
      <c r="F83" s="22">
        <f>'WWSCo IS Restatements'!M83</f>
        <v>0</v>
      </c>
      <c r="G83" s="22">
        <v>0</v>
      </c>
      <c r="H83" s="22">
        <f>SUM(F83:F83)*0.029</f>
        <v>0</v>
      </c>
      <c r="I83" s="22">
        <v>0</v>
      </c>
      <c r="J83" s="22">
        <v>0</v>
      </c>
      <c r="K83" s="23"/>
      <c r="L83" s="22">
        <v>0</v>
      </c>
      <c r="M83" s="22">
        <f t="shared" si="6"/>
        <v>0</v>
      </c>
      <c r="N83" s="22">
        <v>0</v>
      </c>
      <c r="O83" s="22">
        <v>0</v>
      </c>
      <c r="P83" s="22">
        <f t="shared" si="4"/>
        <v>0</v>
      </c>
      <c r="Q83" s="22">
        <f t="shared" si="8"/>
        <v>0</v>
      </c>
      <c r="R83" s="15"/>
    </row>
    <row r="84" spans="2:18" x14ac:dyDescent="0.25">
      <c r="B84" s="78">
        <f>MAX($B$8:B83)+1</f>
        <v>72</v>
      </c>
      <c r="C84" s="78" t="s">
        <v>134</v>
      </c>
      <c r="D84" s="23" t="s">
        <v>187</v>
      </c>
      <c r="E84" s="151" t="str">
        <f>'EP IS Restatements'!E84</f>
        <v>Material &amp; Supplies</v>
      </c>
      <c r="F84" s="22">
        <f>'WWSCo IS Restatements'!M84</f>
        <v>27715.3</v>
      </c>
      <c r="G84" s="22">
        <v>0</v>
      </c>
      <c r="H84" s="23"/>
      <c r="I84" s="22">
        <v>0</v>
      </c>
      <c r="J84" s="22">
        <v>0</v>
      </c>
      <c r="K84" s="23"/>
      <c r="L84" s="22">
        <v>0</v>
      </c>
      <c r="M84" s="22">
        <f t="shared" si="6"/>
        <v>609.73659999999995</v>
      </c>
      <c r="N84" s="22">
        <v>0</v>
      </c>
      <c r="O84" s="22">
        <v>0</v>
      </c>
      <c r="P84" s="22">
        <f t="shared" si="4"/>
        <v>609.73659999999995</v>
      </c>
      <c r="Q84" s="22">
        <f t="shared" si="8"/>
        <v>28325.036599999999</v>
      </c>
      <c r="R84" s="15"/>
    </row>
    <row r="85" spans="2:18" x14ac:dyDescent="0.25">
      <c r="B85" s="78">
        <f>MAX($B$8:B84)+1</f>
        <v>73</v>
      </c>
      <c r="C85" s="78" t="s">
        <v>135</v>
      </c>
      <c r="D85" s="23" t="s">
        <v>188</v>
      </c>
      <c r="E85" s="151" t="str">
        <f>'EP IS Restatements'!E85</f>
        <v>Material &amp; Supplies</v>
      </c>
      <c r="F85" s="22">
        <f>'WWSCo IS Restatements'!M85</f>
        <v>6534.18</v>
      </c>
      <c r="G85" s="22">
        <v>0</v>
      </c>
      <c r="H85" s="23"/>
      <c r="I85" s="22">
        <v>0</v>
      </c>
      <c r="J85" s="22">
        <v>0</v>
      </c>
      <c r="K85" s="23"/>
      <c r="L85" s="22">
        <v>0</v>
      </c>
      <c r="M85" s="22">
        <f t="shared" si="6"/>
        <v>143.75196</v>
      </c>
      <c r="N85" s="22">
        <v>0</v>
      </c>
      <c r="O85" s="22">
        <v>0</v>
      </c>
      <c r="P85" s="22">
        <f t="shared" si="4"/>
        <v>143.75196</v>
      </c>
      <c r="Q85" s="22">
        <f t="shared" si="8"/>
        <v>6677.9319599999999</v>
      </c>
      <c r="R85" s="15"/>
    </row>
    <row r="86" spans="2:18" x14ac:dyDescent="0.25">
      <c r="B86" s="78">
        <f>MAX($B$8:B85)+1</f>
        <v>74</v>
      </c>
      <c r="C86" s="78" t="s">
        <v>136</v>
      </c>
      <c r="D86" s="23" t="s">
        <v>189</v>
      </c>
      <c r="E86" s="151" t="str">
        <f>'EP IS Restatements'!E86</f>
        <v>Material &amp; Supplies</v>
      </c>
      <c r="F86" s="22">
        <f>'WWSCo IS Restatements'!M86</f>
        <v>10238.550000000001</v>
      </c>
      <c r="G86" s="22">
        <v>0</v>
      </c>
      <c r="H86" s="23"/>
      <c r="I86" s="22">
        <v>0</v>
      </c>
      <c r="J86" s="22">
        <v>0</v>
      </c>
      <c r="K86" s="23"/>
      <c r="L86" s="22">
        <v>0</v>
      </c>
      <c r="M86" s="22">
        <f t="shared" si="6"/>
        <v>225.24810000000002</v>
      </c>
      <c r="N86" s="22">
        <v>0</v>
      </c>
      <c r="O86" s="22">
        <v>0</v>
      </c>
      <c r="P86" s="22">
        <f t="shared" si="4"/>
        <v>225.24810000000002</v>
      </c>
      <c r="Q86" s="22">
        <f t="shared" si="8"/>
        <v>10463.798100000002</v>
      </c>
      <c r="R86" s="15"/>
    </row>
    <row r="87" spans="2:18" x14ac:dyDescent="0.25">
      <c r="B87" s="78">
        <f>MAX($B$8:B86)+1</f>
        <v>75</v>
      </c>
      <c r="C87" s="78" t="s">
        <v>137</v>
      </c>
      <c r="D87" s="23" t="s">
        <v>190</v>
      </c>
      <c r="E87" s="151" t="str">
        <f>'EP IS Restatements'!E87</f>
        <v>Contractual Operations</v>
      </c>
      <c r="F87" s="22">
        <f>'WWSCo IS Restatements'!M87</f>
        <v>255885.58000000002</v>
      </c>
      <c r="G87" s="22">
        <v>0</v>
      </c>
      <c r="H87" s="23"/>
      <c r="I87" s="22">
        <v>0</v>
      </c>
      <c r="J87" s="22">
        <v>0</v>
      </c>
      <c r="K87" s="22">
        <f>'WP PF8'!H10</f>
        <v>6544.3139999999994</v>
      </c>
      <c r="L87" s="22">
        <v>0</v>
      </c>
      <c r="M87" s="22">
        <f t="shared" si="6"/>
        <v>0</v>
      </c>
      <c r="N87" s="22">
        <v>0</v>
      </c>
      <c r="O87" s="22">
        <v>0</v>
      </c>
      <c r="P87" s="22">
        <f t="shared" si="4"/>
        <v>6544.3139999999994</v>
      </c>
      <c r="Q87" s="22">
        <f t="shared" si="8"/>
        <v>262429.89400000003</v>
      </c>
      <c r="R87" s="15"/>
    </row>
    <row r="88" spans="2:18" x14ac:dyDescent="0.25">
      <c r="B88" s="78">
        <f>MAX($B$8:B87)+1</f>
        <v>76</v>
      </c>
      <c r="C88" s="78" t="s">
        <v>138</v>
      </c>
      <c r="D88" s="23" t="s">
        <v>191</v>
      </c>
      <c r="E88" s="151" t="str">
        <f>'EP IS Restatements'!E88</f>
        <v>Salary and Wages - Employees</v>
      </c>
      <c r="F88" s="22">
        <f>'WWSCo IS Restatements'!M88</f>
        <v>1</v>
      </c>
      <c r="G88" s="22">
        <v>0</v>
      </c>
      <c r="H88" s="22">
        <f>SUM(F88:F88)*0.032</f>
        <v>3.2000000000000001E-2</v>
      </c>
      <c r="I88" s="22">
        <v>0</v>
      </c>
      <c r="J88" s="22">
        <v>0</v>
      </c>
      <c r="K88" s="23"/>
      <c r="L88" s="22">
        <v>0</v>
      </c>
      <c r="M88" s="22">
        <f t="shared" si="6"/>
        <v>0</v>
      </c>
      <c r="N88" s="22">
        <v>0</v>
      </c>
      <c r="O88" s="22">
        <v>0</v>
      </c>
      <c r="P88" s="22">
        <f t="shared" si="4"/>
        <v>3.2000000000000001E-2</v>
      </c>
      <c r="Q88" s="22">
        <f t="shared" si="8"/>
        <v>1.032</v>
      </c>
      <c r="R88" s="15"/>
    </row>
    <row r="89" spans="2:18" x14ac:dyDescent="0.25">
      <c r="B89" s="78">
        <f>MAX($B$8:B88)+1</f>
        <v>77</v>
      </c>
      <c r="C89" s="78" t="s">
        <v>139</v>
      </c>
      <c r="D89" s="23" t="s">
        <v>192</v>
      </c>
      <c r="E89" s="151" t="str">
        <f>'EP IS Restatements'!E89</f>
        <v>Rental of Building, Property, and Equipment</v>
      </c>
      <c r="F89" s="22">
        <f>'WWSCo IS Restatements'!M89</f>
        <v>0</v>
      </c>
      <c r="G89" s="22">
        <v>0</v>
      </c>
      <c r="H89" s="23"/>
      <c r="I89" s="22">
        <v>0</v>
      </c>
      <c r="J89" s="22">
        <v>0</v>
      </c>
      <c r="K89" s="23"/>
      <c r="L89" s="22">
        <v>0</v>
      </c>
      <c r="M89" s="22">
        <f t="shared" si="6"/>
        <v>0</v>
      </c>
      <c r="N89" s="22">
        <v>0</v>
      </c>
      <c r="O89" s="22">
        <v>0</v>
      </c>
      <c r="P89" s="22">
        <f t="shared" si="4"/>
        <v>0</v>
      </c>
      <c r="Q89" s="22">
        <f t="shared" si="8"/>
        <v>0</v>
      </c>
      <c r="R89" s="15"/>
    </row>
    <row r="90" spans="2:18" x14ac:dyDescent="0.25">
      <c r="B90" s="78">
        <f>MAX($B$8:B89)+1</f>
        <v>78</v>
      </c>
      <c r="C90" s="78" t="s">
        <v>140</v>
      </c>
      <c r="D90" s="23" t="s">
        <v>193</v>
      </c>
      <c r="E90" s="151"/>
      <c r="F90" s="22">
        <f>'WWSCo IS Restatements'!M90</f>
        <v>0</v>
      </c>
      <c r="G90" s="22">
        <v>0</v>
      </c>
      <c r="H90" s="23"/>
      <c r="I90" s="22">
        <v>0</v>
      </c>
      <c r="J90" s="22">
        <v>0</v>
      </c>
      <c r="K90" s="23"/>
      <c r="L90" s="22">
        <v>0</v>
      </c>
      <c r="M90" s="22">
        <f t="shared" si="6"/>
        <v>0</v>
      </c>
      <c r="N90" s="22">
        <v>0</v>
      </c>
      <c r="O90" s="22">
        <v>0</v>
      </c>
      <c r="P90" s="22">
        <f t="shared" si="4"/>
        <v>0</v>
      </c>
      <c r="Q90" s="22">
        <f t="shared" si="8"/>
        <v>0</v>
      </c>
      <c r="R90" s="15"/>
    </row>
    <row r="91" spans="2:18" x14ac:dyDescent="0.25">
      <c r="B91" s="78">
        <f>MAX($B$8:B90)+1</f>
        <v>79</v>
      </c>
      <c r="C91" s="78" t="s">
        <v>141</v>
      </c>
      <c r="D91" s="23" t="s">
        <v>194</v>
      </c>
      <c r="E91" s="151" t="str">
        <f>'EP IS Restatements'!E91</f>
        <v>Salary and Wages - Employees</v>
      </c>
      <c r="F91" s="22">
        <f>'WWSCo IS Restatements'!M91</f>
        <v>504865.67000000004</v>
      </c>
      <c r="G91" s="22">
        <v>0</v>
      </c>
      <c r="H91" s="22">
        <f>SUM(F91:F91)*0.032</f>
        <v>16155.701440000003</v>
      </c>
      <c r="I91" s="22">
        <v>0</v>
      </c>
      <c r="J91" s="22">
        <v>0</v>
      </c>
      <c r="K91" s="23"/>
      <c r="L91" s="22">
        <v>0</v>
      </c>
      <c r="M91" s="22">
        <f t="shared" si="6"/>
        <v>0</v>
      </c>
      <c r="N91" s="22">
        <v>0</v>
      </c>
      <c r="O91" s="22">
        <v>0</v>
      </c>
      <c r="P91" s="22">
        <f t="shared" si="4"/>
        <v>16155.701440000003</v>
      </c>
      <c r="Q91" s="22">
        <f t="shared" si="8"/>
        <v>521021.37144000002</v>
      </c>
      <c r="R91" s="15"/>
    </row>
    <row r="92" spans="2:18" x14ac:dyDescent="0.25">
      <c r="B92" s="78">
        <f>MAX($B$8:B91)+1</f>
        <v>80</v>
      </c>
      <c r="C92" s="78" t="s">
        <v>142</v>
      </c>
      <c r="D92" s="23" t="s">
        <v>195</v>
      </c>
      <c r="E92" s="151" t="str">
        <f>'EP IS Restatements'!E92</f>
        <v>Chemicals &amp; Testing</v>
      </c>
      <c r="F92" s="22">
        <f>'WWSCo IS Restatements'!M92</f>
        <v>71892.239999999991</v>
      </c>
      <c r="G92" s="22">
        <v>0</v>
      </c>
      <c r="H92" s="23"/>
      <c r="I92" s="22">
        <v>0</v>
      </c>
      <c r="J92" s="22">
        <v>0</v>
      </c>
      <c r="K92" s="23"/>
      <c r="L92" s="22">
        <v>0</v>
      </c>
      <c r="M92" s="22">
        <f t="shared" si="6"/>
        <v>1581.6292799999997</v>
      </c>
      <c r="N92" s="22">
        <v>0</v>
      </c>
      <c r="O92" s="22">
        <v>0</v>
      </c>
      <c r="P92" s="22">
        <f t="shared" si="4"/>
        <v>1581.6292799999997</v>
      </c>
      <c r="Q92" s="22">
        <f t="shared" si="8"/>
        <v>73473.869279999984</v>
      </c>
      <c r="R92" s="15"/>
    </row>
    <row r="93" spans="2:18" x14ac:dyDescent="0.25">
      <c r="B93" s="78">
        <f>MAX($B$8:B92)+1</f>
        <v>81</v>
      </c>
      <c r="C93" s="78" t="s">
        <v>143</v>
      </c>
      <c r="D93" s="23" t="s">
        <v>196</v>
      </c>
      <c r="E93" s="151" t="str">
        <f>'EP IS Restatements'!E93</f>
        <v>Chemicals &amp; Testing</v>
      </c>
      <c r="F93" s="22">
        <f>'WWSCo IS Restatements'!M93</f>
        <v>307.76</v>
      </c>
      <c r="G93" s="22">
        <v>0</v>
      </c>
      <c r="H93" s="23"/>
      <c r="I93" s="22">
        <v>0</v>
      </c>
      <c r="J93" s="22">
        <v>0</v>
      </c>
      <c r="K93" s="23"/>
      <c r="L93" s="22">
        <v>0</v>
      </c>
      <c r="M93" s="22">
        <f t="shared" si="6"/>
        <v>6.7707199999999998</v>
      </c>
      <c r="N93" s="22">
        <v>0</v>
      </c>
      <c r="O93" s="22">
        <v>0</v>
      </c>
      <c r="P93" s="22">
        <f t="shared" si="4"/>
        <v>6.7707199999999998</v>
      </c>
      <c r="Q93" s="22">
        <f t="shared" si="8"/>
        <v>314.53071999999997</v>
      </c>
      <c r="R93" s="15"/>
    </row>
    <row r="94" spans="2:18" x14ac:dyDescent="0.25">
      <c r="B94" s="78">
        <f>MAX($B$8:B93)+1</f>
        <v>82</v>
      </c>
      <c r="C94" s="78" t="s">
        <v>144</v>
      </c>
      <c r="D94" s="23" t="s">
        <v>197</v>
      </c>
      <c r="E94" s="151" t="str">
        <f>'EP IS Restatements'!E94</f>
        <v>Chemicals &amp; Testing</v>
      </c>
      <c r="F94" s="22">
        <f>'WWSCo IS Restatements'!M94</f>
        <v>0</v>
      </c>
      <c r="G94" s="22">
        <v>0</v>
      </c>
      <c r="H94" s="23"/>
      <c r="I94" s="22">
        <v>0</v>
      </c>
      <c r="J94" s="22">
        <v>0</v>
      </c>
      <c r="K94" s="23"/>
      <c r="L94" s="22">
        <v>0</v>
      </c>
      <c r="M94" s="22">
        <f t="shared" si="6"/>
        <v>0</v>
      </c>
      <c r="N94" s="22">
        <v>0</v>
      </c>
      <c r="O94" s="22">
        <v>0</v>
      </c>
      <c r="P94" s="22">
        <f t="shared" si="4"/>
        <v>0</v>
      </c>
      <c r="Q94" s="22">
        <f t="shared" si="8"/>
        <v>0</v>
      </c>
      <c r="R94" s="15"/>
    </row>
    <row r="95" spans="2:18" x14ac:dyDescent="0.25">
      <c r="B95" s="78">
        <f>MAX($B$8:B94)+1</f>
        <v>83</v>
      </c>
      <c r="C95" s="78" t="s">
        <v>145</v>
      </c>
      <c r="D95" s="23" t="s">
        <v>198</v>
      </c>
      <c r="E95" s="151" t="str">
        <f>'EP IS Restatements'!E95</f>
        <v>Contractual Operations</v>
      </c>
      <c r="F95" s="22">
        <f>'WWSCo IS Restatements'!M95</f>
        <v>156724.13190000001</v>
      </c>
      <c r="G95" s="22">
        <v>0</v>
      </c>
      <c r="H95" s="23"/>
      <c r="I95" s="22">
        <v>0</v>
      </c>
      <c r="J95" s="22">
        <v>0</v>
      </c>
      <c r="K95" s="22">
        <f>'WP PF8'!I11</f>
        <v>-20000</v>
      </c>
      <c r="L95" s="22">
        <v>0</v>
      </c>
      <c r="M95" s="22">
        <f>IF(SUM(H95:K95)=0,SUM(F95:K95)*0.022,0)</f>
        <v>0</v>
      </c>
      <c r="N95" s="22">
        <v>0</v>
      </c>
      <c r="O95" s="22">
        <v>0</v>
      </c>
      <c r="P95" s="22">
        <f t="shared" si="4"/>
        <v>-20000</v>
      </c>
      <c r="Q95" s="22">
        <f t="shared" si="8"/>
        <v>136724.13190000001</v>
      </c>
      <c r="R95" s="15"/>
    </row>
    <row r="96" spans="2:18" x14ac:dyDescent="0.25">
      <c r="B96" s="78">
        <f>MAX($B$8:B95)+1</f>
        <v>84</v>
      </c>
      <c r="C96" s="78" t="s">
        <v>146</v>
      </c>
      <c r="D96" s="23" t="s">
        <v>199</v>
      </c>
      <c r="E96" s="151" t="str">
        <f>'EP IS Restatements'!E96</f>
        <v>Miscellaneous</v>
      </c>
      <c r="F96" s="22">
        <f>'WWSCo IS Restatements'!M96</f>
        <v>8769.7199999999993</v>
      </c>
      <c r="G96" s="22">
        <v>0</v>
      </c>
      <c r="H96" s="23"/>
      <c r="I96" s="22">
        <v>0</v>
      </c>
      <c r="J96" s="22">
        <v>0</v>
      </c>
      <c r="K96" s="23"/>
      <c r="L96" s="22">
        <v>0</v>
      </c>
      <c r="M96" s="22">
        <f t="shared" si="6"/>
        <v>192.93383999999998</v>
      </c>
      <c r="N96" s="22">
        <v>0</v>
      </c>
      <c r="O96" s="22">
        <v>0</v>
      </c>
      <c r="P96" s="22">
        <f t="shared" si="4"/>
        <v>192.93383999999998</v>
      </c>
      <c r="Q96" s="22">
        <f t="shared" si="8"/>
        <v>8962.653839999999</v>
      </c>
      <c r="R96" s="15"/>
    </row>
    <row r="97" spans="2:18" x14ac:dyDescent="0.25">
      <c r="B97" s="78">
        <f>MAX($B$8:B96)+1</f>
        <v>85</v>
      </c>
      <c r="C97" s="78" t="s">
        <v>147</v>
      </c>
      <c r="D97" s="23" t="s">
        <v>200</v>
      </c>
      <c r="E97" s="151"/>
      <c r="F97" s="22">
        <f>'WWSCo IS Restatements'!M97</f>
        <v>0</v>
      </c>
      <c r="G97" s="22">
        <v>0</v>
      </c>
      <c r="H97" s="23"/>
      <c r="I97" s="22">
        <v>0</v>
      </c>
      <c r="J97" s="22">
        <v>0</v>
      </c>
      <c r="K97" s="23"/>
      <c r="L97" s="22">
        <v>0</v>
      </c>
      <c r="M97" s="22">
        <f t="shared" si="6"/>
        <v>0</v>
      </c>
      <c r="N97" s="22">
        <v>0</v>
      </c>
      <c r="O97" s="22">
        <v>0</v>
      </c>
      <c r="P97" s="22">
        <f t="shared" ref="P97:P141" si="9">SUM(G97:O97)</f>
        <v>0</v>
      </c>
      <c r="Q97" s="22">
        <f t="shared" ref="Q97:Q129" si="10">F97+P97</f>
        <v>0</v>
      </c>
      <c r="R97" s="15"/>
    </row>
    <row r="98" spans="2:18" x14ac:dyDescent="0.25">
      <c r="B98" s="78">
        <f>MAX($B$8:B97)+1</f>
        <v>86</v>
      </c>
      <c r="C98" s="78" t="s">
        <v>148</v>
      </c>
      <c r="D98" s="23" t="s">
        <v>201</v>
      </c>
      <c r="E98" s="151" t="str">
        <f>'EP IS Restatements'!E98</f>
        <v>Chemicals &amp; Testing</v>
      </c>
      <c r="F98" s="22">
        <f>'WWSCo IS Restatements'!M98</f>
        <v>3073.61</v>
      </c>
      <c r="G98" s="22">
        <v>0</v>
      </c>
      <c r="H98" s="23"/>
      <c r="I98" s="22">
        <v>0</v>
      </c>
      <c r="J98" s="22">
        <v>0</v>
      </c>
      <c r="K98" s="23"/>
      <c r="L98" s="22">
        <v>0</v>
      </c>
      <c r="M98" s="22">
        <f t="shared" ref="M98:M141" si="11">IF(SUM(H98:K98)=0,SUM(F98:K98)*0.022,0)</f>
        <v>67.619420000000005</v>
      </c>
      <c r="N98" s="22">
        <v>0</v>
      </c>
      <c r="O98" s="22">
        <v>0</v>
      </c>
      <c r="P98" s="22">
        <f t="shared" si="9"/>
        <v>67.619420000000005</v>
      </c>
      <c r="Q98" s="22">
        <f t="shared" si="10"/>
        <v>3141.2294200000001</v>
      </c>
      <c r="R98" s="15"/>
    </row>
    <row r="99" spans="2:18" x14ac:dyDescent="0.25">
      <c r="B99" s="78">
        <f>MAX($B$8:B98)+1</f>
        <v>87</v>
      </c>
      <c r="C99" s="78" t="s">
        <v>149</v>
      </c>
      <c r="D99" s="23" t="s">
        <v>202</v>
      </c>
      <c r="E99" s="151" t="str">
        <f>'EP IS Restatements'!E99</f>
        <v>Purchased Power/Water</v>
      </c>
      <c r="F99" s="22">
        <f>'WWSCo IS Restatements'!M99</f>
        <v>-104119.87</v>
      </c>
      <c r="G99" s="22">
        <f>'WP PF4'!$M$15</f>
        <v>-73694.025000000009</v>
      </c>
      <c r="H99" s="23"/>
      <c r="I99" s="22">
        <v>0</v>
      </c>
      <c r="J99" s="22">
        <v>0</v>
      </c>
      <c r="K99" s="23"/>
      <c r="L99" s="22">
        <v>0</v>
      </c>
      <c r="M99" s="22">
        <f t="shared" si="11"/>
        <v>-3911.90569</v>
      </c>
      <c r="N99" s="22">
        <v>0</v>
      </c>
      <c r="O99" s="22">
        <v>0</v>
      </c>
      <c r="P99" s="22">
        <f t="shared" si="9"/>
        <v>-77605.930690000008</v>
      </c>
      <c r="Q99" s="22">
        <f t="shared" si="10"/>
        <v>-181725.80069</v>
      </c>
      <c r="R99" s="15"/>
    </row>
    <row r="100" spans="2:18" x14ac:dyDescent="0.25">
      <c r="B100" s="78">
        <f>MAX($B$8:B99)+1</f>
        <v>88</v>
      </c>
      <c r="C100" s="78" t="s">
        <v>150</v>
      </c>
      <c r="D100" s="23" t="s">
        <v>203</v>
      </c>
      <c r="E100" s="151" t="str">
        <f>'EP IS Restatements'!E100</f>
        <v>Chemicals &amp; Testing</v>
      </c>
      <c r="F100" s="22">
        <f>'WWSCo IS Restatements'!M100</f>
        <v>242.14</v>
      </c>
      <c r="G100" s="22">
        <v>0</v>
      </c>
      <c r="H100" s="23"/>
      <c r="I100" s="22">
        <v>0</v>
      </c>
      <c r="J100" s="22">
        <v>0</v>
      </c>
      <c r="K100" s="23"/>
      <c r="L100" s="22">
        <v>0</v>
      </c>
      <c r="M100" s="22">
        <f t="shared" si="11"/>
        <v>5.3270799999999996</v>
      </c>
      <c r="N100" s="22">
        <v>0</v>
      </c>
      <c r="O100" s="22">
        <v>0</v>
      </c>
      <c r="P100" s="22">
        <f t="shared" si="9"/>
        <v>5.3270799999999996</v>
      </c>
      <c r="Q100" s="22">
        <f t="shared" si="10"/>
        <v>247.46707999999998</v>
      </c>
      <c r="R100" s="15"/>
    </row>
    <row r="101" spans="2:18" x14ac:dyDescent="0.25">
      <c r="B101" s="78">
        <f>MAX($B$8:B100)+1</f>
        <v>89</v>
      </c>
      <c r="C101" s="78" t="s">
        <v>151</v>
      </c>
      <c r="D101" s="23" t="s">
        <v>190</v>
      </c>
      <c r="E101" s="151" t="str">
        <f>'EP IS Restatements'!E101</f>
        <v>Miscellaneous</v>
      </c>
      <c r="F101" s="22">
        <f>'WWSCo IS Restatements'!M101</f>
        <v>196.72</v>
      </c>
      <c r="G101" s="22">
        <v>0</v>
      </c>
      <c r="H101" s="23"/>
      <c r="I101" s="22">
        <v>0</v>
      </c>
      <c r="J101" s="22">
        <v>0</v>
      </c>
      <c r="K101" s="23"/>
      <c r="L101" s="22">
        <v>0</v>
      </c>
      <c r="M101" s="22">
        <f t="shared" si="11"/>
        <v>4.3278400000000001</v>
      </c>
      <c r="N101" s="22">
        <v>0</v>
      </c>
      <c r="O101" s="22">
        <v>0</v>
      </c>
      <c r="P101" s="22">
        <f t="shared" si="9"/>
        <v>4.3278400000000001</v>
      </c>
      <c r="Q101" s="22">
        <f t="shared" si="10"/>
        <v>201.04784000000001</v>
      </c>
      <c r="R101" s="15"/>
    </row>
    <row r="102" spans="2:18" x14ac:dyDescent="0.25">
      <c r="B102" s="78">
        <f>MAX($B$8:B101)+1</f>
        <v>90</v>
      </c>
      <c r="C102" s="78" t="s">
        <v>152</v>
      </c>
      <c r="D102" s="23" t="s">
        <v>193</v>
      </c>
      <c r="E102" s="151"/>
      <c r="F102" s="22">
        <f>'WWSCo IS Restatements'!M102</f>
        <v>0</v>
      </c>
      <c r="G102" s="22">
        <v>0</v>
      </c>
      <c r="H102" s="23"/>
      <c r="I102" s="22">
        <v>0</v>
      </c>
      <c r="J102" s="22">
        <v>0</v>
      </c>
      <c r="K102" s="23"/>
      <c r="L102" s="22">
        <v>0</v>
      </c>
      <c r="M102" s="22">
        <f t="shared" si="11"/>
        <v>0</v>
      </c>
      <c r="N102" s="22">
        <v>0</v>
      </c>
      <c r="O102" s="22">
        <v>0</v>
      </c>
      <c r="P102" s="22">
        <f t="shared" si="9"/>
        <v>0</v>
      </c>
      <c r="Q102" s="22">
        <f t="shared" si="10"/>
        <v>0</v>
      </c>
      <c r="R102" s="15"/>
    </row>
    <row r="103" spans="2:18" x14ac:dyDescent="0.25">
      <c r="B103" s="78">
        <f>MAX($B$8:B102)+1</f>
        <v>91</v>
      </c>
      <c r="C103" s="78" t="s">
        <v>153</v>
      </c>
      <c r="D103" s="23" t="s">
        <v>204</v>
      </c>
      <c r="E103" s="151" t="str">
        <f>'EP IS Restatements'!E103</f>
        <v>Salary and Wages - Employees</v>
      </c>
      <c r="F103" s="22">
        <f>'WWSCo IS Restatements'!M103</f>
        <v>164241.75999999998</v>
      </c>
      <c r="G103" s="22">
        <v>0</v>
      </c>
      <c r="H103" s="22">
        <f>SUM(F103:F103)*0.032</f>
        <v>5255.7363199999991</v>
      </c>
      <c r="I103" s="22">
        <v>0</v>
      </c>
      <c r="J103" s="22">
        <v>0</v>
      </c>
      <c r="K103" s="23"/>
      <c r="L103" s="22">
        <v>0</v>
      </c>
      <c r="M103" s="22">
        <f t="shared" si="11"/>
        <v>0</v>
      </c>
      <c r="N103" s="22">
        <v>0</v>
      </c>
      <c r="O103" s="22">
        <v>0</v>
      </c>
      <c r="P103" s="22">
        <f t="shared" si="9"/>
        <v>5255.7363199999991</v>
      </c>
      <c r="Q103" s="22">
        <f t="shared" si="10"/>
        <v>169497.49631999998</v>
      </c>
      <c r="R103" s="15"/>
    </row>
    <row r="104" spans="2:18" x14ac:dyDescent="0.25">
      <c r="B104" s="78">
        <f>MAX($B$8:B103)+1</f>
        <v>92</v>
      </c>
      <c r="C104" s="78" t="s">
        <v>154</v>
      </c>
      <c r="D104" s="23" t="s">
        <v>205</v>
      </c>
      <c r="E104" s="151"/>
      <c r="F104" s="22">
        <f>'WWSCo IS Restatements'!M104</f>
        <v>0</v>
      </c>
      <c r="G104" s="22">
        <v>0</v>
      </c>
      <c r="H104" s="23"/>
      <c r="I104" s="22">
        <v>0</v>
      </c>
      <c r="J104" s="22">
        <v>0</v>
      </c>
      <c r="K104" s="23"/>
      <c r="L104" s="22">
        <v>0</v>
      </c>
      <c r="M104" s="22">
        <f t="shared" si="11"/>
        <v>0</v>
      </c>
      <c r="N104" s="22">
        <v>0</v>
      </c>
      <c r="O104" s="22">
        <v>0</v>
      </c>
      <c r="P104" s="22">
        <f t="shared" si="9"/>
        <v>0</v>
      </c>
      <c r="Q104" s="22">
        <f t="shared" si="10"/>
        <v>0</v>
      </c>
      <c r="R104" s="15"/>
    </row>
    <row r="105" spans="2:18" x14ac:dyDescent="0.25">
      <c r="B105" s="78">
        <f>MAX($B$8:B104)+1</f>
        <v>93</v>
      </c>
      <c r="C105" s="78" t="s">
        <v>155</v>
      </c>
      <c r="D105" s="23" t="s">
        <v>206</v>
      </c>
      <c r="E105" s="151" t="str">
        <f>'EP IS Restatements'!E105</f>
        <v>Material &amp; Supplies</v>
      </c>
      <c r="F105" s="22">
        <f>'WWSCo IS Restatements'!M105</f>
        <v>6509.9199999999992</v>
      </c>
      <c r="G105" s="22">
        <v>0</v>
      </c>
      <c r="H105" s="23"/>
      <c r="I105" s="22">
        <v>0</v>
      </c>
      <c r="J105" s="22">
        <v>0</v>
      </c>
      <c r="K105" s="23"/>
      <c r="L105" s="22">
        <v>0</v>
      </c>
      <c r="M105" s="22">
        <f t="shared" si="11"/>
        <v>143.21823999999998</v>
      </c>
      <c r="N105" s="22">
        <v>0</v>
      </c>
      <c r="O105" s="22">
        <v>0</v>
      </c>
      <c r="P105" s="22">
        <f t="shared" si="9"/>
        <v>143.21823999999998</v>
      </c>
      <c r="Q105" s="22">
        <f t="shared" si="10"/>
        <v>6653.1382399999993</v>
      </c>
      <c r="R105" s="15"/>
    </row>
    <row r="106" spans="2:18" x14ac:dyDescent="0.25">
      <c r="B106" s="78">
        <f>MAX($B$8:B105)+1</f>
        <v>94</v>
      </c>
      <c r="C106" s="78" t="s">
        <v>156</v>
      </c>
      <c r="D106" s="23" t="s">
        <v>206</v>
      </c>
      <c r="E106" s="151" t="str">
        <f>'EP IS Restatements'!E106</f>
        <v>Transportation</v>
      </c>
      <c r="F106" s="22">
        <f>'WWSCo IS Restatements'!M106</f>
        <v>261123.66</v>
      </c>
      <c r="G106" s="22">
        <v>0</v>
      </c>
      <c r="H106" s="23"/>
      <c r="I106" s="22">
        <v>0</v>
      </c>
      <c r="J106" s="22">
        <v>0</v>
      </c>
      <c r="K106" s="23"/>
      <c r="L106" s="22">
        <v>0</v>
      </c>
      <c r="M106" s="22">
        <f t="shared" si="11"/>
        <v>5744.7205199999999</v>
      </c>
      <c r="N106" s="22">
        <v>0</v>
      </c>
      <c r="O106" s="22">
        <v>0</v>
      </c>
      <c r="P106" s="22">
        <f t="shared" si="9"/>
        <v>5744.7205199999999</v>
      </c>
      <c r="Q106" s="22">
        <f t="shared" si="10"/>
        <v>266868.38052000001</v>
      </c>
      <c r="R106" s="15"/>
    </row>
    <row r="107" spans="2:18" x14ac:dyDescent="0.25">
      <c r="B107" s="78">
        <f>MAX($B$8:B106)+1</f>
        <v>95</v>
      </c>
      <c r="C107" s="78" t="s">
        <v>157</v>
      </c>
      <c r="D107" s="23" t="s">
        <v>207</v>
      </c>
      <c r="E107" s="151" t="str">
        <f>'EP IS Restatements'!E107</f>
        <v>Salary and Wages - Employees</v>
      </c>
      <c r="F107" s="22">
        <f>'WWSCo IS Restatements'!M107</f>
        <v>51785.67</v>
      </c>
      <c r="G107" s="22">
        <v>0</v>
      </c>
      <c r="H107" s="22">
        <f>SUM(F107:F107)*0.032</f>
        <v>1657.1414399999999</v>
      </c>
      <c r="I107" s="22">
        <v>0</v>
      </c>
      <c r="J107" s="22">
        <v>0</v>
      </c>
      <c r="K107" s="23"/>
      <c r="L107" s="22">
        <v>0</v>
      </c>
      <c r="M107" s="22">
        <f t="shared" si="11"/>
        <v>0</v>
      </c>
      <c r="N107" s="22">
        <v>0</v>
      </c>
      <c r="O107" s="22">
        <v>0</v>
      </c>
      <c r="P107" s="22">
        <f t="shared" si="9"/>
        <v>1657.1414399999999</v>
      </c>
      <c r="Q107" s="22">
        <f t="shared" si="10"/>
        <v>53442.811439999998</v>
      </c>
      <c r="R107" s="15"/>
    </row>
    <row r="108" spans="2:18" x14ac:dyDescent="0.25">
      <c r="B108" s="78">
        <f>MAX($B$8:B107)+1</f>
        <v>96</v>
      </c>
      <c r="C108" s="78" t="s">
        <v>158</v>
      </c>
      <c r="D108" s="23" t="s">
        <v>190</v>
      </c>
      <c r="E108" s="151" t="str">
        <f>'EP IS Restatements'!E108</f>
        <v>Material &amp; Supplies</v>
      </c>
      <c r="F108" s="22">
        <f>'WWSCo IS Restatements'!M108</f>
        <v>98782.79</v>
      </c>
      <c r="G108" s="22">
        <v>0</v>
      </c>
      <c r="H108" s="23"/>
      <c r="I108" s="22">
        <v>0</v>
      </c>
      <c r="J108" s="22">
        <v>0</v>
      </c>
      <c r="K108" s="23"/>
      <c r="L108" s="22">
        <v>0</v>
      </c>
      <c r="M108" s="22">
        <f t="shared" si="11"/>
        <v>2173.22138</v>
      </c>
      <c r="N108" s="22">
        <v>0</v>
      </c>
      <c r="O108" s="22">
        <v>0</v>
      </c>
      <c r="P108" s="22">
        <f t="shared" si="9"/>
        <v>2173.22138</v>
      </c>
      <c r="Q108" s="22">
        <f t="shared" si="10"/>
        <v>100956.01138</v>
      </c>
      <c r="R108" s="15"/>
    </row>
    <row r="109" spans="2:18" x14ac:dyDescent="0.25">
      <c r="B109" s="78">
        <f>MAX($B$8:B108)+1</f>
        <v>97</v>
      </c>
      <c r="C109" s="78" t="s">
        <v>159</v>
      </c>
      <c r="D109" s="23" t="s">
        <v>208</v>
      </c>
      <c r="E109" s="151" t="str">
        <f>'EP IS Restatements'!E109</f>
        <v>Rental of Building, Property, and Equipment</v>
      </c>
      <c r="F109" s="22">
        <f>'WWSCo IS Restatements'!M109</f>
        <v>604.66999999999996</v>
      </c>
      <c r="G109" s="22">
        <v>0</v>
      </c>
      <c r="H109" s="23"/>
      <c r="I109" s="22">
        <v>0</v>
      </c>
      <c r="J109" s="22">
        <v>0</v>
      </c>
      <c r="K109" s="23"/>
      <c r="L109" s="22">
        <v>0</v>
      </c>
      <c r="M109" s="22">
        <f t="shared" si="11"/>
        <v>13.302739999999998</v>
      </c>
      <c r="N109" s="22">
        <v>0</v>
      </c>
      <c r="O109" s="22">
        <v>0</v>
      </c>
      <c r="P109" s="22">
        <f t="shared" si="9"/>
        <v>13.302739999999998</v>
      </c>
      <c r="Q109" s="22">
        <f t="shared" si="10"/>
        <v>617.97273999999993</v>
      </c>
      <c r="R109" s="15"/>
    </row>
    <row r="110" spans="2:18" x14ac:dyDescent="0.25">
      <c r="B110" s="78">
        <f>MAX($B$8:B109)+1</f>
        <v>98</v>
      </c>
      <c r="C110" s="78" t="s">
        <v>160</v>
      </c>
      <c r="D110" s="23" t="s">
        <v>209</v>
      </c>
      <c r="E110" s="151" t="str">
        <f>'EP IS Restatements'!E110</f>
        <v>Transportation</v>
      </c>
      <c r="F110" s="22">
        <f>'WWSCo IS Restatements'!M110</f>
        <v>36.5</v>
      </c>
      <c r="G110" s="22">
        <v>0</v>
      </c>
      <c r="H110" s="23"/>
      <c r="I110" s="22">
        <v>0</v>
      </c>
      <c r="J110" s="22">
        <v>0</v>
      </c>
      <c r="K110" s="23"/>
      <c r="L110" s="22">
        <v>0</v>
      </c>
      <c r="M110" s="22">
        <f t="shared" si="11"/>
        <v>0.80299999999999994</v>
      </c>
      <c r="N110" s="22">
        <v>0</v>
      </c>
      <c r="O110" s="22">
        <v>0</v>
      </c>
      <c r="P110" s="22">
        <f t="shared" si="9"/>
        <v>0.80299999999999994</v>
      </c>
      <c r="Q110" s="22">
        <f t="shared" si="10"/>
        <v>37.302999999999997</v>
      </c>
      <c r="R110" s="15"/>
    </row>
    <row r="111" spans="2:18" x14ac:dyDescent="0.25">
      <c r="B111" s="78">
        <f>MAX($B$8:B110)+1</f>
        <v>99</v>
      </c>
      <c r="C111" s="78" t="s">
        <v>161</v>
      </c>
      <c r="D111" s="23" t="s">
        <v>210</v>
      </c>
      <c r="E111" s="151" t="str">
        <f>'EP IS Restatements'!E111</f>
        <v>Salary and Wages - Employees</v>
      </c>
      <c r="F111" s="22">
        <f>'WWSCo IS Restatements'!M111</f>
        <v>415925.72000000003</v>
      </c>
      <c r="G111" s="22">
        <v>0</v>
      </c>
      <c r="H111" s="22">
        <f>SUM(F111:F111)*0.032</f>
        <v>13309.62304</v>
      </c>
      <c r="I111" s="22">
        <v>0</v>
      </c>
      <c r="J111" s="22">
        <v>0</v>
      </c>
      <c r="K111" s="23"/>
      <c r="L111" s="22">
        <v>0</v>
      </c>
      <c r="M111" s="22">
        <f t="shared" si="11"/>
        <v>0</v>
      </c>
      <c r="N111" s="22">
        <v>0</v>
      </c>
      <c r="O111" s="22">
        <v>0</v>
      </c>
      <c r="P111" s="22">
        <f t="shared" si="9"/>
        <v>13309.62304</v>
      </c>
      <c r="Q111" s="22">
        <f t="shared" si="10"/>
        <v>429235.34304000001</v>
      </c>
      <c r="R111" s="15"/>
    </row>
    <row r="112" spans="2:18" x14ac:dyDescent="0.25">
      <c r="B112" s="78">
        <f>MAX($B$8:B111)+1</f>
        <v>100</v>
      </c>
      <c r="C112" s="78" t="s">
        <v>162</v>
      </c>
      <c r="D112" s="23" t="s">
        <v>211</v>
      </c>
      <c r="E112" s="151" t="str">
        <f>'EP IS Restatements'!E112</f>
        <v>Miscellaneous</v>
      </c>
      <c r="F112" s="22">
        <f>'WWSCo IS Restatements'!M112</f>
        <v>0</v>
      </c>
      <c r="G112" s="22">
        <v>0</v>
      </c>
      <c r="H112" s="23"/>
      <c r="I112" s="22">
        <v>0</v>
      </c>
      <c r="J112" s="22">
        <v>0</v>
      </c>
      <c r="K112" s="23"/>
      <c r="L112" s="22">
        <v>0</v>
      </c>
      <c r="M112" s="22">
        <f t="shared" si="11"/>
        <v>0</v>
      </c>
      <c r="N112" s="22">
        <v>0</v>
      </c>
      <c r="O112" s="22">
        <v>0</v>
      </c>
      <c r="P112" s="22">
        <f t="shared" si="9"/>
        <v>0</v>
      </c>
      <c r="Q112" s="22">
        <f t="shared" si="10"/>
        <v>0</v>
      </c>
      <c r="R112" s="15"/>
    </row>
    <row r="113" spans="2:18" x14ac:dyDescent="0.25">
      <c r="B113" s="78">
        <f>MAX($B$8:B112)+1</f>
        <v>101</v>
      </c>
      <c r="C113" s="78" t="s">
        <v>163</v>
      </c>
      <c r="D113" s="23" t="s">
        <v>212</v>
      </c>
      <c r="E113" s="151" t="str">
        <f>'EP IS Restatements'!E113</f>
        <v>Office, Postage, Phone, and Bank Charges</v>
      </c>
      <c r="F113" s="22">
        <f>'WWSCo IS Restatements'!M113</f>
        <v>3510.71</v>
      </c>
      <c r="G113" s="22">
        <v>0</v>
      </c>
      <c r="H113" s="23"/>
      <c r="I113" s="22">
        <v>0</v>
      </c>
      <c r="J113" s="22">
        <v>0</v>
      </c>
      <c r="K113" s="23"/>
      <c r="L113" s="22">
        <v>0</v>
      </c>
      <c r="M113" s="22">
        <f t="shared" si="11"/>
        <v>77.235619999999997</v>
      </c>
      <c r="N113" s="22">
        <v>0</v>
      </c>
      <c r="O113" s="22">
        <v>0</v>
      </c>
      <c r="P113" s="22">
        <f t="shared" si="9"/>
        <v>77.235619999999997</v>
      </c>
      <c r="Q113" s="22">
        <f t="shared" si="10"/>
        <v>3587.94562</v>
      </c>
      <c r="R113" s="15"/>
    </row>
    <row r="114" spans="2:18" x14ac:dyDescent="0.25">
      <c r="B114" s="78">
        <f>MAX($B$8:B113)+1</f>
        <v>102</v>
      </c>
      <c r="C114" s="78" t="s">
        <v>164</v>
      </c>
      <c r="D114" s="23" t="s">
        <v>213</v>
      </c>
      <c r="E114" s="151" t="str">
        <f>'EP IS Restatements'!E114</f>
        <v>Office, Postage, Phone, and Bank Charges</v>
      </c>
      <c r="F114" s="22">
        <f>'WWSCo IS Restatements'!M114</f>
        <v>69740.479999999996</v>
      </c>
      <c r="G114" s="22">
        <v>0</v>
      </c>
      <c r="H114" s="23"/>
      <c r="I114" s="22">
        <v>0</v>
      </c>
      <c r="J114" s="22">
        <v>0</v>
      </c>
      <c r="K114" s="23"/>
      <c r="L114" s="22">
        <v>0</v>
      </c>
      <c r="M114" s="22">
        <f t="shared" si="11"/>
        <v>1534.2905599999999</v>
      </c>
      <c r="N114" s="22">
        <v>0</v>
      </c>
      <c r="O114" s="22">
        <v>0</v>
      </c>
      <c r="P114" s="22">
        <f t="shared" si="9"/>
        <v>1534.2905599999999</v>
      </c>
      <c r="Q114" s="22">
        <f t="shared" si="10"/>
        <v>71274.77055999999</v>
      </c>
      <c r="R114" s="15"/>
    </row>
    <row r="115" spans="2:18" x14ac:dyDescent="0.25">
      <c r="B115" s="78">
        <f>MAX($B$8:B114)+1</f>
        <v>103</v>
      </c>
      <c r="C115" s="78" t="s">
        <v>165</v>
      </c>
      <c r="D115" s="23" t="s">
        <v>214</v>
      </c>
      <c r="E115" s="151" t="str">
        <f>'EP IS Restatements'!E115</f>
        <v>Material &amp; Supplies</v>
      </c>
      <c r="F115" s="22">
        <f>'WWSCo IS Restatements'!M115</f>
        <v>125137.72</v>
      </c>
      <c r="G115" s="22">
        <v>0</v>
      </c>
      <c r="H115" s="23"/>
      <c r="I115" s="22">
        <v>0</v>
      </c>
      <c r="J115" s="22">
        <v>0</v>
      </c>
      <c r="K115" s="23"/>
      <c r="L115" s="22">
        <v>0</v>
      </c>
      <c r="M115" s="22">
        <f t="shared" si="11"/>
        <v>2753.0298399999997</v>
      </c>
      <c r="N115" s="22">
        <v>0</v>
      </c>
      <c r="O115" s="22">
        <v>0</v>
      </c>
      <c r="P115" s="22">
        <f t="shared" si="9"/>
        <v>2753.0298399999997</v>
      </c>
      <c r="Q115" s="22">
        <f t="shared" si="10"/>
        <v>127890.74984</v>
      </c>
      <c r="R115" s="15"/>
    </row>
    <row r="116" spans="2:18" x14ac:dyDescent="0.25">
      <c r="B116" s="78">
        <f>MAX($B$8:B115)+1</f>
        <v>104</v>
      </c>
      <c r="C116" s="78" t="s">
        <v>166</v>
      </c>
      <c r="D116" s="23" t="s">
        <v>215</v>
      </c>
      <c r="E116" s="151" t="str">
        <f>'EP IS Restatements'!E116</f>
        <v>Rental of Building, Property, and Equipment</v>
      </c>
      <c r="F116" s="22">
        <f>'WWSCo IS Restatements'!M116</f>
        <v>12439.5</v>
      </c>
      <c r="G116" s="22">
        <v>0</v>
      </c>
      <c r="H116" s="23"/>
      <c r="I116" s="22">
        <v>0</v>
      </c>
      <c r="J116" s="22">
        <v>0</v>
      </c>
      <c r="K116" s="23"/>
      <c r="L116" s="22">
        <v>0</v>
      </c>
      <c r="M116" s="22">
        <f t="shared" si="11"/>
        <v>273.66899999999998</v>
      </c>
      <c r="N116" s="22">
        <v>0</v>
      </c>
      <c r="O116" s="22">
        <v>0</v>
      </c>
      <c r="P116" s="22">
        <f t="shared" si="9"/>
        <v>273.66899999999998</v>
      </c>
      <c r="Q116" s="22">
        <f t="shared" si="10"/>
        <v>12713.169</v>
      </c>
      <c r="R116" s="15"/>
    </row>
    <row r="117" spans="2:18" x14ac:dyDescent="0.25">
      <c r="B117" s="78">
        <f>MAX($B$8:B116)+1</f>
        <v>105</v>
      </c>
      <c r="C117" s="78" t="s">
        <v>167</v>
      </c>
      <c r="D117" s="23" t="s">
        <v>216</v>
      </c>
      <c r="E117" s="151" t="str">
        <f>'EP IS Restatements'!E117</f>
        <v>Office, Postage, Phone, and Bank Charges</v>
      </c>
      <c r="F117" s="22">
        <f>'WWSCo IS Restatements'!M117</f>
        <v>366.14</v>
      </c>
      <c r="G117" s="22">
        <v>0</v>
      </c>
      <c r="H117" s="23"/>
      <c r="I117" s="22">
        <v>0</v>
      </c>
      <c r="J117" s="22">
        <v>0</v>
      </c>
      <c r="K117" s="23"/>
      <c r="L117" s="22">
        <v>0</v>
      </c>
      <c r="M117" s="22">
        <f t="shared" si="11"/>
        <v>8.0550799999999985</v>
      </c>
      <c r="N117" s="22">
        <v>0</v>
      </c>
      <c r="O117" s="22">
        <v>0</v>
      </c>
      <c r="P117" s="22">
        <f t="shared" si="9"/>
        <v>8.0550799999999985</v>
      </c>
      <c r="Q117" s="22">
        <f t="shared" si="10"/>
        <v>374.19507999999996</v>
      </c>
      <c r="R117" s="15"/>
    </row>
    <row r="118" spans="2:18" x14ac:dyDescent="0.25">
      <c r="B118" s="78">
        <f>MAX($B$8:B117)+1</f>
        <v>106</v>
      </c>
      <c r="C118" s="78" t="s">
        <v>168</v>
      </c>
      <c r="D118" s="23" t="s">
        <v>217</v>
      </c>
      <c r="E118" s="151" t="str">
        <f>'EP IS Restatements'!E118</f>
        <v>Office, Postage, Phone, and Bank Charges</v>
      </c>
      <c r="F118" s="22">
        <f>'WWSCo IS Restatements'!M118</f>
        <v>17496.740000000002</v>
      </c>
      <c r="G118" s="22">
        <v>0</v>
      </c>
      <c r="H118" s="23"/>
      <c r="I118" s="22">
        <v>0</v>
      </c>
      <c r="J118" s="22">
        <v>0</v>
      </c>
      <c r="K118" s="23"/>
      <c r="L118" s="22">
        <v>0</v>
      </c>
      <c r="M118" s="22">
        <f t="shared" si="11"/>
        <v>384.92828000000003</v>
      </c>
      <c r="N118" s="22">
        <v>0</v>
      </c>
      <c r="O118" s="22">
        <v>0</v>
      </c>
      <c r="P118" s="22">
        <f t="shared" si="9"/>
        <v>384.92828000000003</v>
      </c>
      <c r="Q118" s="22">
        <f t="shared" si="10"/>
        <v>17881.668280000002</v>
      </c>
      <c r="R118" s="15"/>
    </row>
    <row r="119" spans="2:18" x14ac:dyDescent="0.25">
      <c r="B119" s="78">
        <f>MAX($B$8:B118)+1</f>
        <v>107</v>
      </c>
      <c r="C119" s="78" t="s">
        <v>169</v>
      </c>
      <c r="D119" s="23" t="s">
        <v>87</v>
      </c>
      <c r="E119" s="151" t="str">
        <f>'EP IS Restatements'!E119</f>
        <v>Office, Postage, Phone, and Bank Charges</v>
      </c>
      <c r="F119" s="22">
        <f>'WWSCo IS Restatements'!M119</f>
        <v>5521.23</v>
      </c>
      <c r="G119" s="22">
        <v>0</v>
      </c>
      <c r="H119" s="23"/>
      <c r="I119" s="22">
        <v>0</v>
      </c>
      <c r="J119" s="22">
        <v>0</v>
      </c>
      <c r="K119" s="23"/>
      <c r="L119" s="22">
        <v>0</v>
      </c>
      <c r="M119" s="22">
        <f t="shared" si="11"/>
        <v>121.46705999999999</v>
      </c>
      <c r="N119" s="22">
        <v>0</v>
      </c>
      <c r="O119" s="22">
        <v>0</v>
      </c>
      <c r="P119" s="22">
        <f t="shared" si="9"/>
        <v>121.46705999999999</v>
      </c>
      <c r="Q119" s="22">
        <f t="shared" si="10"/>
        <v>5642.6970599999995</v>
      </c>
      <c r="R119" s="15"/>
    </row>
    <row r="120" spans="2:18" x14ac:dyDescent="0.25">
      <c r="B120" s="78">
        <f>MAX($B$8:B119)+1</f>
        <v>108</v>
      </c>
      <c r="C120" s="78" t="s">
        <v>170</v>
      </c>
      <c r="D120" s="23" t="s">
        <v>88</v>
      </c>
      <c r="E120" s="151" t="str">
        <f>'EP IS Restatements'!E120</f>
        <v>Office, Postage, Phone, and Bank Charges</v>
      </c>
      <c r="F120" s="22">
        <f>'WWSCo IS Restatements'!M120</f>
        <v>66317.05</v>
      </c>
      <c r="G120" s="22">
        <v>0</v>
      </c>
      <c r="H120" s="23"/>
      <c r="I120" s="22">
        <v>0</v>
      </c>
      <c r="J120" s="22">
        <v>0</v>
      </c>
      <c r="K120" s="23"/>
      <c r="L120" s="22">
        <v>0</v>
      </c>
      <c r="M120" s="22">
        <f t="shared" si="11"/>
        <v>1458.9750999999999</v>
      </c>
      <c r="N120" s="22">
        <v>0</v>
      </c>
      <c r="O120" s="22">
        <v>0</v>
      </c>
      <c r="P120" s="22">
        <f t="shared" si="9"/>
        <v>1458.9750999999999</v>
      </c>
      <c r="Q120" s="22">
        <f t="shared" si="10"/>
        <v>67776.025099999999</v>
      </c>
      <c r="R120" s="15"/>
    </row>
    <row r="121" spans="2:18" x14ac:dyDescent="0.25">
      <c r="B121" s="78">
        <f>MAX($B$8:B120)+1</f>
        <v>109</v>
      </c>
      <c r="C121" s="78" t="s">
        <v>171</v>
      </c>
      <c r="D121" s="23" t="s">
        <v>218</v>
      </c>
      <c r="E121" s="151" t="str">
        <f>'EP IS Restatements'!E121</f>
        <v>Office, Postage, Phone, and Bank Charges</v>
      </c>
      <c r="F121" s="22">
        <f>'WWSCo IS Restatements'!M121</f>
        <v>6931.49</v>
      </c>
      <c r="G121" s="22">
        <v>0</v>
      </c>
      <c r="H121" s="23"/>
      <c r="I121" s="22">
        <v>0</v>
      </c>
      <c r="J121" s="22">
        <v>0</v>
      </c>
      <c r="K121" s="23"/>
      <c r="L121" s="22">
        <v>0</v>
      </c>
      <c r="M121" s="22">
        <f t="shared" si="11"/>
        <v>152.49277999999998</v>
      </c>
      <c r="N121" s="22">
        <v>0</v>
      </c>
      <c r="O121" s="22">
        <v>0</v>
      </c>
      <c r="P121" s="22">
        <f t="shared" si="9"/>
        <v>152.49277999999998</v>
      </c>
      <c r="Q121" s="22">
        <f t="shared" si="10"/>
        <v>7083.9827799999994</v>
      </c>
      <c r="R121" s="15"/>
    </row>
    <row r="122" spans="2:18" x14ac:dyDescent="0.25">
      <c r="B122" s="78">
        <f>MAX($B$8:B121)+1</f>
        <v>110</v>
      </c>
      <c r="C122" s="78" t="s">
        <v>172</v>
      </c>
      <c r="D122" s="23" t="s">
        <v>219</v>
      </c>
      <c r="E122" s="151" t="str">
        <f>'EP IS Restatements'!E122</f>
        <v>Office, Postage, Phone, and Bank Charges</v>
      </c>
      <c r="F122" s="22">
        <f>'WWSCo IS Restatements'!M122</f>
        <v>8962.33</v>
      </c>
      <c r="G122" s="22">
        <v>0</v>
      </c>
      <c r="H122" s="23"/>
      <c r="I122" s="22">
        <v>0</v>
      </c>
      <c r="J122" s="22">
        <v>0</v>
      </c>
      <c r="K122" s="23"/>
      <c r="L122" s="22">
        <v>0</v>
      </c>
      <c r="M122" s="22">
        <f t="shared" si="11"/>
        <v>197.17125999999999</v>
      </c>
      <c r="N122" s="22">
        <v>0</v>
      </c>
      <c r="O122" s="22">
        <v>0</v>
      </c>
      <c r="P122" s="22">
        <f t="shared" si="9"/>
        <v>197.17125999999999</v>
      </c>
      <c r="Q122" s="22">
        <f t="shared" si="10"/>
        <v>9159.5012599999991</v>
      </c>
      <c r="R122" s="15"/>
    </row>
    <row r="123" spans="2:18" x14ac:dyDescent="0.25">
      <c r="B123" s="78">
        <f>MAX($B$8:B122)+1</f>
        <v>111</v>
      </c>
      <c r="C123" s="78" t="s">
        <v>173</v>
      </c>
      <c r="D123" s="23" t="s">
        <v>220</v>
      </c>
      <c r="E123" s="151" t="str">
        <f>'EP IS Restatements'!E123</f>
        <v>Contractual Operations</v>
      </c>
      <c r="F123" s="22">
        <f>'WWSCo IS Restatements'!M123</f>
        <v>79946.03</v>
      </c>
      <c r="G123" s="22">
        <v>0</v>
      </c>
      <c r="H123" s="23"/>
      <c r="I123" s="22">
        <v>0</v>
      </c>
      <c r="J123" s="22">
        <v>0</v>
      </c>
      <c r="K123" s="23"/>
      <c r="L123" s="22">
        <v>0</v>
      </c>
      <c r="M123" s="22">
        <f t="shared" si="11"/>
        <v>1758.8126599999998</v>
      </c>
      <c r="N123" s="22">
        <v>0</v>
      </c>
      <c r="O123" s="22">
        <v>0</v>
      </c>
      <c r="P123" s="22">
        <f t="shared" si="9"/>
        <v>1758.8126599999998</v>
      </c>
      <c r="Q123" s="22">
        <f t="shared" si="10"/>
        <v>81704.842659999995</v>
      </c>
      <c r="R123" s="15"/>
    </row>
    <row r="124" spans="2:18" x14ac:dyDescent="0.25">
      <c r="B124" s="78">
        <f>MAX($B$8:B123)+1</f>
        <v>112</v>
      </c>
      <c r="C124" s="78" t="s">
        <v>174</v>
      </c>
      <c r="D124" s="23" t="s">
        <v>221</v>
      </c>
      <c r="E124" s="151" t="str">
        <f>'EP IS Restatements'!E124</f>
        <v>Miscellaneous</v>
      </c>
      <c r="F124" s="22">
        <f>'WWSCo IS Restatements'!M124</f>
        <v>-42.45</v>
      </c>
      <c r="G124" s="22">
        <v>0</v>
      </c>
      <c r="H124" s="23"/>
      <c r="I124" s="22">
        <v>0</v>
      </c>
      <c r="J124" s="22">
        <v>0</v>
      </c>
      <c r="K124" s="23"/>
      <c r="L124" s="22">
        <v>0</v>
      </c>
      <c r="M124" s="22">
        <f t="shared" si="11"/>
        <v>-0.93390000000000006</v>
      </c>
      <c r="N124" s="22">
        <v>0</v>
      </c>
      <c r="O124" s="22">
        <v>0</v>
      </c>
      <c r="P124" s="22">
        <f t="shared" si="9"/>
        <v>-0.93390000000000006</v>
      </c>
      <c r="Q124" s="22">
        <f t="shared" si="10"/>
        <v>-43.383900000000004</v>
      </c>
      <c r="R124" s="15"/>
    </row>
    <row r="125" spans="2:18" x14ac:dyDescent="0.25">
      <c r="B125" s="78">
        <f>MAX($B$8:B124)+1</f>
        <v>113</v>
      </c>
      <c r="C125" s="78" t="s">
        <v>175</v>
      </c>
      <c r="D125" s="23" t="s">
        <v>222</v>
      </c>
      <c r="E125" s="151" t="str">
        <f>'EP IS Restatements'!E125</f>
        <v>Bad Debt</v>
      </c>
      <c r="F125" s="22">
        <f>'WWSCo IS Restatements'!M125</f>
        <v>66934.69475000001</v>
      </c>
      <c r="G125" s="22">
        <v>0</v>
      </c>
      <c r="H125" s="23"/>
      <c r="I125" s="22">
        <v>0</v>
      </c>
      <c r="J125" s="22">
        <v>0</v>
      </c>
      <c r="K125" s="23"/>
      <c r="L125" s="22">
        <v>0</v>
      </c>
      <c r="M125" s="22">
        <f t="shared" si="11"/>
        <v>1472.5632845000002</v>
      </c>
      <c r="N125" s="22">
        <v>0</v>
      </c>
      <c r="O125" s="22">
        <v>0</v>
      </c>
      <c r="P125" s="22">
        <f t="shared" si="9"/>
        <v>1472.5632845000002</v>
      </c>
      <c r="Q125" s="22">
        <f t="shared" si="10"/>
        <v>68407.258034500017</v>
      </c>
      <c r="R125" s="15"/>
    </row>
    <row r="126" spans="2:18" x14ac:dyDescent="0.25">
      <c r="B126" s="78">
        <f>MAX($B$8:B125)+1</f>
        <v>114</v>
      </c>
      <c r="C126" s="78">
        <v>776000</v>
      </c>
      <c r="D126" s="23" t="s">
        <v>988</v>
      </c>
      <c r="E126" s="151" t="str">
        <f>'WWSCo IS Restatements'!E126</f>
        <v>Miscellaneous</v>
      </c>
      <c r="F126" s="22">
        <f>'WWSCo IS Restatements'!M126</f>
        <v>-80768.789999999994</v>
      </c>
      <c r="G126" s="22">
        <f>'WP PF4'!$M$17</f>
        <v>-63039.708333333328</v>
      </c>
      <c r="H126" s="23"/>
      <c r="I126" s="22"/>
      <c r="J126" s="22"/>
      <c r="K126" s="23"/>
      <c r="L126" s="22"/>
      <c r="M126" s="22">
        <f t="shared" si="11"/>
        <v>-3163.786963333333</v>
      </c>
      <c r="N126" s="22"/>
      <c r="O126" s="22"/>
      <c r="P126" s="22">
        <f t="shared" ref="P126" si="12">SUM(G126:O126)</f>
        <v>-66203.495296666661</v>
      </c>
      <c r="Q126" s="22">
        <f t="shared" ref="Q126" si="13">F126+P126</f>
        <v>-146972.28529666667</v>
      </c>
      <c r="R126" s="15"/>
    </row>
    <row r="127" spans="2:18" x14ac:dyDescent="0.25">
      <c r="B127" s="78">
        <f>MAX($B$8:B126)+1</f>
        <v>115</v>
      </c>
      <c r="C127" s="78" t="s">
        <v>176</v>
      </c>
      <c r="D127" s="23" t="s">
        <v>223</v>
      </c>
      <c r="E127" s="151" t="str">
        <f>'EP IS Restatements'!E127</f>
        <v>Rental of Building, Property, and Equipment</v>
      </c>
      <c r="F127" s="22">
        <f>'WWSCo IS Restatements'!M127</f>
        <v>-2417.31</v>
      </c>
      <c r="G127" s="22">
        <v>0</v>
      </c>
      <c r="H127" s="23"/>
      <c r="I127" s="22">
        <v>0</v>
      </c>
      <c r="J127" s="22">
        <v>0</v>
      </c>
      <c r="K127" s="23"/>
      <c r="L127" s="22">
        <v>0</v>
      </c>
      <c r="M127" s="22">
        <f t="shared" si="11"/>
        <v>-53.180819999999997</v>
      </c>
      <c r="N127" s="22">
        <v>0</v>
      </c>
      <c r="O127" s="22">
        <v>0</v>
      </c>
      <c r="P127" s="22">
        <f t="shared" si="9"/>
        <v>-53.180819999999997</v>
      </c>
      <c r="Q127" s="22">
        <f t="shared" si="10"/>
        <v>-2470.49082</v>
      </c>
      <c r="R127" s="15"/>
    </row>
    <row r="128" spans="2:18" x14ac:dyDescent="0.25">
      <c r="B128" s="78">
        <f>MAX($B$8:B127)+1</f>
        <v>116</v>
      </c>
      <c r="C128" s="78" t="s">
        <v>177</v>
      </c>
      <c r="D128" s="23" t="s">
        <v>224</v>
      </c>
      <c r="E128" s="151" t="str">
        <f>'EP IS Restatements'!E128</f>
        <v>Rental of Building, Property, and Equipment</v>
      </c>
      <c r="F128" s="22">
        <f>'WWSCo IS Restatements'!M128</f>
        <v>52548.600000000006</v>
      </c>
      <c r="G128" s="22">
        <v>0</v>
      </c>
      <c r="H128" s="23"/>
      <c r="I128" s="22">
        <v>0</v>
      </c>
      <c r="J128" s="22">
        <v>0</v>
      </c>
      <c r="K128" s="23"/>
      <c r="L128" s="22">
        <v>0</v>
      </c>
      <c r="M128" s="22">
        <f t="shared" si="11"/>
        <v>1156.0692000000001</v>
      </c>
      <c r="N128" s="22">
        <v>0</v>
      </c>
      <c r="O128" s="22">
        <v>0</v>
      </c>
      <c r="P128" s="22">
        <f t="shared" si="9"/>
        <v>1156.0692000000001</v>
      </c>
      <c r="Q128" s="22">
        <f t="shared" si="10"/>
        <v>53704.669200000004</v>
      </c>
      <c r="R128" s="15"/>
    </row>
    <row r="129" spans="2:18" x14ac:dyDescent="0.25">
      <c r="B129" s="78">
        <f>MAX($B$8:B128)+1</f>
        <v>117</v>
      </c>
      <c r="C129" s="78" t="s">
        <v>178</v>
      </c>
      <c r="D129" s="23" t="s">
        <v>225</v>
      </c>
      <c r="E129" s="151" t="str">
        <f>'EP IS Restatements'!E129</f>
        <v>Office, Postage, Phone, and Bank Charges</v>
      </c>
      <c r="F129" s="22">
        <f>'WWSCo IS Restatements'!M129</f>
        <v>0</v>
      </c>
      <c r="G129" s="22">
        <v>0</v>
      </c>
      <c r="H129" s="23"/>
      <c r="I129" s="22">
        <v>0</v>
      </c>
      <c r="J129" s="22">
        <v>0</v>
      </c>
      <c r="K129" s="23"/>
      <c r="L129" s="22">
        <v>0</v>
      </c>
      <c r="M129" s="22">
        <f t="shared" si="11"/>
        <v>0</v>
      </c>
      <c r="N129" s="22">
        <v>0</v>
      </c>
      <c r="O129" s="22">
        <v>0</v>
      </c>
      <c r="P129" s="22">
        <f t="shared" si="9"/>
        <v>0</v>
      </c>
      <c r="Q129" s="22">
        <f t="shared" si="10"/>
        <v>0</v>
      </c>
      <c r="R129" s="15"/>
    </row>
    <row r="130" spans="2:18" x14ac:dyDescent="0.25">
      <c r="B130" s="78">
        <f>MAX($B$8:B129)+1</f>
        <v>118</v>
      </c>
      <c r="C130" s="78" t="s">
        <v>226</v>
      </c>
      <c r="D130" s="23" t="s">
        <v>238</v>
      </c>
      <c r="E130" s="151" t="str">
        <f>'EP IS Restatements'!E130</f>
        <v>Salary and Wages - Employees</v>
      </c>
      <c r="F130" s="22">
        <f>'WWSCo IS Restatements'!M130</f>
        <v>480.4699999999998</v>
      </c>
      <c r="G130" s="22">
        <v>0</v>
      </c>
      <c r="H130" s="22">
        <f>SUM(F130:F130)*0.032</f>
        <v>15.375039999999993</v>
      </c>
      <c r="I130" s="22">
        <v>0</v>
      </c>
      <c r="J130" s="22">
        <v>0</v>
      </c>
      <c r="K130" s="23"/>
      <c r="L130" s="22">
        <v>0</v>
      </c>
      <c r="M130" s="22">
        <f t="shared" si="11"/>
        <v>0</v>
      </c>
      <c r="N130" s="22">
        <v>0</v>
      </c>
      <c r="O130" s="22">
        <v>0</v>
      </c>
      <c r="P130" s="22">
        <f t="shared" si="9"/>
        <v>15.375039999999993</v>
      </c>
      <c r="Q130" s="22">
        <f t="shared" ref="Q130:Q141" si="14">F130+P130</f>
        <v>495.84503999999981</v>
      </c>
      <c r="R130" s="15"/>
    </row>
    <row r="131" spans="2:18" x14ac:dyDescent="0.25">
      <c r="B131" s="78">
        <f>MAX($B$8:B130)+1</f>
        <v>119</v>
      </c>
      <c r="C131" s="78" t="s">
        <v>227</v>
      </c>
      <c r="D131" s="23" t="s">
        <v>239</v>
      </c>
      <c r="E131" s="151" t="str">
        <f>'EP IS Restatements'!E131</f>
        <v>Material &amp; Supplies</v>
      </c>
      <c r="F131" s="22">
        <f>'WWSCo IS Restatements'!M131</f>
        <v>125.34</v>
      </c>
      <c r="G131" s="22">
        <v>0</v>
      </c>
      <c r="H131" s="23"/>
      <c r="I131" s="22">
        <v>0</v>
      </c>
      <c r="J131" s="22">
        <v>0</v>
      </c>
      <c r="K131" s="23"/>
      <c r="L131" s="22">
        <v>0</v>
      </c>
      <c r="M131" s="22">
        <f t="shared" si="11"/>
        <v>2.7574799999999997</v>
      </c>
      <c r="N131" s="22">
        <v>0</v>
      </c>
      <c r="O131" s="22">
        <v>0</v>
      </c>
      <c r="P131" s="22">
        <f t="shared" si="9"/>
        <v>2.7574799999999997</v>
      </c>
      <c r="Q131" s="22">
        <f t="shared" si="14"/>
        <v>128.09747999999999</v>
      </c>
      <c r="R131" s="15"/>
    </row>
    <row r="132" spans="2:18" x14ac:dyDescent="0.25">
      <c r="B132" s="78">
        <f>MAX($B$8:B131)+1</f>
        <v>120</v>
      </c>
      <c r="C132" s="78" t="s">
        <v>228</v>
      </c>
      <c r="D132" s="23" t="s">
        <v>240</v>
      </c>
      <c r="E132" s="151" t="str">
        <f>'EP IS Restatements'!E132</f>
        <v>Material &amp; Supplies</v>
      </c>
      <c r="F132" s="22">
        <f>'WWSCo IS Restatements'!M132</f>
        <v>5037.41</v>
      </c>
      <c r="G132" s="22">
        <v>0</v>
      </c>
      <c r="H132" s="23"/>
      <c r="I132" s="22">
        <v>0</v>
      </c>
      <c r="J132" s="22">
        <v>0</v>
      </c>
      <c r="K132" s="23"/>
      <c r="L132" s="22">
        <v>0</v>
      </c>
      <c r="M132" s="22">
        <f t="shared" si="11"/>
        <v>110.82301999999999</v>
      </c>
      <c r="N132" s="22">
        <v>0</v>
      </c>
      <c r="O132" s="22">
        <v>0</v>
      </c>
      <c r="P132" s="22">
        <f t="shared" si="9"/>
        <v>110.82301999999999</v>
      </c>
      <c r="Q132" s="22">
        <f t="shared" si="14"/>
        <v>5148.2330199999997</v>
      </c>
      <c r="R132" s="15"/>
    </row>
    <row r="133" spans="2:18" x14ac:dyDescent="0.25">
      <c r="B133" s="78">
        <f>MAX($B$8:B132)+1</f>
        <v>121</v>
      </c>
      <c r="C133" s="78" t="s">
        <v>229</v>
      </c>
      <c r="D133" s="23" t="s">
        <v>241</v>
      </c>
      <c r="E133" s="151" t="str">
        <f>'EP IS Restatements'!E133</f>
        <v>Material &amp; Supplies</v>
      </c>
      <c r="F133" s="22">
        <f>'WWSCo IS Restatements'!M133</f>
        <v>-43.93</v>
      </c>
      <c r="G133" s="22">
        <v>0</v>
      </c>
      <c r="H133" s="23"/>
      <c r="I133" s="22">
        <v>0</v>
      </c>
      <c r="J133" s="22">
        <v>0</v>
      </c>
      <c r="K133" s="23"/>
      <c r="L133" s="22">
        <v>0</v>
      </c>
      <c r="M133" s="22">
        <f t="shared" si="11"/>
        <v>-0.96645999999999999</v>
      </c>
      <c r="N133" s="22">
        <v>0</v>
      </c>
      <c r="O133" s="22">
        <v>0</v>
      </c>
      <c r="P133" s="22">
        <f t="shared" si="9"/>
        <v>-0.96645999999999999</v>
      </c>
      <c r="Q133" s="22">
        <f t="shared" si="14"/>
        <v>-44.896459999999998</v>
      </c>
      <c r="R133" s="15"/>
    </row>
    <row r="134" spans="2:18" x14ac:dyDescent="0.25">
      <c r="B134" s="78">
        <f>MAX($B$8:B133)+1</f>
        <v>122</v>
      </c>
      <c r="C134" s="78" t="s">
        <v>230</v>
      </c>
      <c r="D134" s="23" t="s">
        <v>239</v>
      </c>
      <c r="E134" s="151" t="str">
        <f>'EP IS Restatements'!E134</f>
        <v>Material &amp; Supplies</v>
      </c>
      <c r="F134" s="22">
        <f>'WWSCo IS Restatements'!M134</f>
        <v>788.32</v>
      </c>
      <c r="G134" s="22">
        <v>0</v>
      </c>
      <c r="H134" s="23"/>
      <c r="I134" s="22">
        <v>0</v>
      </c>
      <c r="J134" s="22">
        <v>0</v>
      </c>
      <c r="K134" s="23"/>
      <c r="L134" s="22">
        <v>0</v>
      </c>
      <c r="M134" s="22">
        <f t="shared" si="11"/>
        <v>17.343039999999998</v>
      </c>
      <c r="N134" s="22">
        <v>0</v>
      </c>
      <c r="O134" s="22">
        <v>0</v>
      </c>
      <c r="P134" s="22">
        <f t="shared" si="9"/>
        <v>17.343039999999998</v>
      </c>
      <c r="Q134" s="22">
        <f t="shared" si="14"/>
        <v>805.66304000000002</v>
      </c>
      <c r="R134" s="15"/>
    </row>
    <row r="135" spans="2:18" x14ac:dyDescent="0.25">
      <c r="B135" s="78">
        <f>MAX($B$8:B134)+1</f>
        <v>123</v>
      </c>
      <c r="C135" s="78" t="s">
        <v>231</v>
      </c>
      <c r="D135" s="23" t="s">
        <v>242</v>
      </c>
      <c r="E135" s="151" t="str">
        <f>'EP IS Restatements'!E135</f>
        <v>Salary and Wages - Employees</v>
      </c>
      <c r="F135" s="22">
        <f>'WWSCo IS Restatements'!M135</f>
        <v>102.48000000000002</v>
      </c>
      <c r="G135" s="22">
        <v>0</v>
      </c>
      <c r="H135" s="22">
        <f>SUM(F135:F135)*0.032</f>
        <v>3.2793600000000005</v>
      </c>
      <c r="I135" s="22">
        <v>0</v>
      </c>
      <c r="J135" s="22">
        <v>0</v>
      </c>
      <c r="K135" s="23"/>
      <c r="L135" s="22">
        <v>0</v>
      </c>
      <c r="M135" s="22">
        <f t="shared" si="11"/>
        <v>0</v>
      </c>
      <c r="N135" s="22">
        <v>0</v>
      </c>
      <c r="O135" s="22">
        <v>0</v>
      </c>
      <c r="P135" s="22">
        <f t="shared" si="9"/>
        <v>3.2793600000000005</v>
      </c>
      <c r="Q135" s="22">
        <f t="shared" si="14"/>
        <v>105.75936000000002</v>
      </c>
      <c r="R135" s="15"/>
    </row>
    <row r="136" spans="2:18" x14ac:dyDescent="0.25">
      <c r="B136" s="78">
        <f>MAX($B$8:B135)+1</f>
        <v>124</v>
      </c>
      <c r="C136" s="78" t="s">
        <v>232</v>
      </c>
      <c r="D136" s="23" t="s">
        <v>243</v>
      </c>
      <c r="E136" s="151" t="str">
        <f>'EP IS Restatements'!E136</f>
        <v>Material &amp; Supplies</v>
      </c>
      <c r="F136" s="22">
        <f>'WWSCo IS Restatements'!M136</f>
        <v>16335.25</v>
      </c>
      <c r="G136" s="22">
        <v>0</v>
      </c>
      <c r="H136" s="23"/>
      <c r="I136" s="22">
        <v>0</v>
      </c>
      <c r="J136" s="22">
        <v>0</v>
      </c>
      <c r="K136" s="23"/>
      <c r="L136" s="22">
        <v>0</v>
      </c>
      <c r="M136" s="22">
        <f t="shared" si="11"/>
        <v>359.37549999999999</v>
      </c>
      <c r="N136" s="22">
        <v>0</v>
      </c>
      <c r="O136" s="22">
        <v>0</v>
      </c>
      <c r="P136" s="22">
        <f t="shared" si="9"/>
        <v>359.37549999999999</v>
      </c>
      <c r="Q136" s="22">
        <f t="shared" si="14"/>
        <v>16694.625499999998</v>
      </c>
      <c r="R136" s="15"/>
    </row>
    <row r="137" spans="2:18" x14ac:dyDescent="0.25">
      <c r="B137" s="78">
        <f>MAX($B$8:B136)+1</f>
        <v>125</v>
      </c>
      <c r="C137" s="78" t="s">
        <v>233</v>
      </c>
      <c r="D137" s="23" t="s">
        <v>244</v>
      </c>
      <c r="E137" s="151" t="str">
        <f>'EP IS Restatements'!E137</f>
        <v>Material &amp; Supplies</v>
      </c>
      <c r="F137" s="22">
        <f>'WWSCo IS Restatements'!M137</f>
        <v>26347.939999999995</v>
      </c>
      <c r="G137" s="22">
        <f>'WP PF4'!$M$16</f>
        <v>-2006.3999999999999</v>
      </c>
      <c r="H137" s="23"/>
      <c r="I137" s="22">
        <v>0</v>
      </c>
      <c r="J137" s="22">
        <v>0</v>
      </c>
      <c r="K137" s="23"/>
      <c r="L137" s="22">
        <v>0</v>
      </c>
      <c r="M137" s="22">
        <f>IF(SUM(H137:K137)=0,SUM(F137:K137)*0.022,0)</f>
        <v>535.51387999999986</v>
      </c>
      <c r="N137" s="22">
        <v>0</v>
      </c>
      <c r="O137" s="22">
        <v>0</v>
      </c>
      <c r="P137" s="22">
        <f t="shared" si="9"/>
        <v>-1470.8861200000001</v>
      </c>
      <c r="Q137" s="22">
        <f t="shared" si="14"/>
        <v>24877.053879999996</v>
      </c>
      <c r="R137" s="15"/>
    </row>
    <row r="138" spans="2:18" x14ac:dyDescent="0.25">
      <c r="B138" s="78">
        <f>MAX($B$8:B137)+1</f>
        <v>126</v>
      </c>
      <c r="C138" s="78" t="s">
        <v>234</v>
      </c>
      <c r="D138" s="23" t="s">
        <v>245</v>
      </c>
      <c r="E138" s="151" t="str">
        <f>'EP IS Restatements'!E138</f>
        <v>Material &amp; Supplies</v>
      </c>
      <c r="F138" s="22">
        <f>'WWSCo IS Restatements'!M138</f>
        <v>3272.8199999999997</v>
      </c>
      <c r="G138" s="22">
        <v>0</v>
      </c>
      <c r="H138" s="23"/>
      <c r="I138" s="22">
        <v>0</v>
      </c>
      <c r="J138" s="22">
        <v>0</v>
      </c>
      <c r="K138" s="23"/>
      <c r="L138" s="22">
        <v>0</v>
      </c>
      <c r="M138" s="22">
        <f t="shared" si="11"/>
        <v>72.002039999999994</v>
      </c>
      <c r="N138" s="22">
        <v>0</v>
      </c>
      <c r="O138" s="22">
        <v>0</v>
      </c>
      <c r="P138" s="22">
        <f t="shared" si="9"/>
        <v>72.002039999999994</v>
      </c>
      <c r="Q138" s="22">
        <f t="shared" si="14"/>
        <v>3344.8220399999996</v>
      </c>
      <c r="R138" s="15"/>
    </row>
    <row r="139" spans="2:18" x14ac:dyDescent="0.25">
      <c r="B139" s="78">
        <f>MAX($B$8:B138)+1</f>
        <v>127</v>
      </c>
      <c r="C139" s="78" t="s">
        <v>235</v>
      </c>
      <c r="D139" s="23" t="s">
        <v>246</v>
      </c>
      <c r="E139" s="151" t="str">
        <f>'EP IS Restatements'!E139</f>
        <v>Material &amp; Supplies</v>
      </c>
      <c r="F139" s="22">
        <f>'WWSCo IS Restatements'!M139</f>
        <v>372.80000000000018</v>
      </c>
      <c r="G139" s="22">
        <v>0</v>
      </c>
      <c r="H139" s="23"/>
      <c r="I139" s="22">
        <v>0</v>
      </c>
      <c r="J139" s="22">
        <v>0</v>
      </c>
      <c r="K139" s="23"/>
      <c r="L139" s="22">
        <v>0</v>
      </c>
      <c r="M139" s="22">
        <f t="shared" si="11"/>
        <v>8.2016000000000027</v>
      </c>
      <c r="N139" s="22">
        <v>0</v>
      </c>
      <c r="O139" s="22">
        <v>0</v>
      </c>
      <c r="P139" s="22">
        <f t="shared" si="9"/>
        <v>8.2016000000000027</v>
      </c>
      <c r="Q139" s="22">
        <f t="shared" si="14"/>
        <v>381.00160000000017</v>
      </c>
      <c r="R139" s="15"/>
    </row>
    <row r="140" spans="2:18" x14ac:dyDescent="0.25">
      <c r="B140" s="78">
        <f>MAX($B$8:B139)+1</f>
        <v>128</v>
      </c>
      <c r="C140" s="78" t="s">
        <v>236</v>
      </c>
      <c r="D140" s="23" t="s">
        <v>247</v>
      </c>
      <c r="E140" s="151" t="str">
        <f>'EP IS Restatements'!E140</f>
        <v>Material &amp; Supplies</v>
      </c>
      <c r="F140" s="22">
        <f>'WWSCo IS Restatements'!M140</f>
        <v>1557.94</v>
      </c>
      <c r="G140" s="22">
        <v>0</v>
      </c>
      <c r="H140" s="23"/>
      <c r="I140" s="22">
        <v>0</v>
      </c>
      <c r="J140" s="22">
        <v>0</v>
      </c>
      <c r="K140" s="23"/>
      <c r="L140" s="22">
        <v>0</v>
      </c>
      <c r="M140" s="22">
        <f t="shared" si="11"/>
        <v>34.274679999999996</v>
      </c>
      <c r="N140" s="22">
        <v>0</v>
      </c>
      <c r="O140" s="22">
        <v>0</v>
      </c>
      <c r="P140" s="22">
        <f t="shared" si="9"/>
        <v>34.274679999999996</v>
      </c>
      <c r="Q140" s="22">
        <f t="shared" si="14"/>
        <v>1592.21468</v>
      </c>
      <c r="R140" s="15"/>
    </row>
    <row r="141" spans="2:18" x14ac:dyDescent="0.25">
      <c r="B141" s="78">
        <f>MAX($B$8:B140)+1</f>
        <v>129</v>
      </c>
      <c r="C141" s="78" t="s">
        <v>237</v>
      </c>
      <c r="D141" s="23" t="s">
        <v>248</v>
      </c>
      <c r="E141" s="151" t="str">
        <f>'EP IS Restatements'!E141</f>
        <v>Material &amp; Supplies</v>
      </c>
      <c r="F141" s="22">
        <f>'WWSCo IS Restatements'!M141</f>
        <v>354.32</v>
      </c>
      <c r="G141" s="22">
        <v>0</v>
      </c>
      <c r="H141" s="23"/>
      <c r="I141" s="22">
        <v>0</v>
      </c>
      <c r="J141" s="22">
        <v>0</v>
      </c>
      <c r="K141" s="23"/>
      <c r="L141" s="22">
        <v>0</v>
      </c>
      <c r="M141" s="22">
        <f t="shared" si="11"/>
        <v>7.7950399999999993</v>
      </c>
      <c r="N141" s="22">
        <v>0</v>
      </c>
      <c r="O141" s="22">
        <v>0</v>
      </c>
      <c r="P141" s="22">
        <f t="shared" si="9"/>
        <v>7.7950399999999993</v>
      </c>
      <c r="Q141" s="22">
        <f t="shared" si="14"/>
        <v>362.11503999999996</v>
      </c>
      <c r="R141" s="15"/>
    </row>
    <row r="142" spans="2:18" ht="3.75" customHeight="1" x14ac:dyDescent="0.25">
      <c r="B142" s="78"/>
      <c r="C142" s="78"/>
      <c r="D142" s="23"/>
      <c r="E142" s="151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5"/>
    </row>
    <row r="143" spans="2:18" x14ac:dyDescent="0.25">
      <c r="B143" s="78">
        <f>MAX($B$8:B142)+1</f>
        <v>130</v>
      </c>
      <c r="C143" s="78"/>
      <c r="D143" s="146" t="s">
        <v>253</v>
      </c>
      <c r="E143" s="152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5"/>
    </row>
    <row r="144" spans="2:18" x14ac:dyDescent="0.25">
      <c r="B144" s="78">
        <f>MAX($B$8:B143)+1</f>
        <v>131</v>
      </c>
      <c r="C144" s="78" t="s">
        <v>249</v>
      </c>
      <c r="D144" s="23" t="s">
        <v>251</v>
      </c>
      <c r="E144" s="151" t="str">
        <f>'EP IS Restatements'!E144</f>
        <v>Net Depreciation/Amortization</v>
      </c>
      <c r="F144" s="22">
        <f>'WWSCo IS Restatements'!M144</f>
        <v>1664009.5299999998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f t="shared" ref="P144:P145" si="15">SUM(G144:O144)</f>
        <v>0</v>
      </c>
      <c r="Q144" s="22">
        <f>F144+P144</f>
        <v>1664009.5299999998</v>
      </c>
      <c r="R144" s="15"/>
    </row>
    <row r="145" spans="2:18" x14ac:dyDescent="0.25">
      <c r="B145" s="78">
        <f>MAX($B$8:B144)+1</f>
        <v>132</v>
      </c>
      <c r="C145" s="78" t="s">
        <v>250</v>
      </c>
      <c r="D145" s="23" t="s">
        <v>252</v>
      </c>
      <c r="E145" s="151" t="str">
        <f>'EP IS Restatements'!E145</f>
        <v>Net Depreciation/Amortization</v>
      </c>
      <c r="F145" s="22">
        <f>'WWSCo IS Restatements'!M145</f>
        <v>173247.5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f t="shared" si="15"/>
        <v>0</v>
      </c>
      <c r="Q145" s="22">
        <f>F145+P145</f>
        <v>173247.5</v>
      </c>
      <c r="R145" s="15"/>
    </row>
    <row r="146" spans="2:18" ht="3.75" customHeight="1" x14ac:dyDescent="0.25">
      <c r="B146" s="78"/>
      <c r="C146" s="78"/>
      <c r="D146" s="23"/>
      <c r="E146" s="151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15"/>
    </row>
    <row r="147" spans="2:18" x14ac:dyDescent="0.25">
      <c r="B147" s="78">
        <f>MAX($B$8:B146)+1</f>
        <v>133</v>
      </c>
      <c r="C147" s="78"/>
      <c r="D147" s="146" t="s">
        <v>254</v>
      </c>
      <c r="E147" s="152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15"/>
    </row>
    <row r="148" spans="2:18" x14ac:dyDescent="0.25">
      <c r="B148" s="78">
        <f>MAX($B$8:B147)+1</f>
        <v>134</v>
      </c>
      <c r="C148" s="78" t="s">
        <v>255</v>
      </c>
      <c r="D148" s="23" t="s">
        <v>256</v>
      </c>
      <c r="E148" s="151" t="str">
        <f>'EP IS Restatements'!E148</f>
        <v>Federal Income Tax (FIT)</v>
      </c>
      <c r="F148" s="22">
        <f>'WWSCo IS Restatements'!M148</f>
        <v>401814.32999999996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f t="shared" ref="P148" si="16">SUM(G148:O148)</f>
        <v>0</v>
      </c>
      <c r="Q148" s="22">
        <f>F148+P148</f>
        <v>401814.32999999996</v>
      </c>
      <c r="R148" s="15"/>
    </row>
    <row r="149" spans="2:18" ht="3.75" customHeight="1" x14ac:dyDescent="0.25">
      <c r="B149" s="78"/>
      <c r="C149" s="78"/>
      <c r="D149" s="23"/>
      <c r="E149" s="151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15"/>
    </row>
    <row r="150" spans="2:18" x14ac:dyDescent="0.25">
      <c r="B150" s="78">
        <f>MAX($B$8:B149)+1</f>
        <v>135</v>
      </c>
      <c r="C150" s="78"/>
      <c r="D150" s="146" t="s">
        <v>257</v>
      </c>
      <c r="E150" s="152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15"/>
    </row>
    <row r="151" spans="2:18" x14ac:dyDescent="0.25">
      <c r="B151" s="78">
        <f>MAX($B$8:B150)+1</f>
        <v>136</v>
      </c>
      <c r="C151" s="78" t="s">
        <v>266</v>
      </c>
      <c r="D151" s="23" t="s">
        <v>258</v>
      </c>
      <c r="E151" s="151" t="str">
        <f>'EP IS Restatements'!E151</f>
        <v>Other Taxes &amp; Licenses (DOH/DOE)</v>
      </c>
      <c r="F151" s="22">
        <f>'WWSCo IS Restatements'!M151</f>
        <v>663.3599999999999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f t="shared" ref="P151:P158" si="17">SUM(G151:O151)</f>
        <v>0</v>
      </c>
      <c r="Q151" s="22">
        <f t="shared" ref="Q151:Q158" si="18">F151+P151</f>
        <v>663.3599999999999</v>
      </c>
      <c r="R151" s="15"/>
    </row>
    <row r="152" spans="2:18" x14ac:dyDescent="0.25">
      <c r="B152" s="78">
        <f>MAX($B$8:B151)+1</f>
        <v>137</v>
      </c>
      <c r="C152" s="78" t="s">
        <v>267</v>
      </c>
      <c r="D152" s="23" t="s">
        <v>259</v>
      </c>
      <c r="E152" s="151" t="str">
        <f>'EP IS Restatements'!E152</f>
        <v>Payroll Tax (ESD, L&amp;I)</v>
      </c>
      <c r="F152" s="22">
        <f>'WWSCo IS Restatements'!M152</f>
        <v>375027.43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f t="shared" si="17"/>
        <v>0</v>
      </c>
      <c r="Q152" s="22">
        <f t="shared" si="18"/>
        <v>375027.43</v>
      </c>
      <c r="R152" s="15"/>
    </row>
    <row r="153" spans="2:18" x14ac:dyDescent="0.25">
      <c r="B153" s="78">
        <f>MAX($B$8:B152)+1</f>
        <v>138</v>
      </c>
      <c r="C153" s="78" t="s">
        <v>268</v>
      </c>
      <c r="D153" s="23" t="s">
        <v>260</v>
      </c>
      <c r="E153" s="151" t="str">
        <f>'EP IS Restatements'!E153</f>
        <v>Payroll Tax (ESD, L&amp;I)</v>
      </c>
      <c r="F153" s="22">
        <f>'WWSCo IS Restatements'!M153</f>
        <v>3563.71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f t="shared" si="17"/>
        <v>0</v>
      </c>
      <c r="Q153" s="22">
        <f t="shared" si="18"/>
        <v>3563.71</v>
      </c>
      <c r="R153" s="15"/>
    </row>
    <row r="154" spans="2:18" x14ac:dyDescent="0.25">
      <c r="B154" s="78">
        <f>MAX($B$8:B153)+1</f>
        <v>139</v>
      </c>
      <c r="C154" s="78" t="s">
        <v>269</v>
      </c>
      <c r="D154" s="23" t="s">
        <v>261</v>
      </c>
      <c r="E154" s="151" t="str">
        <f>'EP IS Restatements'!E154</f>
        <v>Payroll Tax (ESD, L&amp;I)</v>
      </c>
      <c r="F154" s="22">
        <f>'WWSCo IS Restatements'!M154</f>
        <v>17895.14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f t="shared" si="17"/>
        <v>0</v>
      </c>
      <c r="Q154" s="22">
        <f t="shared" si="18"/>
        <v>17895.14</v>
      </c>
      <c r="R154" s="15"/>
    </row>
    <row r="155" spans="2:18" x14ac:dyDescent="0.25">
      <c r="B155" s="78">
        <f>MAX($B$8:B154)+1</f>
        <v>140</v>
      </c>
      <c r="C155" s="78" t="s">
        <v>270</v>
      </c>
      <c r="D155" s="23" t="s">
        <v>262</v>
      </c>
      <c r="E155" s="151" t="str">
        <f>'EP IS Restatements'!E155</f>
        <v>Property Tax</v>
      </c>
      <c r="F155" s="22">
        <f>'WWSCo IS Restatements'!M155</f>
        <v>237847.90000000002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f>'WP PF11'!G8</f>
        <v>32810.786999999982</v>
      </c>
      <c r="O155" s="22">
        <v>0</v>
      </c>
      <c r="P155" s="22">
        <f t="shared" si="17"/>
        <v>32810.786999999982</v>
      </c>
      <c r="Q155" s="22">
        <f t="shared" si="18"/>
        <v>270658.68700000003</v>
      </c>
      <c r="R155" s="15"/>
    </row>
    <row r="156" spans="2:18" x14ac:dyDescent="0.25">
      <c r="B156" s="78">
        <f>MAX($B$8:B155)+1</f>
        <v>141</v>
      </c>
      <c r="C156" s="78" t="s">
        <v>271</v>
      </c>
      <c r="D156" s="23" t="s">
        <v>263</v>
      </c>
      <c r="E156" s="151" t="str">
        <f>'EP IS Restatements'!E156</f>
        <v>Utility Excise Tax</v>
      </c>
      <c r="F156" s="22">
        <f>'WWSCo IS Restatements'!M156</f>
        <v>721439.98</v>
      </c>
      <c r="G156" s="22">
        <f>'WP PF4'!$M$10</f>
        <v>24845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f t="shared" si="17"/>
        <v>24845</v>
      </c>
      <c r="Q156" s="22">
        <f t="shared" si="18"/>
        <v>746284.98</v>
      </c>
      <c r="R156" s="15"/>
    </row>
    <row r="157" spans="2:18" x14ac:dyDescent="0.25">
      <c r="B157" s="78">
        <f>MAX($B$8:B156)+1</f>
        <v>142</v>
      </c>
      <c r="C157" s="78" t="s">
        <v>272</v>
      </c>
      <c r="D157" s="23" t="s">
        <v>264</v>
      </c>
      <c r="E157" s="151" t="str">
        <f>'EP IS Restatements'!E157</f>
        <v>Utility Excise Tax</v>
      </c>
      <c r="F157" s="22">
        <f>'WWSCo IS Restatements'!M157</f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f t="shared" si="17"/>
        <v>0</v>
      </c>
      <c r="Q157" s="22">
        <f t="shared" si="18"/>
        <v>0</v>
      </c>
      <c r="R157" s="15"/>
    </row>
    <row r="158" spans="2:18" x14ac:dyDescent="0.25">
      <c r="B158" s="78">
        <f>MAX($B$8:B157)+1</f>
        <v>143</v>
      </c>
      <c r="C158" s="78" t="s">
        <v>273</v>
      </c>
      <c r="D158" s="23" t="s">
        <v>265</v>
      </c>
      <c r="E158" s="151" t="str">
        <f>'EP IS Restatements'!E158</f>
        <v>Payroll Tax (ESD, L&amp;I)</v>
      </c>
      <c r="F158" s="22">
        <f>'WWSCo IS Restatements'!M158</f>
        <v>-195694.41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f t="shared" si="17"/>
        <v>0</v>
      </c>
      <c r="Q158" s="22">
        <f t="shared" si="18"/>
        <v>-195694.41</v>
      </c>
      <c r="R158" s="15"/>
    </row>
    <row r="159" spans="2:18" ht="3.75" customHeight="1" x14ac:dyDescent="0.25">
      <c r="B159" s="78"/>
      <c r="C159" s="78"/>
      <c r="D159" s="23"/>
      <c r="E159" s="151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15"/>
    </row>
    <row r="160" spans="2:18" x14ac:dyDescent="0.25">
      <c r="B160" s="78">
        <f>MAX($B$8:B159)+1</f>
        <v>144</v>
      </c>
      <c r="C160" s="78"/>
      <c r="D160" s="146" t="s">
        <v>274</v>
      </c>
      <c r="E160" s="152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15"/>
    </row>
    <row r="161" spans="2:18" x14ac:dyDescent="0.25">
      <c r="B161" s="78">
        <f>MAX($B$8:B160)+1</f>
        <v>145</v>
      </c>
      <c r="C161" s="78" t="s">
        <v>275</v>
      </c>
      <c r="D161" s="23" t="s">
        <v>303</v>
      </c>
      <c r="E161" s="151" t="str">
        <f>'EP IS Restatements'!E161</f>
        <v>Jobbing ( R )</v>
      </c>
      <c r="F161" s="22">
        <f>'WWSCo IS Restatements'!M161</f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f t="shared" ref="P161:P188" si="19">SUM(G161:O161)</f>
        <v>0</v>
      </c>
      <c r="Q161" s="22">
        <f t="shared" ref="Q161:Q188" si="20">F161+P161</f>
        <v>0</v>
      </c>
      <c r="R161" s="15"/>
    </row>
    <row r="162" spans="2:18" x14ac:dyDescent="0.25">
      <c r="B162" s="78">
        <f>MAX($B$8:B161)+1</f>
        <v>146</v>
      </c>
      <c r="C162" s="78" t="s">
        <v>276</v>
      </c>
      <c r="D162" s="23" t="s">
        <v>304</v>
      </c>
      <c r="E162" s="151" t="str">
        <f>'EP IS Restatements'!E162</f>
        <v>Jobbing ( R )</v>
      </c>
      <c r="F162" s="22">
        <f>'WWSCo IS Restatements'!M162</f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f t="shared" si="19"/>
        <v>0</v>
      </c>
      <c r="Q162" s="22">
        <f t="shared" si="20"/>
        <v>0</v>
      </c>
      <c r="R162" s="15"/>
    </row>
    <row r="163" spans="2:18" x14ac:dyDescent="0.25">
      <c r="B163" s="78">
        <f>MAX($B$8:B162)+1</f>
        <v>147</v>
      </c>
      <c r="C163" s="78" t="s">
        <v>277</v>
      </c>
      <c r="D163" s="23" t="s">
        <v>305</v>
      </c>
      <c r="E163" s="151" t="str">
        <f>'EP IS Restatements'!E163</f>
        <v>Jobbing ( R )</v>
      </c>
      <c r="F163" s="22">
        <f>'WWSCo IS Restatements'!M163</f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f t="shared" si="19"/>
        <v>0</v>
      </c>
      <c r="Q163" s="22">
        <f t="shared" si="20"/>
        <v>0</v>
      </c>
      <c r="R163" s="15"/>
    </row>
    <row r="164" spans="2:18" x14ac:dyDescent="0.25">
      <c r="B164" s="78">
        <f>MAX($B$8:B163)+1</f>
        <v>148</v>
      </c>
      <c r="C164" s="78" t="s">
        <v>278</v>
      </c>
      <c r="D164" s="23" t="s">
        <v>306</v>
      </c>
      <c r="E164" s="151" t="str">
        <f>'EP IS Restatements'!E164</f>
        <v>Jobbing ( R )</v>
      </c>
      <c r="F164" s="22">
        <f>'WWSCo IS Restatements'!M164</f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f t="shared" si="19"/>
        <v>0</v>
      </c>
      <c r="Q164" s="22">
        <f t="shared" si="20"/>
        <v>0</v>
      </c>
      <c r="R164" s="15"/>
    </row>
    <row r="165" spans="2:18" x14ac:dyDescent="0.25">
      <c r="B165" s="78">
        <f>MAX($B$8:B164)+1</f>
        <v>149</v>
      </c>
      <c r="C165" s="78" t="s">
        <v>279</v>
      </c>
      <c r="D165" s="23" t="s">
        <v>307</v>
      </c>
      <c r="E165" s="151" t="str">
        <f>'EP IS Restatements'!E165</f>
        <v>Jobbing ( R )</v>
      </c>
      <c r="F165" s="22">
        <f>'WWSCo IS Restatements'!M165</f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f t="shared" si="19"/>
        <v>0</v>
      </c>
      <c r="Q165" s="22">
        <f t="shared" si="20"/>
        <v>0</v>
      </c>
      <c r="R165" s="15"/>
    </row>
    <row r="166" spans="2:18" x14ac:dyDescent="0.25">
      <c r="B166" s="78">
        <f>MAX($B$8:B165)+1</f>
        <v>150</v>
      </c>
      <c r="C166" s="78" t="s">
        <v>280</v>
      </c>
      <c r="D166" s="23" t="s">
        <v>308</v>
      </c>
      <c r="E166" s="151" t="str">
        <f>'EP IS Restatements'!E166</f>
        <v>Jobbing ( R )</v>
      </c>
      <c r="F166" s="22">
        <f>'WWSCo IS Restatements'!M166</f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f t="shared" si="19"/>
        <v>0</v>
      </c>
      <c r="Q166" s="22">
        <f t="shared" si="20"/>
        <v>0</v>
      </c>
      <c r="R166" s="15"/>
    </row>
    <row r="167" spans="2:18" x14ac:dyDescent="0.25">
      <c r="B167" s="78">
        <f>MAX($B$8:B166)+1</f>
        <v>151</v>
      </c>
      <c r="C167" s="78" t="s">
        <v>281</v>
      </c>
      <c r="D167" s="23" t="s">
        <v>309</v>
      </c>
      <c r="E167" s="151" t="str">
        <f>'EP IS Restatements'!E167</f>
        <v>Jobbing ( R )</v>
      </c>
      <c r="F167" s="22">
        <f>'WWSCo IS Restatements'!M167</f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f t="shared" si="19"/>
        <v>0</v>
      </c>
      <c r="Q167" s="22">
        <f t="shared" si="20"/>
        <v>0</v>
      </c>
      <c r="R167" s="15"/>
    </row>
    <row r="168" spans="2:18" x14ac:dyDescent="0.25">
      <c r="B168" s="78">
        <f>MAX($B$8:B167)+1</f>
        <v>152</v>
      </c>
      <c r="C168" s="78" t="s">
        <v>282</v>
      </c>
      <c r="D168" s="23" t="s">
        <v>310</v>
      </c>
      <c r="E168" s="151" t="str">
        <f>'EP IS Restatements'!E168</f>
        <v>Jobbing ( E )</v>
      </c>
      <c r="F168" s="22">
        <f>'WWSCo IS Restatements'!M168</f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f t="shared" si="19"/>
        <v>0</v>
      </c>
      <c r="Q168" s="22">
        <f t="shared" si="20"/>
        <v>0</v>
      </c>
      <c r="R168" s="15"/>
    </row>
    <row r="169" spans="2:18" x14ac:dyDescent="0.25">
      <c r="B169" s="78">
        <f>MAX($B$8:B168)+1</f>
        <v>153</v>
      </c>
      <c r="C169" s="78" t="s">
        <v>283</v>
      </c>
      <c r="D169" s="23" t="s">
        <v>311</v>
      </c>
      <c r="E169" s="151" t="str">
        <f>'EP IS Restatements'!E169</f>
        <v>Jobbing ( E )</v>
      </c>
      <c r="F169" s="22">
        <f>'WWSCo IS Restatements'!M169</f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f t="shared" si="19"/>
        <v>0</v>
      </c>
      <c r="Q169" s="22">
        <f t="shared" si="20"/>
        <v>0</v>
      </c>
      <c r="R169" s="15"/>
    </row>
    <row r="170" spans="2:18" x14ac:dyDescent="0.25">
      <c r="B170" s="78">
        <f>MAX($B$8:B169)+1</f>
        <v>154</v>
      </c>
      <c r="C170" s="78" t="s">
        <v>284</v>
      </c>
      <c r="D170" s="23" t="s">
        <v>312</v>
      </c>
      <c r="E170" s="151" t="str">
        <f>'EP IS Restatements'!E170</f>
        <v>Jobbing ( E )</v>
      </c>
      <c r="F170" s="22">
        <f>'WWSCo IS Restatements'!M170</f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f t="shared" si="19"/>
        <v>0</v>
      </c>
      <c r="Q170" s="22">
        <f t="shared" si="20"/>
        <v>0</v>
      </c>
      <c r="R170" s="15"/>
    </row>
    <row r="171" spans="2:18" x14ac:dyDescent="0.25">
      <c r="B171" s="78">
        <f>MAX($B$8:B170)+1</f>
        <v>155</v>
      </c>
      <c r="C171" s="78" t="s">
        <v>285</v>
      </c>
      <c r="D171" s="23" t="s">
        <v>313</v>
      </c>
      <c r="E171" s="151" t="str">
        <f>'EP IS Restatements'!E171</f>
        <v>Jobbing ( E )</v>
      </c>
      <c r="F171" s="22">
        <f>'WWSCo IS Restatements'!M171</f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f t="shared" si="19"/>
        <v>0</v>
      </c>
      <c r="Q171" s="22">
        <f t="shared" si="20"/>
        <v>0</v>
      </c>
      <c r="R171" s="15"/>
    </row>
    <row r="172" spans="2:18" x14ac:dyDescent="0.25">
      <c r="B172" s="78">
        <f>MAX($B$8:B171)+1</f>
        <v>156</v>
      </c>
      <c r="C172" s="78" t="s">
        <v>286</v>
      </c>
      <c r="D172" s="23" t="s">
        <v>314</v>
      </c>
      <c r="E172" s="151" t="str">
        <f>'EP IS Restatements'!E172</f>
        <v>Jobbing ( E )</v>
      </c>
      <c r="F172" s="22">
        <f>'WWSCo IS Restatements'!M172</f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f t="shared" si="19"/>
        <v>0</v>
      </c>
      <c r="Q172" s="22">
        <f t="shared" si="20"/>
        <v>0</v>
      </c>
      <c r="R172" s="15"/>
    </row>
    <row r="173" spans="2:18" x14ac:dyDescent="0.25">
      <c r="B173" s="78">
        <f>MAX($B$8:B172)+1</f>
        <v>157</v>
      </c>
      <c r="C173" s="78" t="s">
        <v>287</v>
      </c>
      <c r="D173" s="23" t="s">
        <v>315</v>
      </c>
      <c r="E173" s="151" t="str">
        <f>'EP IS Restatements'!E173</f>
        <v>Jobbing ( E )</v>
      </c>
      <c r="F173" s="22">
        <f>'WWSCo IS Restatements'!M173</f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f t="shared" si="19"/>
        <v>0</v>
      </c>
      <c r="Q173" s="22">
        <f t="shared" si="20"/>
        <v>0</v>
      </c>
      <c r="R173" s="15"/>
    </row>
    <row r="174" spans="2:18" x14ac:dyDescent="0.25">
      <c r="B174" s="78">
        <f>MAX($B$8:B173)+1</f>
        <v>158</v>
      </c>
      <c r="C174" s="78" t="s">
        <v>288</v>
      </c>
      <c r="D174" s="23" t="s">
        <v>316</v>
      </c>
      <c r="E174" s="151" t="str">
        <f>'EP IS Restatements'!E174</f>
        <v/>
      </c>
      <c r="F174" s="22">
        <f>'WWSCo IS Restatements'!M174</f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f t="shared" si="19"/>
        <v>0</v>
      </c>
      <c r="Q174" s="22">
        <f t="shared" si="20"/>
        <v>0</v>
      </c>
      <c r="R174" s="15"/>
    </row>
    <row r="175" spans="2:18" x14ac:dyDescent="0.25">
      <c r="B175" s="78">
        <f>MAX($B$8:B174)+1</f>
        <v>159</v>
      </c>
      <c r="C175" s="78" t="s">
        <v>289</v>
      </c>
      <c r="D175" s="23" t="s">
        <v>317</v>
      </c>
      <c r="E175" s="151" t="str">
        <f>'EP IS Restatements'!E175</f>
        <v>Jobbing ( E )</v>
      </c>
      <c r="F175" s="22">
        <f>'WWSCo IS Restatements'!M175</f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f t="shared" si="19"/>
        <v>0</v>
      </c>
      <c r="Q175" s="22">
        <f t="shared" si="20"/>
        <v>0</v>
      </c>
      <c r="R175" s="15"/>
    </row>
    <row r="176" spans="2:18" x14ac:dyDescent="0.25">
      <c r="B176" s="78">
        <f>MAX($B$8:B175)+1</f>
        <v>160</v>
      </c>
      <c r="C176" s="78" t="s">
        <v>290</v>
      </c>
      <c r="D176" s="23" t="s">
        <v>318</v>
      </c>
      <c r="E176" s="151" t="str">
        <f>'EP IS Restatements'!E176</f>
        <v>Jobbing ( E )</v>
      </c>
      <c r="F176" s="22">
        <f>'WWSCo IS Restatements'!M176</f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f t="shared" si="19"/>
        <v>0</v>
      </c>
      <c r="Q176" s="22">
        <f t="shared" si="20"/>
        <v>0</v>
      </c>
      <c r="R176" s="15"/>
    </row>
    <row r="177" spans="2:18" x14ac:dyDescent="0.25">
      <c r="B177" s="78">
        <f>MAX($B$8:B176)+1</f>
        <v>161</v>
      </c>
      <c r="C177" s="78" t="s">
        <v>291</v>
      </c>
      <c r="D177" s="23" t="s">
        <v>319</v>
      </c>
      <c r="E177" s="151" t="str">
        <f>'EP IS Restatements'!E177</f>
        <v>Jobbing ( E )</v>
      </c>
      <c r="F177" s="22">
        <f>'WWSCo IS Restatements'!M177</f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f t="shared" si="19"/>
        <v>0</v>
      </c>
      <c r="Q177" s="22">
        <f t="shared" si="20"/>
        <v>0</v>
      </c>
      <c r="R177" s="15"/>
    </row>
    <row r="178" spans="2:18" x14ac:dyDescent="0.25">
      <c r="B178" s="78">
        <f>MAX($B$8:B177)+1</f>
        <v>162</v>
      </c>
      <c r="C178" s="78" t="s">
        <v>292</v>
      </c>
      <c r="D178" s="23" t="s">
        <v>320</v>
      </c>
      <c r="E178" s="151" t="str">
        <f>'EP IS Restatements'!E178</f>
        <v/>
      </c>
      <c r="F178" s="22">
        <f>'WWSCo IS Restatements'!M178</f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f t="shared" si="19"/>
        <v>0</v>
      </c>
      <c r="Q178" s="22">
        <f t="shared" si="20"/>
        <v>0</v>
      </c>
      <c r="R178" s="15"/>
    </row>
    <row r="179" spans="2:18" x14ac:dyDescent="0.25">
      <c r="B179" s="78">
        <f>MAX($B$8:B178)+1</f>
        <v>163</v>
      </c>
      <c r="C179" s="78" t="s">
        <v>293</v>
      </c>
      <c r="D179" s="23" t="s">
        <v>321</v>
      </c>
      <c r="E179" s="151" t="str">
        <f>'EP IS Restatements'!E179</f>
        <v>Jobbing ( E )</v>
      </c>
      <c r="F179" s="22">
        <f>'WWSCo IS Restatements'!M179</f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f t="shared" si="19"/>
        <v>0</v>
      </c>
      <c r="Q179" s="22">
        <f t="shared" si="20"/>
        <v>0</v>
      </c>
      <c r="R179" s="15"/>
    </row>
    <row r="180" spans="2:18" x14ac:dyDescent="0.25">
      <c r="B180" s="78">
        <f>MAX($B$8:B179)+1</f>
        <v>164</v>
      </c>
      <c r="C180" s="78" t="s">
        <v>294</v>
      </c>
      <c r="D180" s="23" t="s">
        <v>108</v>
      </c>
      <c r="E180" s="151" t="str">
        <f>'EP IS Restatements'!E180</f>
        <v>Jobbing ( E )</v>
      </c>
      <c r="F180" s="22">
        <f>'WWSCo IS Restatements'!M180</f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f t="shared" si="19"/>
        <v>0</v>
      </c>
      <c r="Q180" s="22">
        <f t="shared" si="20"/>
        <v>0</v>
      </c>
      <c r="R180" s="15"/>
    </row>
    <row r="181" spans="2:18" x14ac:dyDescent="0.25">
      <c r="B181" s="78">
        <f>MAX($B$8:B180)+1</f>
        <v>165</v>
      </c>
      <c r="C181" s="78" t="s">
        <v>295</v>
      </c>
      <c r="D181" s="23" t="s">
        <v>102</v>
      </c>
      <c r="E181" s="151" t="str">
        <f>'EP IS Restatements'!E181</f>
        <v>Jobbing ( E )</v>
      </c>
      <c r="F181" s="22">
        <f>'WWSCo IS Restatements'!M181</f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f t="shared" si="19"/>
        <v>0</v>
      </c>
      <c r="Q181" s="22">
        <f t="shared" si="20"/>
        <v>0</v>
      </c>
      <c r="R181" s="15"/>
    </row>
    <row r="182" spans="2:18" x14ac:dyDescent="0.25">
      <c r="B182" s="78">
        <f>MAX($B$8:B181)+1</f>
        <v>166</v>
      </c>
      <c r="C182" s="78" t="s">
        <v>296</v>
      </c>
      <c r="D182" s="23" t="s">
        <v>322</v>
      </c>
      <c r="E182" s="151" t="str">
        <f>'EP IS Restatements'!E182</f>
        <v>Jobbing ( E )</v>
      </c>
      <c r="F182" s="22">
        <f>'WWSCo IS Restatements'!M182</f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f t="shared" si="19"/>
        <v>0</v>
      </c>
      <c r="Q182" s="22">
        <f t="shared" si="20"/>
        <v>0</v>
      </c>
      <c r="R182" s="15"/>
    </row>
    <row r="183" spans="2:18" x14ac:dyDescent="0.25">
      <c r="B183" s="78">
        <f>MAX($B$8:B182)+1</f>
        <v>167</v>
      </c>
      <c r="C183" s="78" t="s">
        <v>297</v>
      </c>
      <c r="D183" s="23" t="s">
        <v>323</v>
      </c>
      <c r="E183" s="151" t="str">
        <f>'EP IS Restatements'!E183</f>
        <v>Miscellaneous</v>
      </c>
      <c r="F183" s="22">
        <f>'WWSCo IS Restatements'!M183</f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f t="shared" si="19"/>
        <v>0</v>
      </c>
      <c r="Q183" s="22">
        <f t="shared" si="20"/>
        <v>0</v>
      </c>
      <c r="R183" s="15"/>
    </row>
    <row r="184" spans="2:18" x14ac:dyDescent="0.25">
      <c r="B184" s="78">
        <f>MAX($B$8:B183)+1</f>
        <v>168</v>
      </c>
      <c r="C184" s="78" t="s">
        <v>298</v>
      </c>
      <c r="D184" s="23" t="s">
        <v>324</v>
      </c>
      <c r="E184" s="151" t="str">
        <f>'EP IS Restatements'!E184</f>
        <v>Miscellaneous</v>
      </c>
      <c r="F184" s="22">
        <f>'WWSCo IS Restatements'!M184</f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f t="shared" si="19"/>
        <v>0</v>
      </c>
      <c r="Q184" s="22">
        <f t="shared" si="20"/>
        <v>0</v>
      </c>
      <c r="R184" s="15"/>
    </row>
    <row r="185" spans="2:18" x14ac:dyDescent="0.25">
      <c r="B185" s="78">
        <f>MAX($B$8:B184)+1</f>
        <v>169</v>
      </c>
      <c r="C185" s="78" t="s">
        <v>299</v>
      </c>
      <c r="D185" s="23" t="s">
        <v>325</v>
      </c>
      <c r="E185" s="151" t="str">
        <f>'EP IS Restatements'!E185</f>
        <v>Miscellaneous</v>
      </c>
      <c r="F185" s="22">
        <f>'WWSCo IS Restatements'!M185</f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f t="shared" si="19"/>
        <v>0</v>
      </c>
      <c r="Q185" s="22">
        <f t="shared" si="20"/>
        <v>0</v>
      </c>
      <c r="R185" s="15"/>
    </row>
    <row r="186" spans="2:18" x14ac:dyDescent="0.25">
      <c r="B186" s="78">
        <f>MAX($B$8:B185)+1</f>
        <v>170</v>
      </c>
      <c r="C186" s="78" t="s">
        <v>300</v>
      </c>
      <c r="D186" s="23" t="s">
        <v>326</v>
      </c>
      <c r="E186" s="151" t="str">
        <f>'EP IS Restatements'!E186</f>
        <v>Miscellaneous</v>
      </c>
      <c r="F186" s="22">
        <f>'WWSCo IS Restatements'!M186</f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f t="shared" si="19"/>
        <v>0</v>
      </c>
      <c r="Q186" s="22">
        <f t="shared" si="20"/>
        <v>0</v>
      </c>
      <c r="R186" s="15"/>
    </row>
    <row r="187" spans="2:18" x14ac:dyDescent="0.25">
      <c r="B187" s="78">
        <f>MAX($B$8:B186)+1</f>
        <v>171</v>
      </c>
      <c r="C187" s="78" t="s">
        <v>301</v>
      </c>
      <c r="D187" s="23" t="s">
        <v>327</v>
      </c>
      <c r="E187" s="151" t="str">
        <f>'EP IS Restatements'!E187</f>
        <v>Miscellaneous</v>
      </c>
      <c r="F187" s="22">
        <f>'WWSCo IS Restatements'!M187</f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f t="shared" si="19"/>
        <v>0</v>
      </c>
      <c r="Q187" s="22">
        <f t="shared" si="20"/>
        <v>0</v>
      </c>
      <c r="R187" s="15"/>
    </row>
    <row r="188" spans="2:18" x14ac:dyDescent="0.25">
      <c r="B188" s="78">
        <f>MAX($B$8:B187)+1</f>
        <v>172</v>
      </c>
      <c r="C188" s="78" t="s">
        <v>302</v>
      </c>
      <c r="D188" s="23" t="s">
        <v>328</v>
      </c>
      <c r="E188" s="151" t="str">
        <f>'EP IS Restatements'!E188</f>
        <v>Federal Income Tax (FIT)</v>
      </c>
      <c r="F188" s="22">
        <f>'WWSCo IS Restatements'!M188</f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f t="shared" si="19"/>
        <v>0</v>
      </c>
      <c r="Q188" s="22">
        <f t="shared" si="20"/>
        <v>0</v>
      </c>
      <c r="R188" s="15"/>
    </row>
    <row r="189" spans="2:18" ht="3.75" customHeight="1" x14ac:dyDescent="0.25">
      <c r="B189" s="78"/>
      <c r="C189" s="78"/>
      <c r="D189" s="23"/>
      <c r="E189" s="151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15"/>
    </row>
    <row r="190" spans="2:18" x14ac:dyDescent="0.25">
      <c r="B190" s="78">
        <f>MAX($B$8:B189)+1</f>
        <v>173</v>
      </c>
      <c r="C190" s="78"/>
      <c r="D190" s="146" t="s">
        <v>329</v>
      </c>
      <c r="E190" s="152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15"/>
    </row>
    <row r="191" spans="2:18" x14ac:dyDescent="0.25">
      <c r="B191" s="78">
        <f>MAX($B$8:B190)+1</f>
        <v>174</v>
      </c>
      <c r="C191" s="78" t="s">
        <v>330</v>
      </c>
      <c r="D191" s="23" t="s">
        <v>333</v>
      </c>
      <c r="E191" s="151" t="str">
        <f>'EP IS Restatements'!E191</f>
        <v>Interest Expense</v>
      </c>
      <c r="F191" s="22">
        <f>'WWSCo IS Restatements'!M191</f>
        <v>430263.98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f t="shared" ref="P191:P193" si="21">SUM(G191:O191)</f>
        <v>0</v>
      </c>
      <c r="Q191" s="22">
        <f>F191+P191</f>
        <v>430263.98</v>
      </c>
      <c r="R191" s="15"/>
    </row>
    <row r="192" spans="2:18" x14ac:dyDescent="0.25">
      <c r="B192" s="78">
        <f>MAX($B$8:B191)+1</f>
        <v>175</v>
      </c>
      <c r="C192" s="78" t="s">
        <v>331</v>
      </c>
      <c r="D192" s="23" t="s">
        <v>334</v>
      </c>
      <c r="E192" s="151" t="str">
        <f>'EP IS Restatements'!E192</f>
        <v>Interest Expense</v>
      </c>
      <c r="F192" s="22">
        <f>'WWSCo IS Restatements'!M192</f>
        <v>29625.239999999998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f t="shared" si="21"/>
        <v>0</v>
      </c>
      <c r="Q192" s="22">
        <f>F192+P192</f>
        <v>29625.239999999998</v>
      </c>
      <c r="R192" s="15"/>
    </row>
    <row r="193" spans="2:18" x14ac:dyDescent="0.25">
      <c r="B193" s="78">
        <f>MAX($B$8:B192)+1</f>
        <v>176</v>
      </c>
      <c r="C193" s="78" t="s">
        <v>332</v>
      </c>
      <c r="D193" s="23" t="s">
        <v>335</v>
      </c>
      <c r="E193" s="151" t="str">
        <f>'EP IS Restatements'!E193</f>
        <v>Interest Expense</v>
      </c>
      <c r="F193" s="22">
        <f>'WWSCo IS Restatements'!M193</f>
        <v>-26465.850000000002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f t="shared" si="21"/>
        <v>0</v>
      </c>
      <c r="Q193" s="22">
        <f>F193+P193</f>
        <v>-26465.850000000002</v>
      </c>
      <c r="R193" s="15"/>
    </row>
    <row r="194" spans="2:18" ht="3.75" customHeight="1" x14ac:dyDescent="0.25">
      <c r="B194" s="78"/>
      <c r="C194" s="78"/>
      <c r="D194" s="23"/>
      <c r="E194" s="151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15"/>
    </row>
    <row r="195" spans="2:18" x14ac:dyDescent="0.25">
      <c r="B195" s="78">
        <f>MAX($B$8:B194)+1</f>
        <v>177</v>
      </c>
      <c r="C195" s="78"/>
      <c r="D195" s="146" t="s">
        <v>336</v>
      </c>
      <c r="E195" s="152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15"/>
    </row>
    <row r="196" spans="2:18" x14ac:dyDescent="0.25">
      <c r="B196" s="78">
        <f>MAX($B$8:B195)+1</f>
        <v>178</v>
      </c>
      <c r="C196" s="78" t="s">
        <v>337</v>
      </c>
      <c r="D196" s="23" t="s">
        <v>338</v>
      </c>
      <c r="E196" s="151"/>
      <c r="F196" s="22">
        <f>'WWSCo IS Restatements'!M196</f>
        <v>830058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f t="shared" ref="P196" si="22">SUM(G196:O196)</f>
        <v>0</v>
      </c>
      <c r="Q196" s="22">
        <f>F196+P196</f>
        <v>830058</v>
      </c>
      <c r="R196" s="15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1D8B-4211-4C81-822A-26157CE7EEB2}">
  <sheetPr>
    <tabColor rgb="FF00B050"/>
  </sheetPr>
  <dimension ref="A1:M196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5" width="39.28515625" customWidth="1"/>
    <col min="6" max="13" width="17.85546875" customWidth="1"/>
  </cols>
  <sheetData>
    <row r="1" spans="1:13" ht="7.5" customHeight="1" x14ac:dyDescent="0.25">
      <c r="A1" s="51" t="str" cm="1">
        <f t="array" aca="1" ref="A1" ca="1">MID(CELL("filename",A1),FIND("]",CELL("filename",A1))+1,255)</f>
        <v>EP IS Restatements</v>
      </c>
    </row>
    <row r="2" spans="1:13" x14ac:dyDescent="0.25">
      <c r="B2" s="153" t="s">
        <v>451</v>
      </c>
      <c r="C2" s="154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B3" s="155" t="s">
        <v>2</v>
      </c>
      <c r="C3" s="154"/>
      <c r="D3" s="23"/>
      <c r="E3" s="23"/>
      <c r="F3" s="23"/>
      <c r="G3" s="198" t="s">
        <v>433</v>
      </c>
      <c r="H3" s="198"/>
      <c r="I3" s="23"/>
      <c r="J3" s="23"/>
      <c r="K3" s="23"/>
      <c r="L3" s="23"/>
      <c r="M3" s="23"/>
    </row>
    <row r="4" spans="1:13" ht="7.5" customHeight="1" x14ac:dyDescent="0.25">
      <c r="B4" s="155"/>
      <c r="C4" s="154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6" customFormat="1" x14ac:dyDescent="0.25">
      <c r="B5" s="156"/>
      <c r="C5" s="88"/>
      <c r="D5" s="156"/>
      <c r="E5" s="156"/>
      <c r="F5" s="88"/>
      <c r="G5" s="88" t="s">
        <v>414</v>
      </c>
      <c r="H5" s="88" t="s">
        <v>428</v>
      </c>
      <c r="I5" s="88" t="str">
        <f ca="1">RIGHT('WP RA3'!$A$1,3)</f>
        <v>RA3</v>
      </c>
      <c r="J5" s="88" t="s">
        <v>985</v>
      </c>
      <c r="K5" s="88"/>
      <c r="L5" s="88" t="s">
        <v>423</v>
      </c>
      <c r="M5" s="88"/>
    </row>
    <row r="6" spans="1:13" s="6" customFormat="1" x14ac:dyDescent="0.25">
      <c r="B6" s="88" t="s">
        <v>417</v>
      </c>
      <c r="C6" s="88"/>
      <c r="D6" s="156"/>
      <c r="E6" s="156"/>
      <c r="F6" s="88" t="s">
        <v>426</v>
      </c>
      <c r="G6" s="157" t="s">
        <v>415</v>
      </c>
      <c r="H6" s="157"/>
      <c r="I6" s="157" t="s">
        <v>487</v>
      </c>
      <c r="J6" s="88" t="s">
        <v>986</v>
      </c>
      <c r="K6" s="157"/>
      <c r="L6" s="88" t="s">
        <v>424</v>
      </c>
      <c r="M6" s="88" t="s">
        <v>426</v>
      </c>
    </row>
    <row r="7" spans="1:13" s="6" customFormat="1" x14ac:dyDescent="0.25">
      <c r="B7" s="158" t="s">
        <v>418</v>
      </c>
      <c r="C7" s="158" t="s">
        <v>0</v>
      </c>
      <c r="D7" s="159" t="s">
        <v>1</v>
      </c>
      <c r="E7" s="158" t="s">
        <v>429</v>
      </c>
      <c r="F7" s="158" t="s">
        <v>39</v>
      </c>
      <c r="G7" s="160" t="s">
        <v>416</v>
      </c>
      <c r="H7" s="160" t="s">
        <v>405</v>
      </c>
      <c r="I7" s="160" t="s">
        <v>488</v>
      </c>
      <c r="J7" s="158" t="s">
        <v>582</v>
      </c>
      <c r="K7" s="160"/>
      <c r="L7" s="158" t="s">
        <v>425</v>
      </c>
      <c r="M7" s="158" t="s">
        <v>427</v>
      </c>
    </row>
    <row r="8" spans="1:13" x14ac:dyDescent="0.25">
      <c r="B8" s="78"/>
      <c r="C8" s="20" t="s">
        <v>419</v>
      </c>
      <c r="D8" s="20" t="s">
        <v>420</v>
      </c>
      <c r="E8" s="20" t="s">
        <v>421</v>
      </c>
      <c r="F8" s="20" t="s">
        <v>422</v>
      </c>
      <c r="G8" s="20" t="s">
        <v>430</v>
      </c>
      <c r="H8" s="20" t="s">
        <v>431</v>
      </c>
      <c r="I8" s="20" t="s">
        <v>434</v>
      </c>
      <c r="J8" s="20" t="s">
        <v>435</v>
      </c>
      <c r="K8" s="20" t="s">
        <v>436</v>
      </c>
      <c r="L8" s="20" t="s">
        <v>447</v>
      </c>
      <c r="M8" s="20" t="s">
        <v>448</v>
      </c>
    </row>
    <row r="9" spans="1:13" ht="3.75" customHeight="1" x14ac:dyDescent="0.25">
      <c r="B9" s="7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x14ac:dyDescent="0.25">
      <c r="B10" s="78">
        <v>1</v>
      </c>
      <c r="C10" s="20"/>
      <c r="D10" s="142" t="s">
        <v>510</v>
      </c>
      <c r="E10" s="20"/>
      <c r="F10" s="79">
        <f>SUM(F$13:F$196)</f>
        <v>712606.8399999995</v>
      </c>
      <c r="G10" s="79">
        <f t="shared" ref="G10:M10" si="0">SUM(G$13:G$196)</f>
        <v>-7643.819999999987</v>
      </c>
      <c r="H10" s="79">
        <f t="shared" si="0"/>
        <v>7843.8977000000068</v>
      </c>
      <c r="I10" s="79">
        <f t="shared" si="0"/>
        <v>-24427.094916666611</v>
      </c>
      <c r="J10" s="79">
        <f t="shared" si="0"/>
        <v>-29929.191900000002</v>
      </c>
      <c r="K10" s="79">
        <f t="shared" si="0"/>
        <v>0</v>
      </c>
      <c r="L10" s="79">
        <f t="shared" si="0"/>
        <v>-54156.209116666614</v>
      </c>
      <c r="M10" s="79">
        <f t="shared" si="0"/>
        <v>577681.84088333335</v>
      </c>
    </row>
    <row r="11" spans="1:13" ht="3.75" customHeight="1" x14ac:dyDescent="0.25">
      <c r="B11" s="7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5">
      <c r="B12" s="78">
        <v>2</v>
      </c>
      <c r="C12" s="143"/>
      <c r="D12" s="144" t="s">
        <v>40</v>
      </c>
      <c r="E12" s="144"/>
      <c r="F12" s="143"/>
      <c r="G12" s="145"/>
      <c r="H12" s="145"/>
      <c r="I12" s="145"/>
      <c r="J12" s="145"/>
      <c r="K12" s="145"/>
      <c r="L12" s="145"/>
      <c r="M12" s="145"/>
    </row>
    <row r="13" spans="1:13" x14ac:dyDescent="0.25">
      <c r="B13" s="78">
        <f>MAX($B$8:B12)+1</f>
        <v>3</v>
      </c>
      <c r="C13" s="78" t="s">
        <v>3</v>
      </c>
      <c r="D13" s="23" t="s">
        <v>21</v>
      </c>
      <c r="E13" s="23" t="s">
        <v>384</v>
      </c>
      <c r="F13" s="22">
        <v>-3755908.22</v>
      </c>
      <c r="G13" s="22">
        <v>0</v>
      </c>
      <c r="H13" s="23"/>
      <c r="I13" s="22">
        <v>0</v>
      </c>
      <c r="J13" s="23"/>
      <c r="K13" s="23"/>
      <c r="L13" s="22">
        <f>SUM(G13:K13)</f>
        <v>0</v>
      </c>
      <c r="M13" s="22">
        <f>F13+L13</f>
        <v>-3755908.22</v>
      </c>
    </row>
    <row r="14" spans="1:13" x14ac:dyDescent="0.25">
      <c r="B14" s="78">
        <f>MAX($B$8:B13)+1</f>
        <v>4</v>
      </c>
      <c r="C14" s="78" t="s">
        <v>4</v>
      </c>
      <c r="D14" s="23" t="s">
        <v>22</v>
      </c>
      <c r="E14" s="23" t="s">
        <v>384</v>
      </c>
      <c r="F14" s="22">
        <v>0</v>
      </c>
      <c r="G14" s="22">
        <v>0</v>
      </c>
      <c r="H14" s="23"/>
      <c r="I14" s="22">
        <v>0</v>
      </c>
      <c r="J14" s="23"/>
      <c r="K14" s="23"/>
      <c r="L14" s="22">
        <f t="shared" ref="L14:L30" si="1">SUM(G14:K14)</f>
        <v>0</v>
      </c>
      <c r="M14" s="22">
        <f t="shared" ref="M14:M30" si="2">F14+L14</f>
        <v>0</v>
      </c>
    </row>
    <row r="15" spans="1:13" x14ac:dyDescent="0.25">
      <c r="B15" s="78">
        <f>MAX($B$8:B14)+1</f>
        <v>5</v>
      </c>
      <c r="C15" s="78" t="s">
        <v>5</v>
      </c>
      <c r="D15" s="23" t="s">
        <v>23</v>
      </c>
      <c r="E15" s="23" t="s">
        <v>384</v>
      </c>
      <c r="F15" s="22">
        <v>0</v>
      </c>
      <c r="G15" s="22">
        <v>0</v>
      </c>
      <c r="H15" s="23"/>
      <c r="I15" s="22">
        <v>0</v>
      </c>
      <c r="J15" s="23"/>
      <c r="K15" s="23"/>
      <c r="L15" s="22">
        <f t="shared" si="1"/>
        <v>0</v>
      </c>
      <c r="M15" s="22">
        <f t="shared" si="2"/>
        <v>0</v>
      </c>
    </row>
    <row r="16" spans="1:13" x14ac:dyDescent="0.25">
      <c r="B16" s="78">
        <f>MAX($B$8:B15)+1</f>
        <v>6</v>
      </c>
      <c r="C16" s="78" t="s">
        <v>6</v>
      </c>
      <c r="D16" s="23" t="s">
        <v>24</v>
      </c>
      <c r="E16" s="23" t="s">
        <v>384</v>
      </c>
      <c r="F16" s="22">
        <v>-279657.95</v>
      </c>
      <c r="G16" s="22">
        <v>0</v>
      </c>
      <c r="H16" s="23"/>
      <c r="I16" s="22">
        <v>0</v>
      </c>
      <c r="J16" s="23"/>
      <c r="K16" s="23"/>
      <c r="L16" s="22">
        <f t="shared" si="1"/>
        <v>0</v>
      </c>
      <c r="M16" s="22">
        <f t="shared" si="2"/>
        <v>-279657.95</v>
      </c>
    </row>
    <row r="17" spans="2:13" x14ac:dyDescent="0.25">
      <c r="B17" s="78">
        <f>MAX($B$8:B16)+1</f>
        <v>7</v>
      </c>
      <c r="C17" s="78" t="s">
        <v>7</v>
      </c>
      <c r="D17" s="23" t="s">
        <v>25</v>
      </c>
      <c r="E17" s="23" t="s">
        <v>384</v>
      </c>
      <c r="F17" s="22">
        <v>0</v>
      </c>
      <c r="G17" s="22">
        <v>0</v>
      </c>
      <c r="H17" s="23"/>
      <c r="I17" s="22">
        <v>0</v>
      </c>
      <c r="J17" s="23"/>
      <c r="K17" s="23"/>
      <c r="L17" s="22">
        <f t="shared" si="1"/>
        <v>0</v>
      </c>
      <c r="M17" s="22">
        <f t="shared" si="2"/>
        <v>0</v>
      </c>
    </row>
    <row r="18" spans="2:13" x14ac:dyDescent="0.25">
      <c r="B18" s="78">
        <f>MAX($B$8:B17)+1</f>
        <v>8</v>
      </c>
      <c r="C18" s="78" t="s">
        <v>8</v>
      </c>
      <c r="D18" s="23" t="s">
        <v>26</v>
      </c>
      <c r="E18" s="23" t="s">
        <v>385</v>
      </c>
      <c r="F18" s="22">
        <v>-717</v>
      </c>
      <c r="G18" s="22">
        <v>0</v>
      </c>
      <c r="H18" s="23"/>
      <c r="I18" s="22">
        <v>0</v>
      </c>
      <c r="J18" s="23"/>
      <c r="K18" s="23"/>
      <c r="L18" s="22">
        <f t="shared" si="1"/>
        <v>0</v>
      </c>
      <c r="M18" s="22">
        <f t="shared" si="2"/>
        <v>-717</v>
      </c>
    </row>
    <row r="19" spans="2:13" x14ac:dyDescent="0.25">
      <c r="B19" s="78">
        <f>MAX($B$8:B18)+1</f>
        <v>9</v>
      </c>
      <c r="C19" s="78" t="s">
        <v>9</v>
      </c>
      <c r="D19" s="23" t="s">
        <v>27</v>
      </c>
      <c r="E19" s="23" t="s">
        <v>384</v>
      </c>
      <c r="F19" s="22">
        <v>-233478.96</v>
      </c>
      <c r="G19" s="22">
        <v>0</v>
      </c>
      <c r="H19" s="23"/>
      <c r="I19" s="22">
        <v>0</v>
      </c>
      <c r="J19" s="23"/>
      <c r="K19" s="23"/>
      <c r="L19" s="22">
        <f t="shared" si="1"/>
        <v>0</v>
      </c>
      <c r="M19" s="22">
        <f t="shared" si="2"/>
        <v>-233478.96</v>
      </c>
    </row>
    <row r="20" spans="2:13" x14ac:dyDescent="0.25">
      <c r="B20" s="78">
        <f>MAX($B$8:B19)+1</f>
        <v>10</v>
      </c>
      <c r="C20" s="78" t="s">
        <v>10</v>
      </c>
      <c r="D20" s="23" t="s">
        <v>28</v>
      </c>
      <c r="E20" s="23" t="s">
        <v>384</v>
      </c>
      <c r="F20" s="22">
        <v>0</v>
      </c>
      <c r="G20" s="22">
        <v>0</v>
      </c>
      <c r="H20" s="23"/>
      <c r="I20" s="22">
        <v>0</v>
      </c>
      <c r="J20" s="23"/>
      <c r="K20" s="23"/>
      <c r="L20" s="22">
        <f t="shared" si="1"/>
        <v>0</v>
      </c>
      <c r="M20" s="22">
        <f t="shared" si="2"/>
        <v>0</v>
      </c>
    </row>
    <row r="21" spans="2:13" x14ac:dyDescent="0.25">
      <c r="B21" s="78">
        <f>MAX($B$8:B20)+1</f>
        <v>11</v>
      </c>
      <c r="C21" s="78" t="s">
        <v>11</v>
      </c>
      <c r="D21" s="23" t="s">
        <v>29</v>
      </c>
      <c r="E21" s="23" t="s">
        <v>387</v>
      </c>
      <c r="F21" s="22">
        <v>-192053.98</v>
      </c>
      <c r="G21" s="22">
        <v>0</v>
      </c>
      <c r="H21" s="23"/>
      <c r="I21" s="22">
        <v>0</v>
      </c>
      <c r="J21" s="23"/>
      <c r="K21" s="23"/>
      <c r="L21" s="22">
        <f t="shared" si="1"/>
        <v>0</v>
      </c>
      <c r="M21" s="22">
        <f t="shared" si="2"/>
        <v>-192053.98</v>
      </c>
    </row>
    <row r="22" spans="2:13" x14ac:dyDescent="0.25">
      <c r="B22" s="78">
        <f>MAX($B$8:B21)+1</f>
        <v>12</v>
      </c>
      <c r="C22" s="78" t="s">
        <v>12</v>
      </c>
      <c r="D22" s="23" t="s">
        <v>30</v>
      </c>
      <c r="E22" s="23" t="s">
        <v>386</v>
      </c>
      <c r="F22" s="22">
        <v>-5820.95</v>
      </c>
      <c r="G22" s="22">
        <v>0</v>
      </c>
      <c r="H22" s="23"/>
      <c r="I22" s="22">
        <v>0</v>
      </c>
      <c r="J22" s="23"/>
      <c r="K22" s="23"/>
      <c r="L22" s="22">
        <f t="shared" si="1"/>
        <v>0</v>
      </c>
      <c r="M22" s="22">
        <f t="shared" si="2"/>
        <v>-5820.95</v>
      </c>
    </row>
    <row r="23" spans="2:13" x14ac:dyDescent="0.25">
      <c r="B23" s="78">
        <f>MAX($B$8:B22)+1</f>
        <v>13</v>
      </c>
      <c r="C23" s="78" t="s">
        <v>13</v>
      </c>
      <c r="D23" s="23" t="s">
        <v>31</v>
      </c>
      <c r="E23" s="23" t="s">
        <v>386</v>
      </c>
      <c r="F23" s="22">
        <v>-100</v>
      </c>
      <c r="G23" s="22">
        <v>0</v>
      </c>
      <c r="H23" s="23"/>
      <c r="I23" s="22">
        <v>0</v>
      </c>
      <c r="J23" s="23"/>
      <c r="K23" s="23"/>
      <c r="L23" s="22">
        <f t="shared" si="1"/>
        <v>0</v>
      </c>
      <c r="M23" s="22">
        <f t="shared" si="2"/>
        <v>-100</v>
      </c>
    </row>
    <row r="24" spans="2:13" x14ac:dyDescent="0.25">
      <c r="B24" s="78">
        <f>MAX($B$8:B23)+1</f>
        <v>14</v>
      </c>
      <c r="C24" s="78" t="s">
        <v>14</v>
      </c>
      <c r="D24" s="23" t="s">
        <v>32</v>
      </c>
      <c r="E24" s="23" t="s">
        <v>386</v>
      </c>
      <c r="F24" s="22">
        <v>-24052.5</v>
      </c>
      <c r="G24" s="22">
        <v>0</v>
      </c>
      <c r="H24" s="23"/>
      <c r="I24" s="22">
        <v>0</v>
      </c>
      <c r="J24" s="23"/>
      <c r="K24" s="23"/>
      <c r="L24" s="22">
        <f t="shared" si="1"/>
        <v>0</v>
      </c>
      <c r="M24" s="22">
        <f t="shared" si="2"/>
        <v>-24052.5</v>
      </c>
    </row>
    <row r="25" spans="2:13" x14ac:dyDescent="0.25">
      <c r="B25" s="78">
        <f>MAX($B$8:B24)+1</f>
        <v>15</v>
      </c>
      <c r="C25" s="78" t="s">
        <v>15</v>
      </c>
      <c r="D25" s="23" t="s">
        <v>33</v>
      </c>
      <c r="E25" s="23" t="s">
        <v>386</v>
      </c>
      <c r="F25" s="22">
        <v>-6007.5</v>
      </c>
      <c r="G25" s="22">
        <v>0</v>
      </c>
      <c r="H25" s="23"/>
      <c r="I25" s="22">
        <v>0</v>
      </c>
      <c r="J25" s="23"/>
      <c r="K25" s="23"/>
      <c r="L25" s="22">
        <f t="shared" si="1"/>
        <v>0</v>
      </c>
      <c r="M25" s="22">
        <f t="shared" si="2"/>
        <v>-6007.5</v>
      </c>
    </row>
    <row r="26" spans="2:13" x14ac:dyDescent="0.25">
      <c r="B26" s="78">
        <f>MAX($B$8:B25)+1</f>
        <v>16</v>
      </c>
      <c r="C26" s="78" t="s">
        <v>16</v>
      </c>
      <c r="D26" s="23" t="s">
        <v>34</v>
      </c>
      <c r="E26" s="23" t="s">
        <v>387</v>
      </c>
      <c r="F26" s="22">
        <v>0</v>
      </c>
      <c r="G26" s="22">
        <v>0</v>
      </c>
      <c r="H26" s="23"/>
      <c r="I26" s="22">
        <v>0</v>
      </c>
      <c r="J26" s="23"/>
      <c r="K26" s="23"/>
      <c r="L26" s="22">
        <f t="shared" si="1"/>
        <v>0</v>
      </c>
      <c r="M26" s="22">
        <f t="shared" si="2"/>
        <v>0</v>
      </c>
    </row>
    <row r="27" spans="2:13" x14ac:dyDescent="0.25">
      <c r="B27" s="78">
        <f>MAX($B$8:B26)+1</f>
        <v>17</v>
      </c>
      <c r="C27" s="78" t="s">
        <v>17</v>
      </c>
      <c r="D27" s="23" t="s">
        <v>35</v>
      </c>
      <c r="E27" s="23" t="s">
        <v>384</v>
      </c>
      <c r="F27" s="22">
        <v>-338857.43</v>
      </c>
      <c r="G27" s="22">
        <v>0</v>
      </c>
      <c r="H27" s="23"/>
      <c r="I27" s="22">
        <v>0</v>
      </c>
      <c r="J27" s="23"/>
      <c r="K27" s="23"/>
      <c r="L27" s="22">
        <f t="shared" si="1"/>
        <v>0</v>
      </c>
      <c r="M27" s="22">
        <f t="shared" si="2"/>
        <v>-338857.43</v>
      </c>
    </row>
    <row r="28" spans="2:13" x14ac:dyDescent="0.25">
      <c r="B28" s="78">
        <f>MAX($B$8:B27)+1</f>
        <v>18</v>
      </c>
      <c r="C28" s="78" t="s">
        <v>18</v>
      </c>
      <c r="D28" s="23" t="s">
        <v>36</v>
      </c>
      <c r="E28" s="23" t="s">
        <v>384</v>
      </c>
      <c r="F28" s="22">
        <v>0</v>
      </c>
      <c r="G28" s="22">
        <v>0</v>
      </c>
      <c r="H28" s="23"/>
      <c r="I28" s="22">
        <v>0</v>
      </c>
      <c r="J28" s="23"/>
      <c r="K28" s="23"/>
      <c r="L28" s="22">
        <f t="shared" si="1"/>
        <v>0</v>
      </c>
      <c r="M28" s="22">
        <f t="shared" si="2"/>
        <v>0</v>
      </c>
    </row>
    <row r="29" spans="2:13" x14ac:dyDescent="0.25">
      <c r="B29" s="78">
        <f>MAX($B$8:B28)+1</f>
        <v>19</v>
      </c>
      <c r="C29" s="78" t="s">
        <v>19</v>
      </c>
      <c r="D29" s="23" t="s">
        <v>37</v>
      </c>
      <c r="E29" s="23" t="s">
        <v>386</v>
      </c>
      <c r="F29" s="22">
        <v>0</v>
      </c>
      <c r="G29" s="22">
        <v>0</v>
      </c>
      <c r="H29" s="23"/>
      <c r="I29" s="22">
        <v>0</v>
      </c>
      <c r="J29" s="23"/>
      <c r="K29" s="23"/>
      <c r="L29" s="22">
        <f t="shared" si="1"/>
        <v>0</v>
      </c>
      <c r="M29" s="22">
        <f t="shared" si="2"/>
        <v>0</v>
      </c>
    </row>
    <row r="30" spans="2:13" x14ac:dyDescent="0.25">
      <c r="B30" s="78">
        <f>MAX($B$8:B29)+1</f>
        <v>20</v>
      </c>
      <c r="C30" s="78" t="s">
        <v>20</v>
      </c>
      <c r="D30" s="23" t="s">
        <v>38</v>
      </c>
      <c r="E30" s="23" t="s">
        <v>388</v>
      </c>
      <c r="F30" s="22">
        <v>0</v>
      </c>
      <c r="G30" s="22">
        <v>0</v>
      </c>
      <c r="H30" s="23"/>
      <c r="I30" s="22">
        <v>0</v>
      </c>
      <c r="J30" s="23"/>
      <c r="K30" s="23"/>
      <c r="L30" s="22">
        <f t="shared" si="1"/>
        <v>0</v>
      </c>
      <c r="M30" s="22">
        <f t="shared" si="2"/>
        <v>0</v>
      </c>
    </row>
    <row r="31" spans="2:13" ht="3.75" customHeight="1" x14ac:dyDescent="0.25">
      <c r="B31" s="78"/>
      <c r="C31" s="78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3" x14ac:dyDescent="0.25">
      <c r="B32" s="78">
        <f>MAX($B$8:B31)+1</f>
        <v>21</v>
      </c>
      <c r="C32" s="78"/>
      <c r="D32" s="146" t="s">
        <v>41</v>
      </c>
      <c r="E32" s="146"/>
      <c r="F32" s="23"/>
      <c r="G32" s="23"/>
      <c r="H32" s="23"/>
      <c r="I32" s="23"/>
      <c r="J32" s="23"/>
      <c r="K32" s="23"/>
      <c r="L32" s="23"/>
      <c r="M32" s="23"/>
    </row>
    <row r="33" spans="2:13" x14ac:dyDescent="0.25">
      <c r="B33" s="78">
        <f>MAX($B$8:B32)+1</f>
        <v>22</v>
      </c>
      <c r="C33" s="78" t="s">
        <v>42</v>
      </c>
      <c r="D33" s="23" t="s">
        <v>82</v>
      </c>
      <c r="E33" s="23" t="s">
        <v>389</v>
      </c>
      <c r="F33" s="138">
        <v>900832.05</v>
      </c>
      <c r="G33" s="138">
        <v>0</v>
      </c>
      <c r="H33" s="23"/>
      <c r="I33" s="22">
        <f>VLOOKUP($C33,'WP RA3'!$C$10:$N$127,12,FALSE)</f>
        <v>128967.24500000011</v>
      </c>
      <c r="J33" s="23"/>
      <c r="K33" s="23"/>
      <c r="L33" s="22">
        <f t="shared" ref="L33:L97" si="3">SUM(G33:K33)</f>
        <v>128967.24500000011</v>
      </c>
      <c r="M33" s="22">
        <f t="shared" ref="M33:M97" si="4">F33+L33</f>
        <v>1029799.2950000002</v>
      </c>
    </row>
    <row r="34" spans="2:13" x14ac:dyDescent="0.25">
      <c r="B34" s="78">
        <f>MAX($B$8:B33)+1</f>
        <v>23</v>
      </c>
      <c r="C34" s="78" t="s">
        <v>43</v>
      </c>
      <c r="D34" s="23" t="s">
        <v>83</v>
      </c>
      <c r="E34" s="23" t="s">
        <v>389</v>
      </c>
      <c r="F34" s="138">
        <v>226785.6</v>
      </c>
      <c r="G34" s="138">
        <v>0</v>
      </c>
      <c r="H34" s="23"/>
      <c r="I34" s="22">
        <f>VLOOKUP($C34,'WP RA3'!$C$10:$N$127,12,FALSE)</f>
        <v>0</v>
      </c>
      <c r="J34" s="23"/>
      <c r="K34" s="23"/>
      <c r="L34" s="22">
        <f t="shared" si="3"/>
        <v>0</v>
      </c>
      <c r="M34" s="22">
        <f t="shared" si="4"/>
        <v>226785.6</v>
      </c>
    </row>
    <row r="35" spans="2:13" x14ac:dyDescent="0.25">
      <c r="B35" s="78">
        <f>MAX($B$8:B34)+1</f>
        <v>24</v>
      </c>
      <c r="C35" s="78" t="s">
        <v>44</v>
      </c>
      <c r="D35" s="23" t="s">
        <v>84</v>
      </c>
      <c r="E35" s="23" t="s">
        <v>390</v>
      </c>
      <c r="F35" s="138">
        <v>6778.93</v>
      </c>
      <c r="G35" s="138">
        <v>0</v>
      </c>
      <c r="H35" s="23"/>
      <c r="I35" s="22">
        <f>VLOOKUP($C35,'WP RA3'!$C$10:$N$127,12,FALSE)</f>
        <v>0</v>
      </c>
      <c r="J35" s="23"/>
      <c r="K35" s="23"/>
      <c r="L35" s="22">
        <f t="shared" si="3"/>
        <v>0</v>
      </c>
      <c r="M35" s="22">
        <f t="shared" si="4"/>
        <v>6778.93</v>
      </c>
    </row>
    <row r="36" spans="2:13" x14ac:dyDescent="0.25">
      <c r="B36" s="78">
        <f>MAX($B$8:B35)+1</f>
        <v>25</v>
      </c>
      <c r="C36" s="78" t="s">
        <v>45</v>
      </c>
      <c r="D36" s="23" t="s">
        <v>85</v>
      </c>
      <c r="E36" s="23" t="s">
        <v>391</v>
      </c>
      <c r="F36" s="138">
        <v>125652.87</v>
      </c>
      <c r="G36" s="138">
        <v>0</v>
      </c>
      <c r="H36" s="23"/>
      <c r="I36" s="22">
        <f>VLOOKUP($C36,'WP RA3'!$C$10:$N$127,12,FALSE)</f>
        <v>0</v>
      </c>
      <c r="J36" s="23"/>
      <c r="K36" s="23"/>
      <c r="L36" s="22">
        <f t="shared" si="3"/>
        <v>0</v>
      </c>
      <c r="M36" s="22">
        <f t="shared" si="4"/>
        <v>125652.87</v>
      </c>
    </row>
    <row r="37" spans="2:13" x14ac:dyDescent="0.25">
      <c r="B37" s="78">
        <f>MAX($B$8:B36)+1</f>
        <v>26</v>
      </c>
      <c r="C37" s="78" t="s">
        <v>46</v>
      </c>
      <c r="D37" s="23" t="s">
        <v>86</v>
      </c>
      <c r="E37" s="23" t="s">
        <v>390</v>
      </c>
      <c r="F37" s="138">
        <v>120</v>
      </c>
      <c r="G37" s="138">
        <v>0</v>
      </c>
      <c r="H37" s="23"/>
      <c r="I37" s="22">
        <f>VLOOKUP($C37,'WP RA3'!$C$10:$N$127,12,FALSE)</f>
        <v>-120</v>
      </c>
      <c r="J37" s="23"/>
      <c r="K37" s="23"/>
      <c r="L37" s="22">
        <f t="shared" si="3"/>
        <v>-120</v>
      </c>
      <c r="M37" s="22">
        <f t="shared" si="4"/>
        <v>0</v>
      </c>
    </row>
    <row r="38" spans="2:13" x14ac:dyDescent="0.25">
      <c r="B38" s="78">
        <f>MAX($B$8:B37)+1</f>
        <v>27</v>
      </c>
      <c r="C38" s="78" t="s">
        <v>47</v>
      </c>
      <c r="D38" s="23" t="s">
        <v>87</v>
      </c>
      <c r="E38" s="23" t="s">
        <v>390</v>
      </c>
      <c r="F38" s="138">
        <v>1501.12</v>
      </c>
      <c r="G38" s="138">
        <v>0</v>
      </c>
      <c r="H38" s="23"/>
      <c r="I38" s="22">
        <f>VLOOKUP($C38,'WP RA3'!$C$10:$N$127,12,FALSE)</f>
        <v>250.48999999999864</v>
      </c>
      <c r="J38" s="23"/>
      <c r="K38" s="23"/>
      <c r="L38" s="22">
        <f t="shared" si="3"/>
        <v>250.48999999999864</v>
      </c>
      <c r="M38" s="22">
        <f t="shared" si="4"/>
        <v>1751.6099999999985</v>
      </c>
    </row>
    <row r="39" spans="2:13" x14ac:dyDescent="0.25">
      <c r="B39" s="78">
        <f>MAX($B$8:B38)+1</f>
        <v>28</v>
      </c>
      <c r="C39" s="78" t="s">
        <v>48</v>
      </c>
      <c r="D39" s="23" t="s">
        <v>88</v>
      </c>
      <c r="E39" s="23" t="s">
        <v>390</v>
      </c>
      <c r="F39" s="138">
        <v>0</v>
      </c>
      <c r="G39" s="138">
        <v>0</v>
      </c>
      <c r="H39" s="23"/>
      <c r="I39" s="22">
        <f>VLOOKUP($C39,'WP RA3'!$C$10:$N$127,12,FALSE)</f>
        <v>0</v>
      </c>
      <c r="J39" s="23"/>
      <c r="K39" s="23"/>
      <c r="L39" s="22">
        <f t="shared" si="3"/>
        <v>0</v>
      </c>
      <c r="M39" s="22">
        <f t="shared" si="4"/>
        <v>0</v>
      </c>
    </row>
    <row r="40" spans="2:13" x14ac:dyDescent="0.25">
      <c r="B40" s="78">
        <f>MAX($B$8:B39)+1</f>
        <v>29</v>
      </c>
      <c r="C40" s="78" t="s">
        <v>49</v>
      </c>
      <c r="D40" s="23" t="s">
        <v>89</v>
      </c>
      <c r="E40" s="23" t="s">
        <v>390</v>
      </c>
      <c r="F40" s="138">
        <v>93905.02</v>
      </c>
      <c r="G40" s="138">
        <v>0</v>
      </c>
      <c r="H40" s="23"/>
      <c r="I40" s="22">
        <f>VLOOKUP($C40,'WP RA3'!$C$10:$N$127,12,FALSE)</f>
        <v>0</v>
      </c>
      <c r="J40" s="23"/>
      <c r="K40" s="23"/>
      <c r="L40" s="22">
        <f t="shared" si="3"/>
        <v>0</v>
      </c>
      <c r="M40" s="22">
        <f t="shared" si="4"/>
        <v>93905.02</v>
      </c>
    </row>
    <row r="41" spans="2:13" x14ac:dyDescent="0.25">
      <c r="B41" s="78">
        <f>MAX($B$8:B40)+1</f>
        <v>30</v>
      </c>
      <c r="C41" s="78" t="s">
        <v>50</v>
      </c>
      <c r="D41" s="23" t="s">
        <v>90</v>
      </c>
      <c r="E41" s="23" t="s">
        <v>390</v>
      </c>
      <c r="F41" s="138">
        <v>519.16</v>
      </c>
      <c r="G41" s="138">
        <v>0</v>
      </c>
      <c r="H41" s="23"/>
      <c r="I41" s="22">
        <f>VLOOKUP($C41,'WP RA3'!$C$10:$N$127,12,FALSE)</f>
        <v>0</v>
      </c>
      <c r="J41" s="23"/>
      <c r="K41" s="23"/>
      <c r="L41" s="22">
        <f t="shared" si="3"/>
        <v>0</v>
      </c>
      <c r="M41" s="22">
        <f t="shared" si="4"/>
        <v>519.16</v>
      </c>
    </row>
    <row r="42" spans="2:13" x14ac:dyDescent="0.25">
      <c r="B42" s="78">
        <f>MAX($B$8:B41)+1</f>
        <v>31</v>
      </c>
      <c r="C42" s="78" t="s">
        <v>51</v>
      </c>
      <c r="D42" s="23" t="s">
        <v>91</v>
      </c>
      <c r="E42" s="23" t="s">
        <v>392</v>
      </c>
      <c r="F42" s="138">
        <v>67776.39</v>
      </c>
      <c r="G42" s="138">
        <v>0</v>
      </c>
      <c r="H42" s="23"/>
      <c r="I42" s="22">
        <f>VLOOKUP($C42,'WP RA3'!$C$10:$N$127,12,FALSE)</f>
        <v>11296.065000000002</v>
      </c>
      <c r="J42" s="23"/>
      <c r="K42" s="23"/>
      <c r="L42" s="22">
        <f t="shared" si="3"/>
        <v>11296.065000000002</v>
      </c>
      <c r="M42" s="22">
        <f t="shared" si="4"/>
        <v>79072.455000000002</v>
      </c>
    </row>
    <row r="43" spans="2:13" x14ac:dyDescent="0.25">
      <c r="B43" s="78">
        <f>MAX($B$8:B42)+1</f>
        <v>32</v>
      </c>
      <c r="C43" s="78" t="s">
        <v>52</v>
      </c>
      <c r="D43" s="23" t="s">
        <v>92</v>
      </c>
      <c r="E43" s="23" t="s">
        <v>390</v>
      </c>
      <c r="F43" s="138">
        <v>97161.12</v>
      </c>
      <c r="G43" s="138">
        <v>0</v>
      </c>
      <c r="H43" s="23"/>
      <c r="I43" s="22">
        <f>VLOOKUP($C43,'WP RA3'!$C$10:$N$127,12,FALSE)</f>
        <v>18338.880000000005</v>
      </c>
      <c r="J43" s="23"/>
      <c r="K43" s="23"/>
      <c r="L43" s="22">
        <f t="shared" si="3"/>
        <v>18338.880000000005</v>
      </c>
      <c r="M43" s="22">
        <f t="shared" si="4"/>
        <v>115500</v>
      </c>
    </row>
    <row r="44" spans="2:13" x14ac:dyDescent="0.25">
      <c r="B44" s="78">
        <f>MAX($B$8:B43)+1</f>
        <v>33</v>
      </c>
      <c r="C44" s="78" t="s">
        <v>53</v>
      </c>
      <c r="D44" s="23" t="s">
        <v>93</v>
      </c>
      <c r="E44" s="23" t="s">
        <v>393</v>
      </c>
      <c r="F44" s="138">
        <v>10246.19</v>
      </c>
      <c r="G44" s="138">
        <v>0</v>
      </c>
      <c r="H44" s="23"/>
      <c r="I44" s="22">
        <f>VLOOKUP($C44,'WP RA3'!$C$10:$N$127,12,FALSE)</f>
        <v>0</v>
      </c>
      <c r="J44" s="23"/>
      <c r="K44" s="23"/>
      <c r="L44" s="22">
        <f t="shared" si="3"/>
        <v>0</v>
      </c>
      <c r="M44" s="22">
        <f t="shared" si="4"/>
        <v>10246.19</v>
      </c>
    </row>
    <row r="45" spans="2:13" x14ac:dyDescent="0.25">
      <c r="B45" s="78">
        <f>MAX($B$8:B44)+1</f>
        <v>34</v>
      </c>
      <c r="C45" s="78" t="s">
        <v>54</v>
      </c>
      <c r="D45" s="23" t="s">
        <v>94</v>
      </c>
      <c r="E45" s="23" t="s">
        <v>393</v>
      </c>
      <c r="F45" s="138">
        <v>2364.04</v>
      </c>
      <c r="G45" s="138">
        <v>0</v>
      </c>
      <c r="H45" s="23"/>
      <c r="I45" s="22">
        <f>VLOOKUP($C45,'WP RA3'!$C$10:$N$127,12,FALSE)</f>
        <v>0</v>
      </c>
      <c r="J45" s="23"/>
      <c r="K45" s="23"/>
      <c r="L45" s="22">
        <f t="shared" si="3"/>
        <v>0</v>
      </c>
      <c r="M45" s="22">
        <f t="shared" si="4"/>
        <v>2364.04</v>
      </c>
    </row>
    <row r="46" spans="2:13" x14ac:dyDescent="0.25">
      <c r="B46" s="78">
        <f>MAX($B$8:B45)+1</f>
        <v>35</v>
      </c>
      <c r="C46" s="78" t="s">
        <v>55</v>
      </c>
      <c r="D46" s="23" t="s">
        <v>95</v>
      </c>
      <c r="E46" s="23" t="s">
        <v>393</v>
      </c>
      <c r="F46" s="138">
        <v>0</v>
      </c>
      <c r="G46" s="138">
        <v>0</v>
      </c>
      <c r="H46" s="23"/>
      <c r="I46" s="22">
        <f>VLOOKUP($C46,'WP RA3'!$C$10:$N$127,12,FALSE)</f>
        <v>0</v>
      </c>
      <c r="J46" s="23"/>
      <c r="K46" s="23"/>
      <c r="L46" s="22">
        <f t="shared" si="3"/>
        <v>0</v>
      </c>
      <c r="M46" s="22">
        <f t="shared" si="4"/>
        <v>0</v>
      </c>
    </row>
    <row r="47" spans="2:13" x14ac:dyDescent="0.25">
      <c r="B47" s="78">
        <f>MAX($B$8:B46)+1</f>
        <v>36</v>
      </c>
      <c r="C47" s="78" t="s">
        <v>56</v>
      </c>
      <c r="D47" s="23" t="s">
        <v>96</v>
      </c>
      <c r="E47" s="23" t="s">
        <v>393</v>
      </c>
      <c r="F47" s="138">
        <v>4288.8999999999996</v>
      </c>
      <c r="G47" s="138">
        <v>0</v>
      </c>
      <c r="H47" s="23"/>
      <c r="I47" s="22">
        <f>VLOOKUP($C47,'WP RA3'!$C$10:$N$127,12,FALSE)</f>
        <v>0</v>
      </c>
      <c r="J47" s="23"/>
      <c r="K47" s="23"/>
      <c r="L47" s="22">
        <f t="shared" si="3"/>
        <v>0</v>
      </c>
      <c r="M47" s="22">
        <f t="shared" si="4"/>
        <v>4288.8999999999996</v>
      </c>
    </row>
    <row r="48" spans="2:13" x14ac:dyDescent="0.25">
      <c r="B48" s="78">
        <f>MAX($B$8:B47)+1</f>
        <v>37</v>
      </c>
      <c r="C48" s="78" t="s">
        <v>57</v>
      </c>
      <c r="D48" s="23" t="s">
        <v>97</v>
      </c>
      <c r="E48" s="23" t="s">
        <v>393</v>
      </c>
      <c r="F48" s="138">
        <v>0</v>
      </c>
      <c r="G48" s="138">
        <v>0</v>
      </c>
      <c r="H48" s="23"/>
      <c r="I48" s="22">
        <f>VLOOKUP($C48,'WP RA3'!$C$10:$N$127,12,FALSE)</f>
        <v>0</v>
      </c>
      <c r="J48" s="23"/>
      <c r="K48" s="23"/>
      <c r="L48" s="22">
        <f t="shared" si="3"/>
        <v>0</v>
      </c>
      <c r="M48" s="22">
        <f t="shared" si="4"/>
        <v>0</v>
      </c>
    </row>
    <row r="49" spans="2:13" x14ac:dyDescent="0.25">
      <c r="B49" s="78">
        <f>MAX($B$8:B48)+1</f>
        <v>38</v>
      </c>
      <c r="C49" s="78" t="s">
        <v>58</v>
      </c>
      <c r="D49" s="23" t="s">
        <v>98</v>
      </c>
      <c r="E49" s="23" t="s">
        <v>394</v>
      </c>
      <c r="F49" s="138">
        <v>0</v>
      </c>
      <c r="G49" s="138">
        <v>0</v>
      </c>
      <c r="H49" s="23"/>
      <c r="I49" s="22">
        <f>VLOOKUP($C49,'WP RA3'!$C$10:$N$127,12,FALSE)</f>
        <v>0</v>
      </c>
      <c r="J49" s="23"/>
      <c r="K49" s="23"/>
      <c r="L49" s="22">
        <f t="shared" si="3"/>
        <v>0</v>
      </c>
      <c r="M49" s="22">
        <f t="shared" si="4"/>
        <v>0</v>
      </c>
    </row>
    <row r="50" spans="2:13" x14ac:dyDescent="0.25">
      <c r="B50" s="78">
        <f>MAX($B$8:B49)+1</f>
        <v>39</v>
      </c>
      <c r="C50" s="78" t="s">
        <v>59</v>
      </c>
      <c r="D50" s="23" t="s">
        <v>99</v>
      </c>
      <c r="E50" s="23" t="s">
        <v>395</v>
      </c>
      <c r="F50" s="138">
        <v>14113.73</v>
      </c>
      <c r="G50" s="138">
        <v>0</v>
      </c>
      <c r="H50" s="23"/>
      <c r="I50" s="22">
        <f>VLOOKUP($C50,'WP RA3'!$C$10:$N$127,12,FALSE)</f>
        <v>-1964.961666666668</v>
      </c>
      <c r="J50" s="23"/>
      <c r="K50" s="23"/>
      <c r="L50" s="22">
        <f t="shared" si="3"/>
        <v>-1964.961666666668</v>
      </c>
      <c r="M50" s="22">
        <f t="shared" si="4"/>
        <v>12148.768333333332</v>
      </c>
    </row>
    <row r="51" spans="2:13" x14ac:dyDescent="0.25">
      <c r="B51" s="78">
        <f>MAX($B$8:B50)+1</f>
        <v>40</v>
      </c>
      <c r="C51" s="78" t="s">
        <v>60</v>
      </c>
      <c r="D51" s="23" t="s">
        <v>100</v>
      </c>
      <c r="E51" s="23" t="s">
        <v>393</v>
      </c>
      <c r="F51" s="138">
        <v>9677.2999999999993</v>
      </c>
      <c r="G51" s="138">
        <v>0</v>
      </c>
      <c r="H51" s="23"/>
      <c r="I51" s="22">
        <f>VLOOKUP($C51,'WP RA3'!$C$10:$N$127,12,FALSE)</f>
        <v>0</v>
      </c>
      <c r="J51" s="23"/>
      <c r="K51" s="23"/>
      <c r="L51" s="22">
        <f t="shared" si="3"/>
        <v>0</v>
      </c>
      <c r="M51" s="22">
        <f t="shared" si="4"/>
        <v>9677.2999999999993</v>
      </c>
    </row>
    <row r="52" spans="2:13" x14ac:dyDescent="0.25">
      <c r="B52" s="78">
        <f>MAX($B$8:B51)+1</f>
        <v>41</v>
      </c>
      <c r="C52" s="78" t="s">
        <v>61</v>
      </c>
      <c r="D52" s="23" t="s">
        <v>101</v>
      </c>
      <c r="E52" s="23" t="s">
        <v>395</v>
      </c>
      <c r="F52" s="138">
        <v>17081.650000000001</v>
      </c>
      <c r="G52" s="138">
        <v>0</v>
      </c>
      <c r="H52" s="23"/>
      <c r="I52" s="22">
        <f>VLOOKUP($C52,'WP RA3'!$C$10:$N$127,12,FALSE)</f>
        <v>-12674.45</v>
      </c>
      <c r="J52" s="23"/>
      <c r="K52" s="23"/>
      <c r="L52" s="22">
        <f t="shared" si="3"/>
        <v>-12674.45</v>
      </c>
      <c r="M52" s="22">
        <f t="shared" si="4"/>
        <v>4407.2000000000007</v>
      </c>
    </row>
    <row r="53" spans="2:13" x14ac:dyDescent="0.25">
      <c r="B53" s="78">
        <f>MAX($B$8:B52)+1</f>
        <v>42</v>
      </c>
      <c r="C53" s="78" t="s">
        <v>62</v>
      </c>
      <c r="D53" s="23" t="s">
        <v>102</v>
      </c>
      <c r="E53" s="23" t="s">
        <v>391</v>
      </c>
      <c r="F53" s="138">
        <v>130512.62</v>
      </c>
      <c r="G53" s="138">
        <v>0</v>
      </c>
      <c r="H53" s="23"/>
      <c r="I53" s="22">
        <f>VLOOKUP($C53,'WP RA3'!$C$10:$N$127,12,FALSE)</f>
        <v>0</v>
      </c>
      <c r="J53" s="23"/>
      <c r="K53" s="23"/>
      <c r="L53" s="22">
        <f t="shared" si="3"/>
        <v>0</v>
      </c>
      <c r="M53" s="22">
        <f t="shared" si="4"/>
        <v>130512.62</v>
      </c>
    </row>
    <row r="54" spans="2:13" x14ac:dyDescent="0.25">
      <c r="B54" s="78">
        <f>MAX($B$8:B53)+1</f>
        <v>43</v>
      </c>
      <c r="C54" s="78" t="s">
        <v>63</v>
      </c>
      <c r="D54" s="23" t="s">
        <v>103</v>
      </c>
      <c r="E54" s="23" t="s">
        <v>396</v>
      </c>
      <c r="F54" s="138">
        <v>0</v>
      </c>
      <c r="G54" s="138">
        <v>0</v>
      </c>
      <c r="H54" s="23"/>
      <c r="I54" s="22">
        <f>VLOOKUP($C54,'WP RA3'!$C$10:$N$127,12,FALSE)</f>
        <v>0</v>
      </c>
      <c r="J54" s="23"/>
      <c r="K54" s="23"/>
      <c r="L54" s="22">
        <f t="shared" si="3"/>
        <v>0</v>
      </c>
      <c r="M54" s="22">
        <f t="shared" si="4"/>
        <v>0</v>
      </c>
    </row>
    <row r="55" spans="2:13" x14ac:dyDescent="0.25">
      <c r="B55" s="78">
        <f>MAX($B$8:B54)+1</f>
        <v>44</v>
      </c>
      <c r="C55" s="78" t="s">
        <v>64</v>
      </c>
      <c r="D55" s="23" t="s">
        <v>104</v>
      </c>
      <c r="E55" s="23" t="s">
        <v>396</v>
      </c>
      <c r="F55" s="138">
        <v>0</v>
      </c>
      <c r="G55" s="138">
        <v>0</v>
      </c>
      <c r="H55" s="23"/>
      <c r="I55" s="22">
        <f>VLOOKUP($C55,'WP RA3'!$C$10:$N$127,12,FALSE)</f>
        <v>0</v>
      </c>
      <c r="J55" s="23"/>
      <c r="K55" s="23"/>
      <c r="L55" s="22">
        <f t="shared" si="3"/>
        <v>0</v>
      </c>
      <c r="M55" s="22">
        <f t="shared" si="4"/>
        <v>0</v>
      </c>
    </row>
    <row r="56" spans="2:13" x14ac:dyDescent="0.25">
      <c r="B56" s="78">
        <f>MAX($B$8:B55)+1</f>
        <v>45</v>
      </c>
      <c r="C56" s="78" t="s">
        <v>65</v>
      </c>
      <c r="D56" s="23" t="s">
        <v>105</v>
      </c>
      <c r="E56" s="23" t="s">
        <v>396</v>
      </c>
      <c r="F56" s="138">
        <v>0</v>
      </c>
      <c r="G56" s="138">
        <v>0</v>
      </c>
      <c r="H56" s="23"/>
      <c r="I56" s="22">
        <f>VLOOKUP($C56,'WP RA3'!$C$10:$N$127,12,FALSE)</f>
        <v>0</v>
      </c>
      <c r="J56" s="23"/>
      <c r="K56" s="23"/>
      <c r="L56" s="22">
        <f t="shared" si="3"/>
        <v>0</v>
      </c>
      <c r="M56" s="22">
        <f t="shared" si="4"/>
        <v>0</v>
      </c>
    </row>
    <row r="57" spans="2:13" x14ac:dyDescent="0.25">
      <c r="B57" s="78">
        <f>MAX($B$8:B56)+1</f>
        <v>46</v>
      </c>
      <c r="C57" s="78" t="s">
        <v>66</v>
      </c>
      <c r="D57" s="23" t="s">
        <v>106</v>
      </c>
      <c r="E57" s="23" t="s">
        <v>396</v>
      </c>
      <c r="F57" s="138">
        <v>0</v>
      </c>
      <c r="G57" s="138">
        <v>0</v>
      </c>
      <c r="H57" s="23"/>
      <c r="I57" s="22">
        <f>VLOOKUP($C57,'WP RA3'!$C$10:$N$127,12,FALSE)</f>
        <v>0</v>
      </c>
      <c r="J57" s="23"/>
      <c r="K57" s="23"/>
      <c r="L57" s="22">
        <f t="shared" si="3"/>
        <v>0</v>
      </c>
      <c r="M57" s="22">
        <f t="shared" si="4"/>
        <v>0</v>
      </c>
    </row>
    <row r="58" spans="2:13" x14ac:dyDescent="0.25">
      <c r="B58" s="78">
        <f>MAX($B$8:B57)+1</f>
        <v>47</v>
      </c>
      <c r="C58" s="78" t="s">
        <v>67</v>
      </c>
      <c r="D58" s="23" t="s">
        <v>107</v>
      </c>
      <c r="E58" s="23" t="s">
        <v>396</v>
      </c>
      <c r="F58" s="138">
        <v>0</v>
      </c>
      <c r="G58" s="138">
        <v>0</v>
      </c>
      <c r="H58" s="23"/>
      <c r="I58" s="22">
        <f>VLOOKUP($C58,'WP RA3'!$C$10:$N$127,12,FALSE)</f>
        <v>0</v>
      </c>
      <c r="J58" s="23"/>
      <c r="K58" s="23"/>
      <c r="L58" s="22">
        <f t="shared" si="3"/>
        <v>0</v>
      </c>
      <c r="M58" s="22">
        <f t="shared" si="4"/>
        <v>0</v>
      </c>
    </row>
    <row r="59" spans="2:13" x14ac:dyDescent="0.25">
      <c r="B59" s="78">
        <f>MAX($B$8:B58)+1</f>
        <v>48</v>
      </c>
      <c r="C59" s="78" t="s">
        <v>68</v>
      </c>
      <c r="D59" s="23" t="s">
        <v>108</v>
      </c>
      <c r="E59" s="23" t="s">
        <v>396</v>
      </c>
      <c r="F59" s="138">
        <v>689810.07</v>
      </c>
      <c r="G59" s="138">
        <v>0</v>
      </c>
      <c r="H59" s="23"/>
      <c r="I59" s="22">
        <f>VLOOKUP($C59,'WP RA3'!$C$10:$N$127,12,FALSE)</f>
        <v>0</v>
      </c>
      <c r="J59" s="23"/>
      <c r="K59" s="23"/>
      <c r="L59" s="22">
        <f t="shared" si="3"/>
        <v>0</v>
      </c>
      <c r="M59" s="22">
        <f t="shared" si="4"/>
        <v>689810.07</v>
      </c>
    </row>
    <row r="60" spans="2:13" x14ac:dyDescent="0.25">
      <c r="B60" s="78">
        <f>MAX($B$8:B59)+1</f>
        <v>49</v>
      </c>
      <c r="C60" s="78" t="s">
        <v>69</v>
      </c>
      <c r="D60" s="23" t="s">
        <v>109</v>
      </c>
      <c r="E60" s="23" t="s">
        <v>391</v>
      </c>
      <c r="F60" s="138">
        <v>0</v>
      </c>
      <c r="G60" s="138">
        <v>0</v>
      </c>
      <c r="H60" s="23"/>
      <c r="I60" s="22">
        <f>VLOOKUP($C60,'WP RA3'!$C$10:$N$127,12,FALSE)</f>
        <v>0</v>
      </c>
      <c r="J60" s="23"/>
      <c r="K60" s="23"/>
      <c r="L60" s="22">
        <f t="shared" si="3"/>
        <v>0</v>
      </c>
      <c r="M60" s="22">
        <f t="shared" si="4"/>
        <v>0</v>
      </c>
    </row>
    <row r="61" spans="2:13" x14ac:dyDescent="0.25">
      <c r="B61" s="78">
        <f>MAX($B$8:B60)+1</f>
        <v>50</v>
      </c>
      <c r="C61" s="78" t="s">
        <v>70</v>
      </c>
      <c r="D61" s="23" t="s">
        <v>110</v>
      </c>
      <c r="E61" s="23" t="s">
        <v>391</v>
      </c>
      <c r="F61" s="138">
        <v>0</v>
      </c>
      <c r="G61" s="138">
        <v>0</v>
      </c>
      <c r="H61" s="23"/>
      <c r="I61" s="22">
        <f>VLOOKUP($C61,'WP RA3'!$C$10:$N$127,12,FALSE)</f>
        <v>0</v>
      </c>
      <c r="J61" s="23"/>
      <c r="K61" s="23"/>
      <c r="L61" s="22">
        <f t="shared" si="3"/>
        <v>0</v>
      </c>
      <c r="M61" s="22">
        <f t="shared" si="4"/>
        <v>0</v>
      </c>
    </row>
    <row r="62" spans="2:13" x14ac:dyDescent="0.25">
      <c r="B62" s="78">
        <f>MAX($B$8:B61)+1</f>
        <v>51</v>
      </c>
      <c r="C62" s="78" t="s">
        <v>71</v>
      </c>
      <c r="D62" s="23" t="s">
        <v>111</v>
      </c>
      <c r="E62" s="23" t="s">
        <v>397</v>
      </c>
      <c r="F62" s="138">
        <v>0</v>
      </c>
      <c r="G62" s="138">
        <v>0</v>
      </c>
      <c r="H62" s="23"/>
      <c r="I62" s="22">
        <f>VLOOKUP($C62,'WP RA3'!$C$10:$N$127,12,FALSE)</f>
        <v>0</v>
      </c>
      <c r="J62" s="23"/>
      <c r="K62" s="23"/>
      <c r="L62" s="22">
        <f t="shared" si="3"/>
        <v>0</v>
      </c>
      <c r="M62" s="22">
        <f t="shared" si="4"/>
        <v>0</v>
      </c>
    </row>
    <row r="63" spans="2:13" x14ac:dyDescent="0.25">
      <c r="B63" s="78">
        <f>MAX($B$8:B62)+1</f>
        <v>52</v>
      </c>
      <c r="C63" s="78" t="s">
        <v>71</v>
      </c>
      <c r="D63" s="23" t="s">
        <v>530</v>
      </c>
      <c r="E63" s="23" t="s">
        <v>397</v>
      </c>
      <c r="F63" s="138">
        <v>0</v>
      </c>
      <c r="G63" s="138">
        <v>0</v>
      </c>
      <c r="H63" s="22">
        <v>0</v>
      </c>
      <c r="I63" s="22">
        <f>VLOOKUP($C63,'WP RA3'!$C$10:$N$127,12,FALSE)</f>
        <v>0</v>
      </c>
      <c r="J63" s="22">
        <v>0</v>
      </c>
      <c r="K63" s="22">
        <v>0</v>
      </c>
      <c r="L63" s="22">
        <f t="shared" ref="L63" si="5">SUM(G63:K63)</f>
        <v>0</v>
      </c>
      <c r="M63" s="22">
        <f t="shared" ref="M63" si="6">F63+L63</f>
        <v>0</v>
      </c>
    </row>
    <row r="64" spans="2:13" x14ac:dyDescent="0.25">
      <c r="B64" s="78">
        <f>MAX($B$8:B63)+1</f>
        <v>53</v>
      </c>
      <c r="C64" s="78" t="s">
        <v>72</v>
      </c>
      <c r="D64" s="23" t="s">
        <v>112</v>
      </c>
      <c r="E64" s="23" t="s">
        <v>398</v>
      </c>
      <c r="F64" s="138">
        <v>0</v>
      </c>
      <c r="G64" s="138">
        <v>0</v>
      </c>
      <c r="H64" s="23"/>
      <c r="I64" s="22">
        <f>VLOOKUP($C64,'WP RA3'!$C$10:$N$127,12,FALSE)</f>
        <v>0</v>
      </c>
      <c r="J64" s="23"/>
      <c r="K64" s="23"/>
      <c r="L64" s="22">
        <f t="shared" si="3"/>
        <v>0</v>
      </c>
      <c r="M64" s="22">
        <f t="shared" si="4"/>
        <v>0</v>
      </c>
    </row>
    <row r="65" spans="2:13" x14ac:dyDescent="0.25">
      <c r="B65" s="78">
        <f>MAX($B$8:B64)+1</f>
        <v>54</v>
      </c>
      <c r="C65" s="78" t="s">
        <v>73</v>
      </c>
      <c r="D65" s="23" t="s">
        <v>113</v>
      </c>
      <c r="E65" s="23" t="s">
        <v>399</v>
      </c>
      <c r="F65" s="138">
        <v>161854.67000000001</v>
      </c>
      <c r="G65" s="138">
        <v>0</v>
      </c>
      <c r="H65" s="23"/>
      <c r="I65" s="22">
        <f>VLOOKUP($C65,'WP RA3'!$C$10:$N$127,12,FALSE)</f>
        <v>-157422.72325000001</v>
      </c>
      <c r="J65" s="23"/>
      <c r="K65" s="23"/>
      <c r="L65" s="22">
        <f t="shared" si="3"/>
        <v>-157422.72325000001</v>
      </c>
      <c r="M65" s="22">
        <f t="shared" si="4"/>
        <v>4431.9467500000028</v>
      </c>
    </row>
    <row r="66" spans="2:13" x14ac:dyDescent="0.25">
      <c r="B66" s="78">
        <f>MAX($B$8:B65)+1</f>
        <v>55</v>
      </c>
      <c r="C66" s="78" t="s">
        <v>74</v>
      </c>
      <c r="D66" s="23" t="s">
        <v>114</v>
      </c>
      <c r="E66" s="23" t="s">
        <v>393</v>
      </c>
      <c r="F66" s="138">
        <v>0</v>
      </c>
      <c r="G66" s="138">
        <v>0</v>
      </c>
      <c r="H66" s="23"/>
      <c r="I66" s="22">
        <f>VLOOKUP($C66,'WP RA3'!$C$10:$N$127,12,FALSE)</f>
        <v>0</v>
      </c>
      <c r="J66" s="23"/>
      <c r="K66" s="23"/>
      <c r="L66" s="22">
        <f t="shared" si="3"/>
        <v>0</v>
      </c>
      <c r="M66" s="22">
        <f t="shared" si="4"/>
        <v>0</v>
      </c>
    </row>
    <row r="67" spans="2:13" x14ac:dyDescent="0.25">
      <c r="B67" s="78">
        <f>MAX($B$8:B66)+1</f>
        <v>56</v>
      </c>
      <c r="C67" s="78" t="s">
        <v>75</v>
      </c>
      <c r="D67" s="23" t="s">
        <v>115</v>
      </c>
      <c r="E67" s="23" t="s">
        <v>393</v>
      </c>
      <c r="F67" s="138">
        <v>0</v>
      </c>
      <c r="G67" s="138">
        <v>0</v>
      </c>
      <c r="H67" s="23"/>
      <c r="I67" s="22">
        <f>VLOOKUP($C67,'WP RA3'!$C$10:$N$127,12,FALSE)</f>
        <v>0</v>
      </c>
      <c r="J67" s="23"/>
      <c r="K67" s="23"/>
      <c r="L67" s="22">
        <f t="shared" si="3"/>
        <v>0</v>
      </c>
      <c r="M67" s="22">
        <f t="shared" si="4"/>
        <v>0</v>
      </c>
    </row>
    <row r="68" spans="2:13" x14ac:dyDescent="0.25">
      <c r="B68" s="78">
        <f>MAX($B$8:B67)+1</f>
        <v>57</v>
      </c>
      <c r="C68" s="78" t="s">
        <v>76</v>
      </c>
      <c r="D68" s="23" t="s">
        <v>116</v>
      </c>
      <c r="E68" s="23" t="s">
        <v>390</v>
      </c>
      <c r="F68" s="138">
        <v>315.13</v>
      </c>
      <c r="G68" s="138">
        <v>0</v>
      </c>
      <c r="H68" s="23"/>
      <c r="I68" s="22">
        <f>VLOOKUP($C68,'WP RA3'!$C$10:$N$127,12,FALSE)</f>
        <v>0</v>
      </c>
      <c r="J68" s="23"/>
      <c r="K68" s="23"/>
      <c r="L68" s="22">
        <f t="shared" si="3"/>
        <v>0</v>
      </c>
      <c r="M68" s="22">
        <f t="shared" si="4"/>
        <v>315.13</v>
      </c>
    </row>
    <row r="69" spans="2:13" x14ac:dyDescent="0.25">
      <c r="B69" s="78">
        <f>MAX($B$8:B68)+1</f>
        <v>58</v>
      </c>
      <c r="C69" s="78" t="s">
        <v>77</v>
      </c>
      <c r="D69" s="23" t="s">
        <v>117</v>
      </c>
      <c r="E69" s="23" t="s">
        <v>391</v>
      </c>
      <c r="F69" s="138">
        <v>0</v>
      </c>
      <c r="G69" s="138">
        <v>0</v>
      </c>
      <c r="H69" s="23"/>
      <c r="I69" s="22">
        <f>VLOOKUP($C69,'WP RA3'!$C$10:$N$127,12,FALSE)</f>
        <v>0</v>
      </c>
      <c r="J69" s="23"/>
      <c r="K69" s="23"/>
      <c r="L69" s="22">
        <f t="shared" si="3"/>
        <v>0</v>
      </c>
      <c r="M69" s="22">
        <f t="shared" si="4"/>
        <v>0</v>
      </c>
    </row>
    <row r="70" spans="2:13" x14ac:dyDescent="0.25">
      <c r="B70" s="78">
        <f>MAX($B$8:B69)+1</f>
        <v>59</v>
      </c>
      <c r="C70" s="78" t="s">
        <v>78</v>
      </c>
      <c r="D70" s="23" t="s">
        <v>118</v>
      </c>
      <c r="E70" s="23" t="s">
        <v>396</v>
      </c>
      <c r="F70" s="138">
        <v>0</v>
      </c>
      <c r="G70" s="138">
        <v>0</v>
      </c>
      <c r="H70" s="23"/>
      <c r="I70" s="22">
        <f>VLOOKUP($C70,'WP RA3'!$C$10:$N$127,12,FALSE)</f>
        <v>0</v>
      </c>
      <c r="J70" s="23"/>
      <c r="K70" s="23"/>
      <c r="L70" s="22">
        <f t="shared" si="3"/>
        <v>0</v>
      </c>
      <c r="M70" s="22">
        <f t="shared" si="4"/>
        <v>0</v>
      </c>
    </row>
    <row r="71" spans="2:13" x14ac:dyDescent="0.25">
      <c r="B71" s="78">
        <f>MAX($B$8:B70)+1</f>
        <v>60</v>
      </c>
      <c r="C71" s="78" t="s">
        <v>79</v>
      </c>
      <c r="D71" s="23" t="s">
        <v>119</v>
      </c>
      <c r="E71" s="23" t="s">
        <v>390</v>
      </c>
      <c r="F71" s="138">
        <v>1372.97</v>
      </c>
      <c r="G71" s="138">
        <v>0</v>
      </c>
      <c r="H71" s="23"/>
      <c r="I71" s="22">
        <f>VLOOKUP($C71,'WP RA3'!$C$10:$N$127,12,FALSE)</f>
        <v>0</v>
      </c>
      <c r="J71" s="23"/>
      <c r="K71" s="23"/>
      <c r="L71" s="22">
        <f t="shared" si="3"/>
        <v>0</v>
      </c>
      <c r="M71" s="22">
        <f t="shared" si="4"/>
        <v>1372.97</v>
      </c>
    </row>
    <row r="72" spans="2:13" x14ac:dyDescent="0.25">
      <c r="B72" s="78">
        <f>MAX($B$8:B71)+1</f>
        <v>61</v>
      </c>
      <c r="C72" s="78" t="s">
        <v>80</v>
      </c>
      <c r="D72" s="23" t="s">
        <v>120</v>
      </c>
      <c r="E72" s="23" t="s">
        <v>394</v>
      </c>
      <c r="F72" s="138">
        <v>0</v>
      </c>
      <c r="G72" s="138">
        <v>0</v>
      </c>
      <c r="H72" s="23"/>
      <c r="I72" s="22">
        <f>VLOOKUP($C72,'WP RA3'!$C$10:$N$127,12,FALSE)</f>
        <v>0</v>
      </c>
      <c r="J72" s="23"/>
      <c r="K72" s="23"/>
      <c r="L72" s="22">
        <f t="shared" si="3"/>
        <v>0</v>
      </c>
      <c r="M72" s="22">
        <f t="shared" si="4"/>
        <v>0</v>
      </c>
    </row>
    <row r="73" spans="2:13" x14ac:dyDescent="0.25">
      <c r="B73" s="78">
        <f>MAX($B$8:B72)+1</f>
        <v>62</v>
      </c>
      <c r="C73" s="78" t="s">
        <v>81</v>
      </c>
      <c r="D73" s="23" t="s">
        <v>121</v>
      </c>
      <c r="E73" s="23" t="s">
        <v>363</v>
      </c>
      <c r="F73" s="138">
        <v>443533.78</v>
      </c>
      <c r="G73" s="138">
        <v>0</v>
      </c>
      <c r="H73" s="23"/>
      <c r="I73" s="22">
        <f>VLOOKUP($C73,'WP RA3'!$C$10:$N$127,12,FALSE)</f>
        <v>-58533.780000000028</v>
      </c>
      <c r="J73" s="23"/>
      <c r="K73" s="23"/>
      <c r="L73" s="22">
        <f t="shared" si="3"/>
        <v>-58533.780000000028</v>
      </c>
      <c r="M73" s="22">
        <f t="shared" si="4"/>
        <v>385000</v>
      </c>
    </row>
    <row r="74" spans="2:13" x14ac:dyDescent="0.25">
      <c r="B74" s="78">
        <f>MAX($B$8:B73)+1</f>
        <v>63</v>
      </c>
      <c r="C74" s="78" t="s">
        <v>124</v>
      </c>
      <c r="D74" s="23" t="s">
        <v>122</v>
      </c>
      <c r="E74" s="23" t="s">
        <v>363</v>
      </c>
      <c r="F74" s="138">
        <v>219972.35</v>
      </c>
      <c r="G74" s="138">
        <v>0</v>
      </c>
      <c r="H74" s="23"/>
      <c r="I74" s="22">
        <f>VLOOKUP($C74,'WP RA3'!$C$10:$N$127,12,FALSE)</f>
        <v>0</v>
      </c>
      <c r="J74" s="23"/>
      <c r="K74" s="23"/>
      <c r="L74" s="22">
        <f t="shared" si="3"/>
        <v>0</v>
      </c>
      <c r="M74" s="22">
        <f t="shared" si="4"/>
        <v>219972.35</v>
      </c>
    </row>
    <row r="75" spans="2:13" x14ac:dyDescent="0.25">
      <c r="B75" s="78">
        <f>MAX($B$8:B74)+1</f>
        <v>64</v>
      </c>
      <c r="C75" s="78" t="s">
        <v>125</v>
      </c>
      <c r="D75" s="23" t="s">
        <v>123</v>
      </c>
      <c r="E75" s="23"/>
      <c r="F75" s="138">
        <v>0</v>
      </c>
      <c r="G75" s="138">
        <v>0</v>
      </c>
      <c r="H75" s="23"/>
      <c r="I75" s="22">
        <f>VLOOKUP($C75,'WP RA3'!$C$10:$N$127,12,FALSE)</f>
        <v>0</v>
      </c>
      <c r="J75" s="23"/>
      <c r="K75" s="23"/>
      <c r="L75" s="22">
        <f t="shared" si="3"/>
        <v>0</v>
      </c>
      <c r="M75" s="22">
        <f t="shared" si="4"/>
        <v>0</v>
      </c>
    </row>
    <row r="76" spans="2:13" x14ac:dyDescent="0.25">
      <c r="B76" s="78">
        <f>MAX($B$8:B75)+1</f>
        <v>65</v>
      </c>
      <c r="C76" s="78" t="s">
        <v>126</v>
      </c>
      <c r="D76" s="23" t="s">
        <v>179</v>
      </c>
      <c r="E76" s="23" t="s">
        <v>391</v>
      </c>
      <c r="F76" s="138">
        <v>127630.45</v>
      </c>
      <c r="G76" s="138">
        <v>0</v>
      </c>
      <c r="H76" s="23"/>
      <c r="I76" s="22">
        <f>VLOOKUP($C76,'WP RA3'!$C$10:$N$127,12,FALSE)</f>
        <v>0</v>
      </c>
      <c r="J76" s="23"/>
      <c r="K76" s="23"/>
      <c r="L76" s="22">
        <f t="shared" si="3"/>
        <v>0</v>
      </c>
      <c r="M76" s="22">
        <f t="shared" si="4"/>
        <v>127630.45</v>
      </c>
    </row>
    <row r="77" spans="2:13" x14ac:dyDescent="0.25">
      <c r="B77" s="78">
        <f>MAX($B$8:B76)+1</f>
        <v>66</v>
      </c>
      <c r="C77" s="78" t="s">
        <v>127</v>
      </c>
      <c r="D77" s="23" t="s">
        <v>180</v>
      </c>
      <c r="E77" s="23" t="s">
        <v>394</v>
      </c>
      <c r="F77" s="138">
        <v>0</v>
      </c>
      <c r="G77" s="138">
        <v>0</v>
      </c>
      <c r="H77" s="23"/>
      <c r="I77" s="22">
        <f>VLOOKUP($C77,'WP RA3'!$C$10:$N$127,12,FALSE)</f>
        <v>0</v>
      </c>
      <c r="J77" s="23"/>
      <c r="K77" s="23"/>
      <c r="L77" s="22">
        <f t="shared" si="3"/>
        <v>0</v>
      </c>
      <c r="M77" s="22">
        <f t="shared" si="4"/>
        <v>0</v>
      </c>
    </row>
    <row r="78" spans="2:13" x14ac:dyDescent="0.25">
      <c r="B78" s="78">
        <f>MAX($B$8:B77)+1</f>
        <v>67</v>
      </c>
      <c r="C78" s="78" t="s">
        <v>128</v>
      </c>
      <c r="D78" s="23" t="s">
        <v>181</v>
      </c>
      <c r="E78" s="23" t="s">
        <v>400</v>
      </c>
      <c r="F78" s="138">
        <v>0</v>
      </c>
      <c r="G78" s="138">
        <v>0</v>
      </c>
      <c r="H78" s="23"/>
      <c r="I78" s="22">
        <f>VLOOKUP($C78,'WP RA3'!$C$10:$N$127,12,FALSE)</f>
        <v>0</v>
      </c>
      <c r="J78" s="23"/>
      <c r="K78" s="23"/>
      <c r="L78" s="22">
        <f t="shared" si="3"/>
        <v>0</v>
      </c>
      <c r="M78" s="22">
        <f t="shared" si="4"/>
        <v>0</v>
      </c>
    </row>
    <row r="79" spans="2:13" x14ac:dyDescent="0.25">
      <c r="B79" s="78">
        <f>MAX($B$8:B78)+1</f>
        <v>68</v>
      </c>
      <c r="C79" s="78" t="s">
        <v>129</v>
      </c>
      <c r="D79" s="23" t="s">
        <v>182</v>
      </c>
      <c r="E79" s="23" t="s">
        <v>401</v>
      </c>
      <c r="F79" s="138">
        <v>3526.03</v>
      </c>
      <c r="G79" s="138">
        <v>0</v>
      </c>
      <c r="H79" s="23"/>
      <c r="I79" s="22">
        <f>VLOOKUP($C79,'WP RA3'!$C$10:$N$127,12,FALSE)</f>
        <v>11197.49</v>
      </c>
      <c r="J79" s="23"/>
      <c r="K79" s="23"/>
      <c r="L79" s="22">
        <f t="shared" si="3"/>
        <v>11197.49</v>
      </c>
      <c r="M79" s="22">
        <f t="shared" si="4"/>
        <v>14723.52</v>
      </c>
    </row>
    <row r="80" spans="2:13" x14ac:dyDescent="0.25">
      <c r="B80" s="78">
        <f>MAX($B$8:B79)+1</f>
        <v>69</v>
      </c>
      <c r="C80" s="78" t="s">
        <v>130</v>
      </c>
      <c r="D80" s="23" t="s">
        <v>183</v>
      </c>
      <c r="E80" s="23"/>
      <c r="F80" s="138">
        <v>0</v>
      </c>
      <c r="G80" s="138">
        <v>0</v>
      </c>
      <c r="H80" s="23"/>
      <c r="I80" s="22">
        <f>VLOOKUP($C80,'WP RA3'!$C$10:$N$127,12,FALSE)</f>
        <v>0</v>
      </c>
      <c r="J80" s="23"/>
      <c r="K80" s="23"/>
      <c r="L80" s="22">
        <f t="shared" si="3"/>
        <v>0</v>
      </c>
      <c r="M80" s="22">
        <f t="shared" si="4"/>
        <v>0</v>
      </c>
    </row>
    <row r="81" spans="2:13" x14ac:dyDescent="0.25">
      <c r="B81" s="78">
        <f>MAX($B$8:B80)+1</f>
        <v>70</v>
      </c>
      <c r="C81" s="78" t="s">
        <v>131</v>
      </c>
      <c r="D81" s="23" t="s">
        <v>184</v>
      </c>
      <c r="E81" s="23" t="s">
        <v>391</v>
      </c>
      <c r="F81" s="138">
        <v>0</v>
      </c>
      <c r="G81" s="138">
        <v>0</v>
      </c>
      <c r="H81" s="23"/>
      <c r="I81" s="22">
        <f>VLOOKUP($C81,'WP RA3'!$C$10:$N$127,12,FALSE)</f>
        <v>0</v>
      </c>
      <c r="J81" s="23"/>
      <c r="K81" s="23"/>
      <c r="L81" s="22">
        <f t="shared" si="3"/>
        <v>0</v>
      </c>
      <c r="M81" s="22">
        <f t="shared" si="4"/>
        <v>0</v>
      </c>
    </row>
    <row r="82" spans="2:13" x14ac:dyDescent="0.25">
      <c r="B82" s="78">
        <f>MAX($B$8:B81)+1</f>
        <v>71</v>
      </c>
      <c r="C82" s="78" t="s">
        <v>132</v>
      </c>
      <c r="D82" s="23" t="s">
        <v>185</v>
      </c>
      <c r="E82" s="23" t="s">
        <v>363</v>
      </c>
      <c r="F82" s="138">
        <v>0</v>
      </c>
      <c r="G82" s="138">
        <v>0</v>
      </c>
      <c r="H82" s="23"/>
      <c r="I82" s="22">
        <f>VLOOKUP($C82,'WP RA3'!$C$10:$N$127,12,FALSE)</f>
        <v>0</v>
      </c>
      <c r="J82" s="23"/>
      <c r="K82" s="23"/>
      <c r="L82" s="22">
        <f t="shared" si="3"/>
        <v>0</v>
      </c>
      <c r="M82" s="22">
        <f t="shared" si="4"/>
        <v>0</v>
      </c>
    </row>
    <row r="83" spans="2:13" x14ac:dyDescent="0.25">
      <c r="B83" s="78">
        <f>MAX($B$8:B82)+1</f>
        <v>72</v>
      </c>
      <c r="C83" s="78" t="s">
        <v>133</v>
      </c>
      <c r="D83" s="23" t="s">
        <v>186</v>
      </c>
      <c r="E83" s="23" t="s">
        <v>391</v>
      </c>
      <c r="F83" s="138">
        <v>304.98</v>
      </c>
      <c r="G83" s="138">
        <v>0</v>
      </c>
      <c r="H83" s="23"/>
      <c r="I83" s="22">
        <f>VLOOKUP($C83,'WP RA3'!$C$10:$N$127,12,FALSE)</f>
        <v>0</v>
      </c>
      <c r="J83" s="23"/>
      <c r="K83" s="23"/>
      <c r="L83" s="22">
        <f t="shared" si="3"/>
        <v>0</v>
      </c>
      <c r="M83" s="22">
        <f t="shared" si="4"/>
        <v>304.98</v>
      </c>
    </row>
    <row r="84" spans="2:13" x14ac:dyDescent="0.25">
      <c r="B84" s="78">
        <f>MAX($B$8:B83)+1</f>
        <v>73</v>
      </c>
      <c r="C84" s="78" t="s">
        <v>134</v>
      </c>
      <c r="D84" s="23" t="s">
        <v>187</v>
      </c>
      <c r="E84" s="23" t="s">
        <v>394</v>
      </c>
      <c r="F84" s="138">
        <v>0</v>
      </c>
      <c r="G84" s="138">
        <v>0</v>
      </c>
      <c r="H84" s="23"/>
      <c r="I84" s="22">
        <f>VLOOKUP($C84,'WP RA3'!$C$10:$N$127,12,FALSE)</f>
        <v>0</v>
      </c>
      <c r="J84" s="23"/>
      <c r="K84" s="23"/>
      <c r="L84" s="22">
        <f t="shared" si="3"/>
        <v>0</v>
      </c>
      <c r="M84" s="22">
        <f t="shared" si="4"/>
        <v>0</v>
      </c>
    </row>
    <row r="85" spans="2:13" x14ac:dyDescent="0.25">
      <c r="B85" s="78">
        <f>MAX($B$8:B84)+1</f>
        <v>74</v>
      </c>
      <c r="C85" s="78" t="s">
        <v>135</v>
      </c>
      <c r="D85" s="23" t="s">
        <v>188</v>
      </c>
      <c r="E85" s="23" t="s">
        <v>394</v>
      </c>
      <c r="F85" s="138">
        <v>2384.06</v>
      </c>
      <c r="G85" s="138">
        <v>0</v>
      </c>
      <c r="H85" s="23"/>
      <c r="I85" s="22">
        <f>VLOOKUP($C85,'WP RA3'!$C$10:$N$127,12,FALSE)</f>
        <v>1553.44</v>
      </c>
      <c r="J85" s="23"/>
      <c r="K85" s="23"/>
      <c r="L85" s="22">
        <f t="shared" si="3"/>
        <v>1553.44</v>
      </c>
      <c r="M85" s="22">
        <f t="shared" si="4"/>
        <v>3937.5</v>
      </c>
    </row>
    <row r="86" spans="2:13" x14ac:dyDescent="0.25">
      <c r="B86" s="78">
        <f>MAX($B$8:B85)+1</f>
        <v>75</v>
      </c>
      <c r="C86" s="78" t="s">
        <v>136</v>
      </c>
      <c r="D86" s="23" t="s">
        <v>189</v>
      </c>
      <c r="E86" s="23" t="s">
        <v>394</v>
      </c>
      <c r="F86" s="138">
        <v>14764.76</v>
      </c>
      <c r="G86" s="138">
        <v>0</v>
      </c>
      <c r="H86" s="23"/>
      <c r="I86" s="22">
        <f>VLOOKUP($C86,'WP RA3'!$C$10:$N$127,12,FALSE)</f>
        <v>0</v>
      </c>
      <c r="J86" s="23"/>
      <c r="K86" s="23"/>
      <c r="L86" s="22">
        <f t="shared" si="3"/>
        <v>0</v>
      </c>
      <c r="M86" s="22">
        <f t="shared" si="4"/>
        <v>14764.76</v>
      </c>
    </row>
    <row r="87" spans="2:13" x14ac:dyDescent="0.25">
      <c r="B87" s="78">
        <f>MAX($B$8:B86)+1</f>
        <v>76</v>
      </c>
      <c r="C87" s="78" t="s">
        <v>137</v>
      </c>
      <c r="D87" s="23" t="s">
        <v>190</v>
      </c>
      <c r="E87" s="23" t="s">
        <v>399</v>
      </c>
      <c r="F87" s="138">
        <v>-1291.6400000000001</v>
      </c>
      <c r="G87" s="138">
        <v>0</v>
      </c>
      <c r="H87" s="23"/>
      <c r="I87" s="22">
        <f>VLOOKUP($C87,'WP RA3'!$C$10:$N$127,12,FALSE)</f>
        <v>0</v>
      </c>
      <c r="J87" s="23"/>
      <c r="K87" s="23"/>
      <c r="L87" s="22">
        <f t="shared" si="3"/>
        <v>0</v>
      </c>
      <c r="M87" s="22">
        <f t="shared" si="4"/>
        <v>-1291.6400000000001</v>
      </c>
    </row>
    <row r="88" spans="2:13" x14ac:dyDescent="0.25">
      <c r="B88" s="78">
        <f>MAX($B$8:B87)+1</f>
        <v>77</v>
      </c>
      <c r="C88" s="78" t="s">
        <v>138</v>
      </c>
      <c r="D88" s="23" t="s">
        <v>191</v>
      </c>
      <c r="E88" s="23" t="s">
        <v>391</v>
      </c>
      <c r="F88" s="138">
        <v>0</v>
      </c>
      <c r="G88" s="138">
        <v>0</v>
      </c>
      <c r="H88" s="23"/>
      <c r="I88" s="22">
        <f>VLOOKUP($C88,'WP RA3'!$C$10:$N$127,12,FALSE)</f>
        <v>0</v>
      </c>
      <c r="J88" s="23"/>
      <c r="K88" s="23"/>
      <c r="L88" s="22">
        <f t="shared" si="3"/>
        <v>0</v>
      </c>
      <c r="M88" s="22">
        <f t="shared" si="4"/>
        <v>0</v>
      </c>
    </row>
    <row r="89" spans="2:13" x14ac:dyDescent="0.25">
      <c r="B89" s="78">
        <f>MAX($B$8:B88)+1</f>
        <v>78</v>
      </c>
      <c r="C89" s="78" t="s">
        <v>139</v>
      </c>
      <c r="D89" s="23" t="s">
        <v>192</v>
      </c>
      <c r="E89" s="23" t="s">
        <v>402</v>
      </c>
      <c r="F89" s="138">
        <v>3799</v>
      </c>
      <c r="G89" s="138">
        <v>0</v>
      </c>
      <c r="H89" s="23"/>
      <c r="I89" s="22">
        <f>VLOOKUP($C89,'WP RA3'!$C$10:$N$127,12,FALSE)</f>
        <v>0</v>
      </c>
      <c r="J89" s="23"/>
      <c r="K89" s="23"/>
      <c r="L89" s="22">
        <f t="shared" si="3"/>
        <v>0</v>
      </c>
      <c r="M89" s="22">
        <f t="shared" si="4"/>
        <v>3799</v>
      </c>
    </row>
    <row r="90" spans="2:13" x14ac:dyDescent="0.25">
      <c r="B90" s="78">
        <f>MAX($B$8:B89)+1</f>
        <v>79</v>
      </c>
      <c r="C90" s="78" t="s">
        <v>140</v>
      </c>
      <c r="D90" s="23" t="s">
        <v>193</v>
      </c>
      <c r="E90" s="23"/>
      <c r="F90" s="138">
        <v>0</v>
      </c>
      <c r="G90" s="138">
        <v>0</v>
      </c>
      <c r="H90" s="23"/>
      <c r="I90" s="22">
        <f>VLOOKUP($C90,'WP RA3'!$C$10:$N$127,12,FALSE)</f>
        <v>0</v>
      </c>
      <c r="J90" s="23"/>
      <c r="K90" s="23"/>
      <c r="L90" s="22">
        <f t="shared" si="3"/>
        <v>0</v>
      </c>
      <c r="M90" s="22">
        <f t="shared" si="4"/>
        <v>0</v>
      </c>
    </row>
    <row r="91" spans="2:13" x14ac:dyDescent="0.25">
      <c r="B91" s="78">
        <f>MAX($B$8:B90)+1</f>
        <v>80</v>
      </c>
      <c r="C91" s="78" t="s">
        <v>141</v>
      </c>
      <c r="D91" s="23" t="s">
        <v>194</v>
      </c>
      <c r="E91" s="23" t="s">
        <v>391</v>
      </c>
      <c r="F91" s="138">
        <v>211233.85</v>
      </c>
      <c r="G91" s="138">
        <v>0</v>
      </c>
      <c r="H91" s="23"/>
      <c r="I91" s="22">
        <f>VLOOKUP($C91,'WP RA3'!$C$10:$N$127,12,FALSE)</f>
        <v>0</v>
      </c>
      <c r="J91" s="23"/>
      <c r="K91" s="23"/>
      <c r="L91" s="22">
        <f t="shared" si="3"/>
        <v>0</v>
      </c>
      <c r="M91" s="22">
        <f t="shared" si="4"/>
        <v>211233.85</v>
      </c>
    </row>
    <row r="92" spans="2:13" x14ac:dyDescent="0.25">
      <c r="B92" s="78">
        <f>MAX($B$8:B91)+1</f>
        <v>81</v>
      </c>
      <c r="C92" s="78" t="s">
        <v>142</v>
      </c>
      <c r="D92" s="23" t="s">
        <v>195</v>
      </c>
      <c r="E92" s="23" t="s">
        <v>403</v>
      </c>
      <c r="F92" s="138">
        <v>97464.63</v>
      </c>
      <c r="G92" s="138">
        <v>0</v>
      </c>
      <c r="H92" s="23"/>
      <c r="I92" s="22">
        <f>VLOOKUP($C92,'WP RA3'!$C$10:$N$127,12,FALSE)</f>
        <v>0</v>
      </c>
      <c r="J92" s="23"/>
      <c r="K92" s="23"/>
      <c r="L92" s="22">
        <f t="shared" si="3"/>
        <v>0</v>
      </c>
      <c r="M92" s="22">
        <f t="shared" si="4"/>
        <v>97464.63</v>
      </c>
    </row>
    <row r="93" spans="2:13" x14ac:dyDescent="0.25">
      <c r="B93" s="78">
        <f>MAX($B$8:B92)+1</f>
        <v>82</v>
      </c>
      <c r="C93" s="78" t="s">
        <v>143</v>
      </c>
      <c r="D93" s="23" t="s">
        <v>196</v>
      </c>
      <c r="E93" s="23" t="s">
        <v>403</v>
      </c>
      <c r="F93" s="138">
        <v>0</v>
      </c>
      <c r="G93" s="138">
        <v>0</v>
      </c>
      <c r="H93" s="23"/>
      <c r="I93" s="22">
        <f>VLOOKUP($C93,'WP RA3'!$C$10:$N$127,12,FALSE)</f>
        <v>0</v>
      </c>
      <c r="J93" s="23"/>
      <c r="K93" s="23"/>
      <c r="L93" s="22">
        <f t="shared" si="3"/>
        <v>0</v>
      </c>
      <c r="M93" s="22">
        <f t="shared" si="4"/>
        <v>0</v>
      </c>
    </row>
    <row r="94" spans="2:13" x14ac:dyDescent="0.25">
      <c r="B94" s="78">
        <f>MAX($B$8:B93)+1</f>
        <v>83</v>
      </c>
      <c r="C94" s="78" t="s">
        <v>144</v>
      </c>
      <c r="D94" s="23" t="s">
        <v>197</v>
      </c>
      <c r="E94" s="23" t="s">
        <v>403</v>
      </c>
      <c r="F94" s="138">
        <v>17.45</v>
      </c>
      <c r="G94" s="138">
        <v>0</v>
      </c>
      <c r="H94" s="23"/>
      <c r="I94" s="22">
        <f>VLOOKUP($C94,'WP RA3'!$C$10:$N$127,12,FALSE)</f>
        <v>0</v>
      </c>
      <c r="J94" s="23"/>
      <c r="K94" s="23"/>
      <c r="L94" s="22">
        <f t="shared" si="3"/>
        <v>0</v>
      </c>
      <c r="M94" s="22">
        <f t="shared" si="4"/>
        <v>17.45</v>
      </c>
    </row>
    <row r="95" spans="2:13" x14ac:dyDescent="0.25">
      <c r="B95" s="78">
        <f>MAX($B$8:B94)+1</f>
        <v>84</v>
      </c>
      <c r="C95" s="78" t="s">
        <v>145</v>
      </c>
      <c r="D95" s="23" t="s">
        <v>198</v>
      </c>
      <c r="E95" s="23" t="s">
        <v>399</v>
      </c>
      <c r="F95" s="138">
        <v>27435.97</v>
      </c>
      <c r="G95" s="138">
        <v>0</v>
      </c>
      <c r="H95" s="23"/>
      <c r="I95" s="22">
        <f>VLOOKUP($C95,'WP RA3'!$C$10:$N$127,12,FALSE)</f>
        <v>0</v>
      </c>
      <c r="J95" s="22">
        <f>'WP RA5'!E10</f>
        <v>-29929.191900000002</v>
      </c>
      <c r="K95" s="23"/>
      <c r="L95" s="22">
        <f t="shared" si="3"/>
        <v>-29929.191900000002</v>
      </c>
      <c r="M95" s="22">
        <f t="shared" si="4"/>
        <v>-2493.2219000000005</v>
      </c>
    </row>
    <row r="96" spans="2:13" x14ac:dyDescent="0.25">
      <c r="B96" s="78">
        <f>MAX($B$8:B95)+1</f>
        <v>85</v>
      </c>
      <c r="C96" s="78" t="s">
        <v>146</v>
      </c>
      <c r="D96" s="23" t="s">
        <v>199</v>
      </c>
      <c r="E96" s="23" t="s">
        <v>363</v>
      </c>
      <c r="F96" s="138">
        <v>1267.42</v>
      </c>
      <c r="G96" s="138">
        <v>0</v>
      </c>
      <c r="H96" s="23"/>
      <c r="I96" s="22">
        <f>VLOOKUP($C96,'WP RA3'!$C$10:$N$127,12,FALSE)</f>
        <v>0</v>
      </c>
      <c r="J96" s="23"/>
      <c r="K96" s="23"/>
      <c r="L96" s="22">
        <f t="shared" si="3"/>
        <v>0</v>
      </c>
      <c r="M96" s="22">
        <f t="shared" si="4"/>
        <v>1267.42</v>
      </c>
    </row>
    <row r="97" spans="2:13" x14ac:dyDescent="0.25">
      <c r="B97" s="78">
        <f>MAX($B$8:B96)+1</f>
        <v>86</v>
      </c>
      <c r="C97" s="78" t="s">
        <v>147</v>
      </c>
      <c r="D97" s="23" t="s">
        <v>200</v>
      </c>
      <c r="E97" s="23"/>
      <c r="F97" s="138">
        <v>0</v>
      </c>
      <c r="G97" s="138">
        <v>0</v>
      </c>
      <c r="H97" s="23"/>
      <c r="I97" s="22">
        <f>VLOOKUP($C97,'WP RA3'!$C$10:$N$127,12,FALSE)</f>
        <v>0</v>
      </c>
      <c r="J97" s="23"/>
      <c r="K97" s="23"/>
      <c r="L97" s="22">
        <f t="shared" si="3"/>
        <v>0</v>
      </c>
      <c r="M97" s="22">
        <f t="shared" si="4"/>
        <v>0</v>
      </c>
    </row>
    <row r="98" spans="2:13" x14ac:dyDescent="0.25">
      <c r="B98" s="78">
        <f>MAX($B$8:B97)+1</f>
        <v>87</v>
      </c>
      <c r="C98" s="78" t="s">
        <v>148</v>
      </c>
      <c r="D98" s="23" t="s">
        <v>201</v>
      </c>
      <c r="E98" s="23" t="s">
        <v>403</v>
      </c>
      <c r="F98" s="138">
        <v>0</v>
      </c>
      <c r="G98" s="138">
        <v>0</v>
      </c>
      <c r="H98" s="23"/>
      <c r="I98" s="22">
        <f>VLOOKUP($C98,'WP RA3'!$C$10:$N$127,12,FALSE)</f>
        <v>0</v>
      </c>
      <c r="J98" s="23"/>
      <c r="K98" s="23"/>
      <c r="L98" s="22">
        <f t="shared" ref="L98:L141" si="7">SUM(G98:K98)</f>
        <v>0</v>
      </c>
      <c r="M98" s="22">
        <f t="shared" ref="M98:M141" si="8">F98+L98</f>
        <v>0</v>
      </c>
    </row>
    <row r="99" spans="2:13" x14ac:dyDescent="0.25">
      <c r="B99" s="78">
        <f>MAX($B$8:B98)+1</f>
        <v>88</v>
      </c>
      <c r="C99" s="78" t="s">
        <v>149</v>
      </c>
      <c r="D99" s="23" t="s">
        <v>202</v>
      </c>
      <c r="E99" s="23" t="s">
        <v>389</v>
      </c>
      <c r="F99" s="138">
        <v>104119.87</v>
      </c>
      <c r="G99" s="138">
        <v>0</v>
      </c>
      <c r="H99" s="23"/>
      <c r="I99" s="22">
        <f>VLOOKUP($C99,'WP RA3'!$C$10:$N$127,12,FALSE)</f>
        <v>0</v>
      </c>
      <c r="J99" s="23"/>
      <c r="K99" s="23"/>
      <c r="L99" s="22">
        <f t="shared" si="7"/>
        <v>0</v>
      </c>
      <c r="M99" s="22">
        <f t="shared" si="8"/>
        <v>104119.87</v>
      </c>
    </row>
    <row r="100" spans="2:13" x14ac:dyDescent="0.25">
      <c r="B100" s="78">
        <f>MAX($B$8:B99)+1</f>
        <v>89</v>
      </c>
      <c r="C100" s="78" t="s">
        <v>150</v>
      </c>
      <c r="D100" s="23" t="s">
        <v>203</v>
      </c>
      <c r="E100" s="23" t="s">
        <v>403</v>
      </c>
      <c r="F100" s="138">
        <v>0</v>
      </c>
      <c r="G100" s="138">
        <v>0</v>
      </c>
      <c r="H100" s="23"/>
      <c r="I100" s="22">
        <f>VLOOKUP($C100,'WP RA3'!$C$10:$N$127,12,FALSE)</f>
        <v>0</v>
      </c>
      <c r="J100" s="23"/>
      <c r="K100" s="23"/>
      <c r="L100" s="22">
        <f t="shared" si="7"/>
        <v>0</v>
      </c>
      <c r="M100" s="22">
        <f t="shared" si="8"/>
        <v>0</v>
      </c>
    </row>
    <row r="101" spans="2:13" x14ac:dyDescent="0.25">
      <c r="B101" s="78">
        <f>MAX($B$8:B100)+1</f>
        <v>90</v>
      </c>
      <c r="C101" s="78" t="s">
        <v>151</v>
      </c>
      <c r="D101" s="23" t="s">
        <v>190</v>
      </c>
      <c r="E101" s="23" t="s">
        <v>363</v>
      </c>
      <c r="F101" s="138">
        <v>0</v>
      </c>
      <c r="G101" s="138">
        <v>0</v>
      </c>
      <c r="H101" s="23"/>
      <c r="I101" s="22">
        <f>VLOOKUP($C101,'WP RA3'!$C$10:$N$127,12,FALSE)</f>
        <v>0</v>
      </c>
      <c r="J101" s="23"/>
      <c r="K101" s="23"/>
      <c r="L101" s="22">
        <f t="shared" si="7"/>
        <v>0</v>
      </c>
      <c r="M101" s="22">
        <f t="shared" si="8"/>
        <v>0</v>
      </c>
    </row>
    <row r="102" spans="2:13" x14ac:dyDescent="0.25">
      <c r="B102" s="78">
        <f>MAX($B$8:B101)+1</f>
        <v>91</v>
      </c>
      <c r="C102" s="78" t="s">
        <v>152</v>
      </c>
      <c r="D102" s="23" t="s">
        <v>193</v>
      </c>
      <c r="E102" s="23"/>
      <c r="F102" s="138">
        <v>0</v>
      </c>
      <c r="G102" s="138">
        <v>0</v>
      </c>
      <c r="H102" s="23"/>
      <c r="I102" s="22">
        <f>VLOOKUP($C102,'WP RA3'!$C$10:$N$127,12,FALSE)</f>
        <v>0</v>
      </c>
      <c r="J102" s="23"/>
      <c r="K102" s="23"/>
      <c r="L102" s="22">
        <f t="shared" si="7"/>
        <v>0</v>
      </c>
      <c r="M102" s="22">
        <f t="shared" si="8"/>
        <v>0</v>
      </c>
    </row>
    <row r="103" spans="2:13" x14ac:dyDescent="0.25">
      <c r="B103" s="78">
        <f>MAX($B$8:B102)+1</f>
        <v>92</v>
      </c>
      <c r="C103" s="78" t="s">
        <v>153</v>
      </c>
      <c r="D103" s="23" t="s">
        <v>204</v>
      </c>
      <c r="E103" s="23" t="s">
        <v>391</v>
      </c>
      <c r="F103" s="138">
        <v>118015.66</v>
      </c>
      <c r="G103" s="138">
        <v>0</v>
      </c>
      <c r="H103" s="23"/>
      <c r="I103" s="22">
        <f>VLOOKUP($C103,'WP RA3'!$C$10:$N$127,12,FALSE)</f>
        <v>0</v>
      </c>
      <c r="J103" s="23"/>
      <c r="K103" s="23"/>
      <c r="L103" s="22">
        <f t="shared" si="7"/>
        <v>0</v>
      </c>
      <c r="M103" s="22">
        <f t="shared" si="8"/>
        <v>118015.66</v>
      </c>
    </row>
    <row r="104" spans="2:13" x14ac:dyDescent="0.25">
      <c r="B104" s="78">
        <f>MAX($B$8:B103)+1</f>
        <v>93</v>
      </c>
      <c r="C104" s="78" t="s">
        <v>154</v>
      </c>
      <c r="D104" s="23" t="s">
        <v>205</v>
      </c>
      <c r="E104" s="23"/>
      <c r="F104" s="138">
        <v>0</v>
      </c>
      <c r="G104" s="138">
        <v>0</v>
      </c>
      <c r="H104" s="23"/>
      <c r="I104" s="22">
        <f>VLOOKUP($C104,'WP RA3'!$C$10:$N$127,12,FALSE)</f>
        <v>0</v>
      </c>
      <c r="J104" s="23"/>
      <c r="K104" s="23"/>
      <c r="L104" s="22">
        <f t="shared" si="7"/>
        <v>0</v>
      </c>
      <c r="M104" s="22">
        <f t="shared" si="8"/>
        <v>0</v>
      </c>
    </row>
    <row r="105" spans="2:13" x14ac:dyDescent="0.25">
      <c r="B105" s="78">
        <f>MAX($B$8:B104)+1</f>
        <v>94</v>
      </c>
      <c r="C105" s="78" t="s">
        <v>155</v>
      </c>
      <c r="D105" s="23" t="s">
        <v>206</v>
      </c>
      <c r="E105" s="23" t="s">
        <v>394</v>
      </c>
      <c r="F105" s="138">
        <v>2343.0500000000002</v>
      </c>
      <c r="G105" s="138">
        <v>0</v>
      </c>
      <c r="H105" s="23"/>
      <c r="I105" s="22">
        <f>VLOOKUP($C105,'WP RA3'!$C$10:$N$127,12,FALSE)</f>
        <v>0</v>
      </c>
      <c r="J105" s="23"/>
      <c r="K105" s="23"/>
      <c r="L105" s="22">
        <f t="shared" si="7"/>
        <v>0</v>
      </c>
      <c r="M105" s="22">
        <f t="shared" si="8"/>
        <v>2343.0500000000002</v>
      </c>
    </row>
    <row r="106" spans="2:13" x14ac:dyDescent="0.25">
      <c r="B106" s="78">
        <f>MAX($B$8:B105)+1</f>
        <v>95</v>
      </c>
      <c r="C106" s="78" t="s">
        <v>156</v>
      </c>
      <c r="D106" s="23" t="s">
        <v>206</v>
      </c>
      <c r="E106" s="23" t="s">
        <v>404</v>
      </c>
      <c r="F106" s="138">
        <v>73263.03</v>
      </c>
      <c r="G106" s="138">
        <v>0</v>
      </c>
      <c r="H106" s="23"/>
      <c r="I106" s="22">
        <f>VLOOKUP($C106,'WP RA3'!$C$10:$N$127,12,FALSE)</f>
        <v>0</v>
      </c>
      <c r="J106" s="23"/>
      <c r="K106" s="23"/>
      <c r="L106" s="22">
        <f t="shared" si="7"/>
        <v>0</v>
      </c>
      <c r="M106" s="22">
        <f t="shared" si="8"/>
        <v>73263.03</v>
      </c>
    </row>
    <row r="107" spans="2:13" x14ac:dyDescent="0.25">
      <c r="B107" s="78">
        <f>MAX($B$8:B106)+1</f>
        <v>96</v>
      </c>
      <c r="C107" s="78" t="s">
        <v>157</v>
      </c>
      <c r="D107" s="23" t="s">
        <v>207</v>
      </c>
      <c r="E107" s="23" t="s">
        <v>391</v>
      </c>
      <c r="F107" s="138">
        <v>41908.050000000003</v>
      </c>
      <c r="G107" s="138">
        <v>0</v>
      </c>
      <c r="H107" s="23"/>
      <c r="I107" s="22">
        <f>VLOOKUP($C107,'WP RA3'!$C$10:$N$127,12,FALSE)</f>
        <v>0</v>
      </c>
      <c r="J107" s="23"/>
      <c r="K107" s="23"/>
      <c r="L107" s="22">
        <f t="shared" si="7"/>
        <v>0</v>
      </c>
      <c r="M107" s="22">
        <f t="shared" si="8"/>
        <v>41908.050000000003</v>
      </c>
    </row>
    <row r="108" spans="2:13" x14ac:dyDescent="0.25">
      <c r="B108" s="78">
        <f>MAX($B$8:B107)+1</f>
        <v>97</v>
      </c>
      <c r="C108" s="78" t="s">
        <v>158</v>
      </c>
      <c r="D108" s="23" t="s">
        <v>190</v>
      </c>
      <c r="E108" s="23" t="s">
        <v>394</v>
      </c>
      <c r="F108" s="138">
        <v>68256.100000000006</v>
      </c>
      <c r="G108" s="138">
        <v>0</v>
      </c>
      <c r="H108" s="23"/>
      <c r="I108" s="22">
        <f>VLOOKUP($C108,'WP RA3'!$C$10:$N$127,12,FALSE)</f>
        <v>0</v>
      </c>
      <c r="J108" s="23"/>
      <c r="K108" s="23"/>
      <c r="L108" s="22">
        <f t="shared" si="7"/>
        <v>0</v>
      </c>
      <c r="M108" s="22">
        <f t="shared" si="8"/>
        <v>68256.100000000006</v>
      </c>
    </row>
    <row r="109" spans="2:13" x14ac:dyDescent="0.25">
      <c r="B109" s="78">
        <f>MAX($B$8:B108)+1</f>
        <v>98</v>
      </c>
      <c r="C109" s="78" t="s">
        <v>159</v>
      </c>
      <c r="D109" s="23" t="s">
        <v>208</v>
      </c>
      <c r="E109" s="23" t="s">
        <v>402</v>
      </c>
      <c r="F109" s="138">
        <v>0</v>
      </c>
      <c r="G109" s="138">
        <v>0</v>
      </c>
      <c r="H109" s="23"/>
      <c r="I109" s="22">
        <f>VLOOKUP($C109,'WP RA3'!$C$10:$N$127,12,FALSE)</f>
        <v>0</v>
      </c>
      <c r="J109" s="23"/>
      <c r="K109" s="23"/>
      <c r="L109" s="22">
        <f t="shared" si="7"/>
        <v>0</v>
      </c>
      <c r="M109" s="22">
        <f t="shared" si="8"/>
        <v>0</v>
      </c>
    </row>
    <row r="110" spans="2:13" x14ac:dyDescent="0.25">
      <c r="B110" s="78">
        <f>MAX($B$8:B109)+1</f>
        <v>99</v>
      </c>
      <c r="C110" s="78" t="s">
        <v>160</v>
      </c>
      <c r="D110" s="23" t="s">
        <v>209</v>
      </c>
      <c r="E110" s="23" t="s">
        <v>404</v>
      </c>
      <c r="F110" s="138">
        <v>0</v>
      </c>
      <c r="G110" s="138">
        <v>0</v>
      </c>
      <c r="H110" s="23"/>
      <c r="I110" s="22">
        <f>VLOOKUP($C110,'WP RA3'!$C$10:$N$127,12,FALSE)</f>
        <v>0</v>
      </c>
      <c r="J110" s="23"/>
      <c r="K110" s="23"/>
      <c r="L110" s="22">
        <f t="shared" si="7"/>
        <v>0</v>
      </c>
      <c r="M110" s="22">
        <f t="shared" si="8"/>
        <v>0</v>
      </c>
    </row>
    <row r="111" spans="2:13" x14ac:dyDescent="0.25">
      <c r="B111" s="78">
        <f>MAX($B$8:B110)+1</f>
        <v>100</v>
      </c>
      <c r="C111" s="78" t="s">
        <v>161</v>
      </c>
      <c r="D111" s="23" t="s">
        <v>210</v>
      </c>
      <c r="E111" s="23" t="s">
        <v>391</v>
      </c>
      <c r="F111" s="138">
        <v>220081.7</v>
      </c>
      <c r="G111" s="138">
        <v>0</v>
      </c>
      <c r="H111" s="23"/>
      <c r="I111" s="22">
        <f>VLOOKUP($C111,'WP RA3'!$C$10:$N$127,12,FALSE)</f>
        <v>0</v>
      </c>
      <c r="J111" s="23"/>
      <c r="K111" s="23"/>
      <c r="L111" s="22">
        <f t="shared" si="7"/>
        <v>0</v>
      </c>
      <c r="M111" s="22">
        <f t="shared" si="8"/>
        <v>220081.7</v>
      </c>
    </row>
    <row r="112" spans="2:13" x14ac:dyDescent="0.25">
      <c r="B112" s="78">
        <f>MAX($B$8:B111)+1</f>
        <v>101</v>
      </c>
      <c r="C112" s="78" t="s">
        <v>162</v>
      </c>
      <c r="D112" s="23" t="s">
        <v>211</v>
      </c>
      <c r="E112" s="23" t="s">
        <v>363</v>
      </c>
      <c r="F112" s="138">
        <v>3555.62</v>
      </c>
      <c r="G112" s="138">
        <v>0</v>
      </c>
      <c r="H112" s="23"/>
      <c r="I112" s="22">
        <f>VLOOKUP($C112,'WP RA3'!$C$10:$N$127,12,FALSE)</f>
        <v>0</v>
      </c>
      <c r="J112" s="23"/>
      <c r="K112" s="23"/>
      <c r="L112" s="22">
        <f t="shared" si="7"/>
        <v>0</v>
      </c>
      <c r="M112" s="22">
        <f t="shared" si="8"/>
        <v>3555.62</v>
      </c>
    </row>
    <row r="113" spans="2:13" x14ac:dyDescent="0.25">
      <c r="B113" s="78">
        <f>MAX($B$8:B112)+1</f>
        <v>102</v>
      </c>
      <c r="C113" s="78" t="s">
        <v>163</v>
      </c>
      <c r="D113" s="23" t="s">
        <v>212</v>
      </c>
      <c r="E113" s="23" t="s">
        <v>390</v>
      </c>
      <c r="F113" s="138">
        <v>0</v>
      </c>
      <c r="G113" s="138">
        <v>0</v>
      </c>
      <c r="H113" s="23"/>
      <c r="I113" s="22">
        <f>VLOOKUP($C113,'WP RA3'!$C$10:$N$127,12,FALSE)</f>
        <v>0</v>
      </c>
      <c r="J113" s="23"/>
      <c r="K113" s="23"/>
      <c r="L113" s="22">
        <f t="shared" si="7"/>
        <v>0</v>
      </c>
      <c r="M113" s="22">
        <f t="shared" si="8"/>
        <v>0</v>
      </c>
    </row>
    <row r="114" spans="2:13" x14ac:dyDescent="0.25">
      <c r="B114" s="78">
        <f>MAX($B$8:B113)+1</f>
        <v>103</v>
      </c>
      <c r="C114" s="78" t="s">
        <v>164</v>
      </c>
      <c r="D114" s="23" t="s">
        <v>213</v>
      </c>
      <c r="E114" s="23" t="s">
        <v>390</v>
      </c>
      <c r="F114" s="138">
        <v>19097.66</v>
      </c>
      <c r="G114" s="138">
        <v>0</v>
      </c>
      <c r="H114" s="23"/>
      <c r="I114" s="22">
        <f>VLOOKUP($C114,'WP RA3'!$C$10:$N$127,12,FALSE)</f>
        <v>29902.34</v>
      </c>
      <c r="J114" s="23"/>
      <c r="K114" s="23"/>
      <c r="L114" s="22">
        <f t="shared" si="7"/>
        <v>29902.34</v>
      </c>
      <c r="M114" s="22">
        <f t="shared" si="8"/>
        <v>49000</v>
      </c>
    </row>
    <row r="115" spans="2:13" x14ac:dyDescent="0.25">
      <c r="B115" s="78">
        <f>MAX($B$8:B114)+1</f>
        <v>104</v>
      </c>
      <c r="C115" s="78" t="s">
        <v>165</v>
      </c>
      <c r="D115" s="23" t="s">
        <v>214</v>
      </c>
      <c r="E115" s="23" t="s">
        <v>394</v>
      </c>
      <c r="F115" s="138">
        <v>11174.97</v>
      </c>
      <c r="G115" s="138">
        <v>0</v>
      </c>
      <c r="H115" s="23"/>
      <c r="I115" s="22">
        <f>VLOOKUP($C115,'WP RA3'!$C$10:$N$127,12,FALSE)</f>
        <v>0</v>
      </c>
      <c r="J115" s="23"/>
      <c r="K115" s="23"/>
      <c r="L115" s="22">
        <f t="shared" si="7"/>
        <v>0</v>
      </c>
      <c r="M115" s="22">
        <f t="shared" si="8"/>
        <v>11174.97</v>
      </c>
    </row>
    <row r="116" spans="2:13" x14ac:dyDescent="0.25">
      <c r="B116" s="78">
        <f>MAX($B$8:B115)+1</f>
        <v>105</v>
      </c>
      <c r="C116" s="78" t="s">
        <v>166</v>
      </c>
      <c r="D116" s="23" t="s">
        <v>215</v>
      </c>
      <c r="E116" s="23" t="s">
        <v>402</v>
      </c>
      <c r="F116" s="138">
        <v>0</v>
      </c>
      <c r="G116" s="138">
        <v>0</v>
      </c>
      <c r="H116" s="23"/>
      <c r="I116" s="22">
        <f>VLOOKUP($C116,'WP RA3'!$C$10:$N$127,12,FALSE)</f>
        <v>0</v>
      </c>
      <c r="J116" s="23"/>
      <c r="K116" s="23"/>
      <c r="L116" s="22">
        <f t="shared" si="7"/>
        <v>0</v>
      </c>
      <c r="M116" s="22">
        <f t="shared" si="8"/>
        <v>0</v>
      </c>
    </row>
    <row r="117" spans="2:13" x14ac:dyDescent="0.25">
      <c r="B117" s="78">
        <f>MAX($B$8:B116)+1</f>
        <v>106</v>
      </c>
      <c r="C117" s="78" t="s">
        <v>167</v>
      </c>
      <c r="D117" s="23" t="s">
        <v>216</v>
      </c>
      <c r="E117" s="23" t="s">
        <v>390</v>
      </c>
      <c r="F117" s="138">
        <v>0</v>
      </c>
      <c r="G117" s="138">
        <v>0</v>
      </c>
      <c r="H117" s="23"/>
      <c r="I117" s="22">
        <f>VLOOKUP($C117,'WP RA3'!$C$10:$N$127,12,FALSE)</f>
        <v>0</v>
      </c>
      <c r="J117" s="23"/>
      <c r="K117" s="23"/>
      <c r="L117" s="22">
        <f t="shared" si="7"/>
        <v>0</v>
      </c>
      <c r="M117" s="22">
        <f t="shared" si="8"/>
        <v>0</v>
      </c>
    </row>
    <row r="118" spans="2:13" x14ac:dyDescent="0.25">
      <c r="B118" s="78">
        <f>MAX($B$8:B117)+1</f>
        <v>107</v>
      </c>
      <c r="C118" s="78" t="s">
        <v>168</v>
      </c>
      <c r="D118" s="23" t="s">
        <v>217</v>
      </c>
      <c r="E118" s="23" t="s">
        <v>390</v>
      </c>
      <c r="F118" s="138">
        <v>6239.96</v>
      </c>
      <c r="G118" s="138">
        <v>0</v>
      </c>
      <c r="H118" s="23"/>
      <c r="I118" s="22">
        <f>VLOOKUP($C118,'WP RA3'!$C$10:$N$127,12,FALSE)</f>
        <v>5193.2799999999979</v>
      </c>
      <c r="J118" s="23"/>
      <c r="K118" s="23"/>
      <c r="L118" s="22">
        <f t="shared" si="7"/>
        <v>5193.2799999999979</v>
      </c>
      <c r="M118" s="22">
        <f t="shared" si="8"/>
        <v>11433.239999999998</v>
      </c>
    </row>
    <row r="119" spans="2:13" x14ac:dyDescent="0.25">
      <c r="B119" s="78">
        <f>MAX($B$8:B118)+1</f>
        <v>108</v>
      </c>
      <c r="C119" s="78" t="s">
        <v>169</v>
      </c>
      <c r="D119" s="23" t="s">
        <v>87</v>
      </c>
      <c r="E119" s="23" t="s">
        <v>390</v>
      </c>
      <c r="F119" s="138">
        <v>0</v>
      </c>
      <c r="G119" s="138">
        <v>0</v>
      </c>
      <c r="H119" s="23"/>
      <c r="I119" s="22">
        <f>VLOOKUP($C119,'WP RA3'!$C$10:$N$127,12,FALSE)</f>
        <v>0</v>
      </c>
      <c r="J119" s="23"/>
      <c r="K119" s="23"/>
      <c r="L119" s="22">
        <f t="shared" si="7"/>
        <v>0</v>
      </c>
      <c r="M119" s="22">
        <f t="shared" si="8"/>
        <v>0</v>
      </c>
    </row>
    <row r="120" spans="2:13" x14ac:dyDescent="0.25">
      <c r="B120" s="78">
        <f>MAX($B$8:B119)+1</f>
        <v>109</v>
      </c>
      <c r="C120" s="78" t="s">
        <v>170</v>
      </c>
      <c r="D120" s="23" t="s">
        <v>88</v>
      </c>
      <c r="E120" s="23" t="s">
        <v>390</v>
      </c>
      <c r="F120" s="138">
        <v>56513.8</v>
      </c>
      <c r="G120" s="138">
        <v>0</v>
      </c>
      <c r="H120" s="23"/>
      <c r="I120" s="22">
        <f>VLOOKUP($C120,'WP RA3'!$C$10:$N$127,12,FALSE)</f>
        <v>0</v>
      </c>
      <c r="J120" s="23"/>
      <c r="K120" s="23"/>
      <c r="L120" s="22">
        <f t="shared" si="7"/>
        <v>0</v>
      </c>
      <c r="M120" s="22">
        <f t="shared" si="8"/>
        <v>56513.8</v>
      </c>
    </row>
    <row r="121" spans="2:13" x14ac:dyDescent="0.25">
      <c r="B121" s="78">
        <f>MAX($B$8:B120)+1</f>
        <v>110</v>
      </c>
      <c r="C121" s="78" t="s">
        <v>171</v>
      </c>
      <c r="D121" s="23" t="s">
        <v>218</v>
      </c>
      <c r="E121" s="23" t="s">
        <v>390</v>
      </c>
      <c r="F121" s="138">
        <v>0</v>
      </c>
      <c r="G121" s="138">
        <v>0</v>
      </c>
      <c r="H121" s="23"/>
      <c r="I121" s="22">
        <f>VLOOKUP($C121,'WP RA3'!$C$10:$N$127,12,FALSE)</f>
        <v>0</v>
      </c>
      <c r="J121" s="23"/>
      <c r="K121" s="23"/>
      <c r="L121" s="22">
        <f t="shared" si="7"/>
        <v>0</v>
      </c>
      <c r="M121" s="22">
        <f t="shared" si="8"/>
        <v>0</v>
      </c>
    </row>
    <row r="122" spans="2:13" x14ac:dyDescent="0.25">
      <c r="B122" s="78">
        <f>MAX($B$8:B121)+1</f>
        <v>111</v>
      </c>
      <c r="C122" s="78" t="s">
        <v>172</v>
      </c>
      <c r="D122" s="23" t="s">
        <v>219</v>
      </c>
      <c r="E122" s="23" t="s">
        <v>390</v>
      </c>
      <c r="F122" s="138">
        <v>0</v>
      </c>
      <c r="G122" s="138">
        <v>0</v>
      </c>
      <c r="H122" s="23"/>
      <c r="I122" s="22">
        <f>VLOOKUP($C122,'WP RA3'!$C$10:$N$127,12,FALSE)</f>
        <v>0</v>
      </c>
      <c r="J122" s="23"/>
      <c r="K122" s="23"/>
      <c r="L122" s="22">
        <f t="shared" si="7"/>
        <v>0</v>
      </c>
      <c r="M122" s="22">
        <f t="shared" si="8"/>
        <v>0</v>
      </c>
    </row>
    <row r="123" spans="2:13" x14ac:dyDescent="0.25">
      <c r="B123" s="78">
        <f>MAX($B$8:B122)+1</f>
        <v>112</v>
      </c>
      <c r="C123" s="78" t="s">
        <v>173</v>
      </c>
      <c r="D123" s="23" t="s">
        <v>220</v>
      </c>
      <c r="E123" s="23" t="s">
        <v>399</v>
      </c>
      <c r="F123" s="138">
        <v>1045.69</v>
      </c>
      <c r="G123" s="138">
        <v>0</v>
      </c>
      <c r="H123" s="23"/>
      <c r="I123" s="22">
        <f>VLOOKUP($C123,'WP RA3'!$C$10:$N$127,12,FALSE)</f>
        <v>0</v>
      </c>
      <c r="J123" s="23"/>
      <c r="K123" s="23"/>
      <c r="L123" s="22">
        <f t="shared" si="7"/>
        <v>0</v>
      </c>
      <c r="M123" s="22">
        <f t="shared" si="8"/>
        <v>1045.69</v>
      </c>
    </row>
    <row r="124" spans="2:13" x14ac:dyDescent="0.25">
      <c r="B124" s="78">
        <f>MAX($B$8:B123)+1</f>
        <v>113</v>
      </c>
      <c r="C124" s="78" t="s">
        <v>174</v>
      </c>
      <c r="D124" s="23" t="s">
        <v>221</v>
      </c>
      <c r="E124" s="23" t="s">
        <v>363</v>
      </c>
      <c r="F124" s="138">
        <v>0</v>
      </c>
      <c r="G124" s="138">
        <v>0</v>
      </c>
      <c r="H124" s="23"/>
      <c r="I124" s="22">
        <f>VLOOKUP($C124,'WP RA3'!$C$10:$N$127,12,FALSE)</f>
        <v>0</v>
      </c>
      <c r="J124" s="23"/>
      <c r="K124" s="23"/>
      <c r="L124" s="22">
        <f t="shared" si="7"/>
        <v>0</v>
      </c>
      <c r="M124" s="22">
        <f t="shared" si="8"/>
        <v>0</v>
      </c>
    </row>
    <row r="125" spans="2:13" x14ac:dyDescent="0.25">
      <c r="B125" s="78">
        <f>MAX($B$8:B124)+1</f>
        <v>114</v>
      </c>
      <c r="C125" s="78" t="s">
        <v>175</v>
      </c>
      <c r="D125" s="23" t="s">
        <v>222</v>
      </c>
      <c r="E125" s="23" t="s">
        <v>405</v>
      </c>
      <c r="F125" s="138">
        <v>16159.47</v>
      </c>
      <c r="G125" s="138">
        <v>0</v>
      </c>
      <c r="H125" s="147">
        <f>[5]PFIS!$E$36</f>
        <v>7843.8977000000068</v>
      </c>
      <c r="I125" s="22">
        <f>VLOOKUP($C125,'WP RA3'!$C$10:$N$127,12,FALSE)</f>
        <v>0</v>
      </c>
      <c r="J125" s="23"/>
      <c r="K125" s="23"/>
      <c r="L125" s="22">
        <f t="shared" si="7"/>
        <v>7843.8977000000068</v>
      </c>
      <c r="M125" s="22">
        <f t="shared" si="8"/>
        <v>24003.367700000006</v>
      </c>
    </row>
    <row r="126" spans="2:13" x14ac:dyDescent="0.25">
      <c r="B126" s="78">
        <f>MAX($B$8:B125)+1</f>
        <v>115</v>
      </c>
      <c r="C126" s="78">
        <v>776000</v>
      </c>
      <c r="D126" s="23" t="s">
        <v>988</v>
      </c>
      <c r="E126" s="23" t="s">
        <v>363</v>
      </c>
      <c r="F126" s="138">
        <v>80768.789999999994</v>
      </c>
      <c r="G126" s="138"/>
      <c r="H126" s="23"/>
      <c r="I126" s="22"/>
      <c r="J126" s="23"/>
      <c r="K126" s="23"/>
      <c r="L126" s="22"/>
      <c r="M126" s="22"/>
    </row>
    <row r="127" spans="2:13" x14ac:dyDescent="0.25">
      <c r="B127" s="78">
        <f>MAX($B$8:B126)+1</f>
        <v>116</v>
      </c>
      <c r="C127" s="78" t="s">
        <v>176</v>
      </c>
      <c r="D127" s="23" t="s">
        <v>223</v>
      </c>
      <c r="E127" s="23" t="s">
        <v>402</v>
      </c>
      <c r="F127" s="138">
        <v>0</v>
      </c>
      <c r="G127" s="138">
        <v>0</v>
      </c>
      <c r="H127" s="23"/>
      <c r="I127" s="22">
        <f>VLOOKUP($C127,'WP RA3'!$C$10:$N$127,12,FALSE)</f>
        <v>0</v>
      </c>
      <c r="J127" s="23"/>
      <c r="K127" s="23"/>
      <c r="L127" s="22">
        <f t="shared" si="7"/>
        <v>0</v>
      </c>
      <c r="M127" s="22">
        <f t="shared" si="8"/>
        <v>0</v>
      </c>
    </row>
    <row r="128" spans="2:13" x14ac:dyDescent="0.25">
      <c r="B128" s="78">
        <f>MAX($B$8:B127)+1</f>
        <v>117</v>
      </c>
      <c r="C128" s="78" t="s">
        <v>177</v>
      </c>
      <c r="D128" s="23" t="s">
        <v>224</v>
      </c>
      <c r="E128" s="23" t="s">
        <v>402</v>
      </c>
      <c r="F128" s="138">
        <v>162036.63</v>
      </c>
      <c r="G128" s="138">
        <v>0</v>
      </c>
      <c r="H128" s="23"/>
      <c r="I128" s="22">
        <f>VLOOKUP($C128,'WP RA3'!$C$10:$N$127,12,FALSE)</f>
        <v>0</v>
      </c>
      <c r="J128" s="23"/>
      <c r="K128" s="23"/>
      <c r="L128" s="22">
        <f t="shared" si="7"/>
        <v>0</v>
      </c>
      <c r="M128" s="22">
        <f t="shared" si="8"/>
        <v>162036.63</v>
      </c>
    </row>
    <row r="129" spans="2:13" x14ac:dyDescent="0.25">
      <c r="B129" s="78">
        <f>MAX($B$8:B128)+1</f>
        <v>118</v>
      </c>
      <c r="C129" s="78" t="s">
        <v>178</v>
      </c>
      <c r="D129" s="23" t="s">
        <v>225</v>
      </c>
      <c r="E129" s="23" t="s">
        <v>390</v>
      </c>
      <c r="F129" s="138">
        <v>-11489.59</v>
      </c>
      <c r="G129" s="138">
        <v>0</v>
      </c>
      <c r="H129" s="23"/>
      <c r="I129" s="22">
        <f>VLOOKUP($C129,'WP RA3'!$C$10:$N$127,12,FALSE)</f>
        <v>-410.40999999999985</v>
      </c>
      <c r="J129" s="23"/>
      <c r="K129" s="23"/>
      <c r="L129" s="22">
        <f t="shared" si="7"/>
        <v>-410.40999999999985</v>
      </c>
      <c r="M129" s="22">
        <f t="shared" si="8"/>
        <v>-11900</v>
      </c>
    </row>
    <row r="130" spans="2:13" x14ac:dyDescent="0.25">
      <c r="B130" s="78">
        <f>MAX($B$8:B129)+1</f>
        <v>119</v>
      </c>
      <c r="C130" s="78" t="s">
        <v>226</v>
      </c>
      <c r="D130" s="23" t="s">
        <v>238</v>
      </c>
      <c r="E130" s="23" t="s">
        <v>391</v>
      </c>
      <c r="F130" s="138">
        <v>1090.9000000000001</v>
      </c>
      <c r="G130" s="138">
        <v>0</v>
      </c>
      <c r="H130" s="23"/>
      <c r="I130" s="22">
        <f>VLOOKUP($C130,'WP RA3'!$C$10:$N$127,12,FALSE)</f>
        <v>0</v>
      </c>
      <c r="J130" s="23"/>
      <c r="K130" s="23"/>
      <c r="L130" s="22">
        <f t="shared" si="7"/>
        <v>0</v>
      </c>
      <c r="M130" s="22">
        <f t="shared" si="8"/>
        <v>1090.9000000000001</v>
      </c>
    </row>
    <row r="131" spans="2:13" x14ac:dyDescent="0.25">
      <c r="B131" s="78">
        <f>MAX($B$8:B130)+1</f>
        <v>120</v>
      </c>
      <c r="C131" s="78" t="s">
        <v>227</v>
      </c>
      <c r="D131" s="23" t="s">
        <v>239</v>
      </c>
      <c r="E131" s="23" t="s">
        <v>394</v>
      </c>
      <c r="F131" s="138">
        <v>0</v>
      </c>
      <c r="G131" s="138">
        <v>0</v>
      </c>
      <c r="H131" s="23"/>
      <c r="I131" s="22">
        <f>VLOOKUP($C131,'WP RA3'!$C$10:$N$127,12,FALSE)</f>
        <v>0</v>
      </c>
      <c r="J131" s="23"/>
      <c r="K131" s="23"/>
      <c r="L131" s="22">
        <f t="shared" si="7"/>
        <v>0</v>
      </c>
      <c r="M131" s="22">
        <f t="shared" si="8"/>
        <v>0</v>
      </c>
    </row>
    <row r="132" spans="2:13" x14ac:dyDescent="0.25">
      <c r="B132" s="78">
        <f>MAX($B$8:B131)+1</f>
        <v>121</v>
      </c>
      <c r="C132" s="78" t="s">
        <v>228</v>
      </c>
      <c r="D132" s="23" t="s">
        <v>240</v>
      </c>
      <c r="E132" s="23" t="s">
        <v>394</v>
      </c>
      <c r="F132" s="138">
        <v>0</v>
      </c>
      <c r="G132" s="138">
        <v>0</v>
      </c>
      <c r="H132" s="23"/>
      <c r="I132" s="22">
        <f>VLOOKUP($C132,'WP RA3'!$C$10:$N$127,12,FALSE)</f>
        <v>0</v>
      </c>
      <c r="J132" s="23"/>
      <c r="K132" s="23"/>
      <c r="L132" s="22">
        <f t="shared" si="7"/>
        <v>0</v>
      </c>
      <c r="M132" s="22">
        <f t="shared" si="8"/>
        <v>0</v>
      </c>
    </row>
    <row r="133" spans="2:13" x14ac:dyDescent="0.25">
      <c r="B133" s="78">
        <f>MAX($B$8:B132)+1</f>
        <v>122</v>
      </c>
      <c r="C133" s="78" t="s">
        <v>229</v>
      </c>
      <c r="D133" s="23" t="s">
        <v>241</v>
      </c>
      <c r="E133" s="23" t="s">
        <v>394</v>
      </c>
      <c r="F133" s="138">
        <v>43.93</v>
      </c>
      <c r="G133" s="138">
        <v>0</v>
      </c>
      <c r="H133" s="23"/>
      <c r="I133" s="22">
        <f>VLOOKUP($C133,'WP RA3'!$C$10:$N$127,12,FALSE)</f>
        <v>0</v>
      </c>
      <c r="J133" s="23"/>
      <c r="K133" s="23"/>
      <c r="L133" s="22">
        <f t="shared" si="7"/>
        <v>0</v>
      </c>
      <c r="M133" s="22">
        <f t="shared" si="8"/>
        <v>43.93</v>
      </c>
    </row>
    <row r="134" spans="2:13" x14ac:dyDescent="0.25">
      <c r="B134" s="78">
        <f>MAX($B$8:B133)+1</f>
        <v>123</v>
      </c>
      <c r="C134" s="78" t="s">
        <v>230</v>
      </c>
      <c r="D134" s="23" t="s">
        <v>239</v>
      </c>
      <c r="E134" s="23" t="s">
        <v>394</v>
      </c>
      <c r="F134" s="138">
        <v>0</v>
      </c>
      <c r="G134" s="138">
        <v>0</v>
      </c>
      <c r="H134" s="23"/>
      <c r="I134" s="22">
        <f>VLOOKUP($C134,'WP RA3'!$C$10:$N$127,12,FALSE)</f>
        <v>0</v>
      </c>
      <c r="J134" s="23"/>
      <c r="K134" s="23"/>
      <c r="L134" s="22">
        <f t="shared" si="7"/>
        <v>0</v>
      </c>
      <c r="M134" s="22">
        <f t="shared" si="8"/>
        <v>0</v>
      </c>
    </row>
    <row r="135" spans="2:13" x14ac:dyDescent="0.25">
      <c r="B135" s="78">
        <f>MAX($B$8:B134)+1</f>
        <v>124</v>
      </c>
      <c r="C135" s="78" t="s">
        <v>231</v>
      </c>
      <c r="D135" s="23" t="s">
        <v>242</v>
      </c>
      <c r="E135" s="23" t="s">
        <v>391</v>
      </c>
      <c r="F135" s="138">
        <v>306.31</v>
      </c>
      <c r="G135" s="138">
        <v>0</v>
      </c>
      <c r="H135" s="23"/>
      <c r="I135" s="22">
        <f>VLOOKUP($C135,'WP RA3'!$C$10:$N$127,12,FALSE)</f>
        <v>0</v>
      </c>
      <c r="J135" s="23"/>
      <c r="K135" s="23"/>
      <c r="L135" s="22">
        <f t="shared" si="7"/>
        <v>0</v>
      </c>
      <c r="M135" s="22">
        <f t="shared" si="8"/>
        <v>306.31</v>
      </c>
    </row>
    <row r="136" spans="2:13" x14ac:dyDescent="0.25">
      <c r="B136" s="78">
        <f>MAX($B$8:B135)+1</f>
        <v>125</v>
      </c>
      <c r="C136" s="78" t="s">
        <v>232</v>
      </c>
      <c r="D136" s="23" t="s">
        <v>243</v>
      </c>
      <c r="E136" s="23" t="s">
        <v>394</v>
      </c>
      <c r="F136" s="138">
        <v>0</v>
      </c>
      <c r="G136" s="138">
        <v>0</v>
      </c>
      <c r="H136" s="23"/>
      <c r="I136" s="22">
        <f>VLOOKUP($C136,'WP RA3'!$C$10:$N$127,12,FALSE)</f>
        <v>0</v>
      </c>
      <c r="J136" s="23"/>
      <c r="K136" s="23"/>
      <c r="L136" s="22">
        <f t="shared" si="7"/>
        <v>0</v>
      </c>
      <c r="M136" s="22">
        <f t="shared" si="8"/>
        <v>0</v>
      </c>
    </row>
    <row r="137" spans="2:13" x14ac:dyDescent="0.25">
      <c r="B137" s="78">
        <f>MAX($B$8:B136)+1</f>
        <v>126</v>
      </c>
      <c r="C137" s="78" t="s">
        <v>233</v>
      </c>
      <c r="D137" s="23" t="s">
        <v>244</v>
      </c>
      <c r="E137" s="23" t="s">
        <v>394</v>
      </c>
      <c r="F137" s="138">
        <v>14631.33</v>
      </c>
      <c r="G137" s="138">
        <v>0</v>
      </c>
      <c r="H137" s="23"/>
      <c r="I137" s="22">
        <f>VLOOKUP($C137,'WP RA3'!$C$10:$N$127,12,FALSE)</f>
        <v>0</v>
      </c>
      <c r="J137" s="23"/>
      <c r="K137" s="23"/>
      <c r="L137" s="22">
        <f t="shared" si="7"/>
        <v>0</v>
      </c>
      <c r="M137" s="22">
        <f t="shared" si="8"/>
        <v>14631.33</v>
      </c>
    </row>
    <row r="138" spans="2:13" x14ac:dyDescent="0.25">
      <c r="B138" s="78">
        <f>MAX($B$8:B137)+1</f>
        <v>127</v>
      </c>
      <c r="C138" s="78" t="s">
        <v>234</v>
      </c>
      <c r="D138" s="23" t="s">
        <v>245</v>
      </c>
      <c r="E138" s="23" t="s">
        <v>394</v>
      </c>
      <c r="F138" s="22">
        <v>1285.51</v>
      </c>
      <c r="G138" s="22">
        <v>0</v>
      </c>
      <c r="H138" s="23"/>
      <c r="I138" s="22">
        <f>VLOOKUP($C138,'WP RA3'!$C$10:$N$127,12,FALSE)</f>
        <v>0</v>
      </c>
      <c r="J138" s="23"/>
      <c r="K138" s="23"/>
      <c r="L138" s="22">
        <f t="shared" si="7"/>
        <v>0</v>
      </c>
      <c r="M138" s="22">
        <f t="shared" si="8"/>
        <v>1285.51</v>
      </c>
    </row>
    <row r="139" spans="2:13" x14ac:dyDescent="0.25">
      <c r="B139" s="78">
        <f>MAX($B$8:B138)+1</f>
        <v>128</v>
      </c>
      <c r="C139" s="78" t="s">
        <v>235</v>
      </c>
      <c r="D139" s="23" t="s">
        <v>246</v>
      </c>
      <c r="E139" s="23" t="s">
        <v>394</v>
      </c>
      <c r="F139" s="22">
        <v>3672.48</v>
      </c>
      <c r="G139" s="22">
        <v>0</v>
      </c>
      <c r="H139" s="23"/>
      <c r="I139" s="22">
        <f>VLOOKUP($C139,'WP RA3'!$C$10:$N$127,12,FALSE)</f>
        <v>0</v>
      </c>
      <c r="J139" s="23"/>
      <c r="K139" s="23"/>
      <c r="L139" s="22">
        <f t="shared" si="7"/>
        <v>0</v>
      </c>
      <c r="M139" s="22">
        <f t="shared" si="8"/>
        <v>3672.48</v>
      </c>
    </row>
    <row r="140" spans="2:13" x14ac:dyDescent="0.25">
      <c r="B140" s="78">
        <f>MAX($B$8:B139)+1</f>
        <v>129</v>
      </c>
      <c r="C140" s="78" t="s">
        <v>236</v>
      </c>
      <c r="D140" s="23" t="s">
        <v>247</v>
      </c>
      <c r="E140" s="23" t="s">
        <v>394</v>
      </c>
      <c r="F140" s="22">
        <v>738.85</v>
      </c>
      <c r="G140" s="22">
        <v>0</v>
      </c>
      <c r="H140" s="23"/>
      <c r="I140" s="22">
        <f>VLOOKUP($C140,'WP RA3'!$C$10:$N$127,12,FALSE)</f>
        <v>0</v>
      </c>
      <c r="J140" s="23"/>
      <c r="K140" s="23"/>
      <c r="L140" s="22">
        <f t="shared" si="7"/>
        <v>0</v>
      </c>
      <c r="M140" s="22">
        <f t="shared" si="8"/>
        <v>738.85</v>
      </c>
    </row>
    <row r="141" spans="2:13" x14ac:dyDescent="0.25">
      <c r="B141" s="78">
        <f>MAX($B$8:B140)+1</f>
        <v>130</v>
      </c>
      <c r="C141" s="78" t="s">
        <v>237</v>
      </c>
      <c r="D141" s="23" t="s">
        <v>248</v>
      </c>
      <c r="E141" s="23" t="s">
        <v>394</v>
      </c>
      <c r="F141" s="22">
        <v>0</v>
      </c>
      <c r="G141" s="22">
        <v>0</v>
      </c>
      <c r="H141" s="23"/>
      <c r="I141" s="22">
        <f>VLOOKUP($C141,'WP RA3'!$C$10:$N$127,12,FALSE)</f>
        <v>0</v>
      </c>
      <c r="J141" s="23"/>
      <c r="K141" s="23"/>
      <c r="L141" s="22">
        <f t="shared" si="7"/>
        <v>0</v>
      </c>
      <c r="M141" s="22">
        <f t="shared" si="8"/>
        <v>0</v>
      </c>
    </row>
    <row r="142" spans="2:13" ht="3.75" customHeight="1" x14ac:dyDescent="0.25">
      <c r="B142" s="78"/>
      <c r="C142" s="78"/>
      <c r="D142" s="2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2:13" x14ac:dyDescent="0.25">
      <c r="B143" s="78">
        <f>MAX($B$8:B142)+1</f>
        <v>131</v>
      </c>
      <c r="C143" s="78"/>
      <c r="D143" s="146" t="s">
        <v>253</v>
      </c>
      <c r="E143" s="146"/>
      <c r="F143" s="23"/>
      <c r="G143" s="23"/>
      <c r="H143" s="23"/>
      <c r="I143" s="23"/>
      <c r="J143" s="23"/>
      <c r="K143" s="23"/>
      <c r="L143" s="23"/>
      <c r="M143" s="23"/>
    </row>
    <row r="144" spans="2:13" x14ac:dyDescent="0.25">
      <c r="B144" s="78">
        <f>MAX($B$8:B143)+1</f>
        <v>132</v>
      </c>
      <c r="C144" s="78" t="s">
        <v>249</v>
      </c>
      <c r="D144" s="23" t="s">
        <v>251</v>
      </c>
      <c r="E144" s="23" t="s">
        <v>406</v>
      </c>
      <c r="F144" s="22">
        <v>298852.34999999998</v>
      </c>
      <c r="G144" s="22">
        <v>0</v>
      </c>
      <c r="H144" s="23"/>
      <c r="I144" s="22">
        <v>0</v>
      </c>
      <c r="J144" s="23"/>
      <c r="K144" s="23"/>
      <c r="L144" s="22">
        <f t="shared" ref="L144:L145" si="9">SUM(G144:K144)</f>
        <v>0</v>
      </c>
      <c r="M144" s="22">
        <f t="shared" ref="M144:M145" si="10">F144+L144</f>
        <v>298852.34999999998</v>
      </c>
    </row>
    <row r="145" spans="2:13" x14ac:dyDescent="0.25">
      <c r="B145" s="78">
        <f>MAX($B$8:B144)+1</f>
        <v>133</v>
      </c>
      <c r="C145" s="78" t="s">
        <v>250</v>
      </c>
      <c r="D145" s="23" t="s">
        <v>252</v>
      </c>
      <c r="E145" s="23" t="s">
        <v>406</v>
      </c>
      <c r="F145" s="22">
        <v>49314.400000000001</v>
      </c>
      <c r="G145" s="22">
        <v>0</v>
      </c>
      <c r="H145" s="23"/>
      <c r="I145" s="22">
        <v>0</v>
      </c>
      <c r="J145" s="23"/>
      <c r="K145" s="23"/>
      <c r="L145" s="22">
        <f t="shared" si="9"/>
        <v>0</v>
      </c>
      <c r="M145" s="22">
        <f t="shared" si="10"/>
        <v>49314.400000000001</v>
      </c>
    </row>
    <row r="146" spans="2:13" ht="3.75" customHeight="1" x14ac:dyDescent="0.25">
      <c r="B146" s="78"/>
      <c r="C146" s="78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2:13" x14ac:dyDescent="0.25">
      <c r="B147" s="78">
        <f>MAX($B$8:B146)+1</f>
        <v>134</v>
      </c>
      <c r="C147" s="78"/>
      <c r="D147" s="146" t="s">
        <v>254</v>
      </c>
      <c r="E147" s="146"/>
      <c r="F147" s="23"/>
      <c r="G147" s="23"/>
      <c r="H147" s="23"/>
      <c r="I147" s="23"/>
      <c r="J147" s="23"/>
      <c r="K147" s="23"/>
      <c r="L147" s="23"/>
      <c r="M147" s="23"/>
    </row>
    <row r="148" spans="2:13" x14ac:dyDescent="0.25">
      <c r="B148" s="78">
        <f>MAX($B$8:B147)+1</f>
        <v>135</v>
      </c>
      <c r="C148" s="78" t="s">
        <v>255</v>
      </c>
      <c r="D148" s="23" t="s">
        <v>256</v>
      </c>
      <c r="E148" s="23" t="s">
        <v>407</v>
      </c>
      <c r="F148" s="22">
        <v>-226237.33</v>
      </c>
      <c r="G148" s="22">
        <v>0</v>
      </c>
      <c r="H148" s="23"/>
      <c r="I148" s="22">
        <v>0</v>
      </c>
      <c r="J148" s="23"/>
      <c r="K148" s="23"/>
      <c r="L148" s="22">
        <f t="shared" ref="L148" si="11">SUM(G148:K148)</f>
        <v>0</v>
      </c>
      <c r="M148" s="22">
        <f t="shared" ref="M148" si="12">F148+L148</f>
        <v>-226237.33</v>
      </c>
    </row>
    <row r="149" spans="2:13" ht="3.75" customHeight="1" x14ac:dyDescent="0.25">
      <c r="B149" s="78"/>
      <c r="C149" s="78"/>
      <c r="D149" s="23"/>
      <c r="E149" s="23"/>
      <c r="F149" s="23"/>
      <c r="G149" s="23"/>
      <c r="H149" s="23"/>
      <c r="I149" s="23"/>
      <c r="J149" s="23"/>
      <c r="K149" s="23"/>
      <c r="L149" s="23"/>
      <c r="M149" s="23"/>
    </row>
    <row r="150" spans="2:13" x14ac:dyDescent="0.25">
      <c r="B150" s="78">
        <f>MAX($B$8:B149)+1</f>
        <v>136</v>
      </c>
      <c r="C150" s="78"/>
      <c r="D150" s="146" t="s">
        <v>257</v>
      </c>
      <c r="E150" s="146"/>
      <c r="F150" s="23"/>
      <c r="G150" s="23"/>
      <c r="H150" s="23"/>
      <c r="I150" s="23"/>
      <c r="J150" s="23"/>
      <c r="K150" s="23"/>
      <c r="L150" s="23"/>
      <c r="M150" s="23"/>
    </row>
    <row r="151" spans="2:13" x14ac:dyDescent="0.25">
      <c r="B151" s="78">
        <f>MAX($B$8:B150)+1</f>
        <v>137</v>
      </c>
      <c r="C151" s="78" t="s">
        <v>266</v>
      </c>
      <c r="D151" s="23" t="s">
        <v>258</v>
      </c>
      <c r="E151" s="23" t="s">
        <v>401</v>
      </c>
      <c r="F151" s="22">
        <v>439.5</v>
      </c>
      <c r="G151" s="22">
        <v>0</v>
      </c>
      <c r="H151" s="23"/>
      <c r="I151" s="22">
        <v>0</v>
      </c>
      <c r="J151" s="23"/>
      <c r="K151" s="23"/>
      <c r="L151" s="22">
        <f t="shared" ref="L151:L158" si="13">SUM(G151:K151)</f>
        <v>0</v>
      </c>
      <c r="M151" s="22">
        <f t="shared" ref="M151:M158" si="14">F151+L151</f>
        <v>439.5</v>
      </c>
    </row>
    <row r="152" spans="2:13" x14ac:dyDescent="0.25">
      <c r="B152" s="78">
        <f>MAX($B$8:B151)+1</f>
        <v>138</v>
      </c>
      <c r="C152" s="78" t="s">
        <v>267</v>
      </c>
      <c r="D152" s="23" t="s">
        <v>259</v>
      </c>
      <c r="E152" s="23" t="s">
        <v>408</v>
      </c>
      <c r="F152" s="22">
        <v>0</v>
      </c>
      <c r="G152" s="22">
        <v>0</v>
      </c>
      <c r="H152" s="23"/>
      <c r="I152" s="22">
        <v>0</v>
      </c>
      <c r="J152" s="23"/>
      <c r="K152" s="23"/>
      <c r="L152" s="22">
        <f t="shared" si="13"/>
        <v>0</v>
      </c>
      <c r="M152" s="22">
        <f t="shared" si="14"/>
        <v>0</v>
      </c>
    </row>
    <row r="153" spans="2:13" x14ac:dyDescent="0.25">
      <c r="B153" s="78">
        <f>MAX($B$8:B152)+1</f>
        <v>139</v>
      </c>
      <c r="C153" s="78" t="s">
        <v>268</v>
      </c>
      <c r="D153" s="23" t="s">
        <v>260</v>
      </c>
      <c r="E153" s="23" t="s">
        <v>408</v>
      </c>
      <c r="F153" s="22">
        <v>0</v>
      </c>
      <c r="G153" s="22">
        <v>0</v>
      </c>
      <c r="H153" s="23"/>
      <c r="I153" s="22">
        <v>0</v>
      </c>
      <c r="J153" s="23"/>
      <c r="K153" s="23"/>
      <c r="L153" s="22">
        <f t="shared" si="13"/>
        <v>0</v>
      </c>
      <c r="M153" s="22">
        <f t="shared" si="14"/>
        <v>0</v>
      </c>
    </row>
    <row r="154" spans="2:13" x14ac:dyDescent="0.25">
      <c r="B154" s="78">
        <f>MAX($B$8:B153)+1</f>
        <v>140</v>
      </c>
      <c r="C154" s="78" t="s">
        <v>269</v>
      </c>
      <c r="D154" s="23" t="s">
        <v>261</v>
      </c>
      <c r="E154" s="23" t="s">
        <v>408</v>
      </c>
      <c r="F154" s="22">
        <v>0</v>
      </c>
      <c r="G154" s="22">
        <v>0</v>
      </c>
      <c r="H154" s="23"/>
      <c r="I154" s="22">
        <v>0</v>
      </c>
      <c r="J154" s="23"/>
      <c r="K154" s="23"/>
      <c r="L154" s="22">
        <f t="shared" si="13"/>
        <v>0</v>
      </c>
      <c r="M154" s="22">
        <f t="shared" si="14"/>
        <v>0</v>
      </c>
    </row>
    <row r="155" spans="2:13" x14ac:dyDescent="0.25">
      <c r="B155" s="78">
        <f>MAX($B$8:B154)+1</f>
        <v>141</v>
      </c>
      <c r="C155" s="78" t="s">
        <v>270</v>
      </c>
      <c r="D155" s="23" t="s">
        <v>262</v>
      </c>
      <c r="E155" s="23" t="s">
        <v>409</v>
      </c>
      <c r="F155" s="22">
        <v>144401.5</v>
      </c>
      <c r="G155" s="22">
        <v>0</v>
      </c>
      <c r="H155" s="23"/>
      <c r="I155" s="22">
        <v>0</v>
      </c>
      <c r="J155" s="23"/>
      <c r="K155" s="23"/>
      <c r="L155" s="22">
        <f t="shared" si="13"/>
        <v>0</v>
      </c>
      <c r="M155" s="22">
        <f t="shared" si="14"/>
        <v>144401.5</v>
      </c>
    </row>
    <row r="156" spans="2:13" x14ac:dyDescent="0.25">
      <c r="B156" s="78">
        <f>MAX($B$8:B155)+1</f>
        <v>142</v>
      </c>
      <c r="C156" s="78" t="s">
        <v>271</v>
      </c>
      <c r="D156" s="23" t="s">
        <v>263</v>
      </c>
      <c r="E156" s="23" t="s">
        <v>410</v>
      </c>
      <c r="F156" s="22">
        <v>208800.2</v>
      </c>
      <c r="G156" s="22">
        <v>0</v>
      </c>
      <c r="H156" s="23"/>
      <c r="I156" s="22">
        <v>0</v>
      </c>
      <c r="J156" s="23"/>
      <c r="K156" s="23"/>
      <c r="L156" s="22">
        <f t="shared" si="13"/>
        <v>0</v>
      </c>
      <c r="M156" s="22">
        <f t="shared" si="14"/>
        <v>208800.2</v>
      </c>
    </row>
    <row r="157" spans="2:13" x14ac:dyDescent="0.25">
      <c r="B157" s="78">
        <f>MAX($B$8:B156)+1</f>
        <v>143</v>
      </c>
      <c r="C157" s="78" t="s">
        <v>272</v>
      </c>
      <c r="D157" s="23" t="s">
        <v>264</v>
      </c>
      <c r="E157" s="23" t="s">
        <v>410</v>
      </c>
      <c r="F157" s="22">
        <v>557.85</v>
      </c>
      <c r="G157" s="22">
        <v>0</v>
      </c>
      <c r="H157" s="23"/>
      <c r="I157" s="22">
        <v>0</v>
      </c>
      <c r="J157" s="23"/>
      <c r="K157" s="23"/>
      <c r="L157" s="22">
        <f t="shared" si="13"/>
        <v>0</v>
      </c>
      <c r="M157" s="22">
        <f t="shared" si="14"/>
        <v>557.85</v>
      </c>
    </row>
    <row r="158" spans="2:13" x14ac:dyDescent="0.25">
      <c r="B158" s="78">
        <f>MAX($B$8:B157)+1</f>
        <v>144</v>
      </c>
      <c r="C158" s="78" t="s">
        <v>273</v>
      </c>
      <c r="D158" s="23" t="s">
        <v>265</v>
      </c>
      <c r="E158" s="23" t="s">
        <v>408</v>
      </c>
      <c r="F158" s="22">
        <v>75441.990000000005</v>
      </c>
      <c r="G158" s="22">
        <v>0</v>
      </c>
      <c r="H158" s="23"/>
      <c r="I158" s="22">
        <v>0</v>
      </c>
      <c r="J158" s="23"/>
      <c r="K158" s="23"/>
      <c r="L158" s="22">
        <f t="shared" si="13"/>
        <v>0</v>
      </c>
      <c r="M158" s="22">
        <f t="shared" si="14"/>
        <v>75441.990000000005</v>
      </c>
    </row>
    <row r="159" spans="2:13" ht="3.75" customHeight="1" x14ac:dyDescent="0.25">
      <c r="B159" s="78"/>
      <c r="C159" s="78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2:13" x14ac:dyDescent="0.25">
      <c r="B160" s="78">
        <f>MAX($B$8:B159)+1</f>
        <v>145</v>
      </c>
      <c r="C160" s="78"/>
      <c r="D160" s="146" t="s">
        <v>274</v>
      </c>
      <c r="E160" s="146"/>
      <c r="F160" s="23"/>
      <c r="G160" s="23"/>
      <c r="H160" s="23"/>
      <c r="I160" s="23"/>
      <c r="J160" s="23"/>
      <c r="K160" s="23"/>
      <c r="L160" s="23"/>
      <c r="M160" s="23"/>
    </row>
    <row r="161" spans="2:13" x14ac:dyDescent="0.25">
      <c r="B161" s="78">
        <f>MAX($B$8:B160)+1</f>
        <v>146</v>
      </c>
      <c r="C161" s="78" t="s">
        <v>275</v>
      </c>
      <c r="D161" s="23" t="s">
        <v>303</v>
      </c>
      <c r="E161" s="23" t="s">
        <v>411</v>
      </c>
      <c r="F161" s="22">
        <v>0</v>
      </c>
      <c r="G161" s="22">
        <f>-F161</f>
        <v>0</v>
      </c>
      <c r="H161" s="23"/>
      <c r="I161" s="22">
        <v>0</v>
      </c>
      <c r="J161" s="23"/>
      <c r="K161" s="23"/>
      <c r="L161" s="22">
        <f t="shared" ref="L161:L188" si="15">SUM(G161:K161)</f>
        <v>0</v>
      </c>
      <c r="M161" s="22">
        <f t="shared" ref="M161:M188" si="16">F161+L161</f>
        <v>0</v>
      </c>
    </row>
    <row r="162" spans="2:13" x14ac:dyDescent="0.25">
      <c r="B162" s="78">
        <f>MAX($B$8:B161)+1</f>
        <v>147</v>
      </c>
      <c r="C162" s="78" t="s">
        <v>276</v>
      </c>
      <c r="D162" s="23" t="s">
        <v>304</v>
      </c>
      <c r="E162" s="23" t="s">
        <v>411</v>
      </c>
      <c r="F162" s="22">
        <v>-118998.3</v>
      </c>
      <c r="G162" s="22">
        <f t="shared" ref="G162:G188" si="17">-F162</f>
        <v>118998.3</v>
      </c>
      <c r="H162" s="23"/>
      <c r="I162" s="22">
        <v>0</v>
      </c>
      <c r="J162" s="23"/>
      <c r="K162" s="23"/>
      <c r="L162" s="22">
        <f t="shared" si="15"/>
        <v>118998.3</v>
      </c>
      <c r="M162" s="22">
        <f t="shared" si="16"/>
        <v>0</v>
      </c>
    </row>
    <row r="163" spans="2:13" x14ac:dyDescent="0.25">
      <c r="B163" s="78">
        <f>MAX($B$8:B162)+1</f>
        <v>148</v>
      </c>
      <c r="C163" s="78" t="s">
        <v>277</v>
      </c>
      <c r="D163" s="23" t="s">
        <v>305</v>
      </c>
      <c r="E163" s="23" t="s">
        <v>411</v>
      </c>
      <c r="F163" s="22">
        <v>11489.59</v>
      </c>
      <c r="G163" s="22">
        <f t="shared" si="17"/>
        <v>-11489.59</v>
      </c>
      <c r="H163" s="23"/>
      <c r="I163" s="22">
        <v>0</v>
      </c>
      <c r="J163" s="23"/>
      <c r="K163" s="23"/>
      <c r="L163" s="22">
        <f t="shared" si="15"/>
        <v>-11489.59</v>
      </c>
      <c r="M163" s="22">
        <f t="shared" si="16"/>
        <v>0</v>
      </c>
    </row>
    <row r="164" spans="2:13" x14ac:dyDescent="0.25">
      <c r="B164" s="78">
        <f>MAX($B$8:B163)+1</f>
        <v>149</v>
      </c>
      <c r="C164" s="78" t="s">
        <v>278</v>
      </c>
      <c r="D164" s="23" t="s">
        <v>306</v>
      </c>
      <c r="E164" s="23" t="s">
        <v>411</v>
      </c>
      <c r="F164" s="22">
        <v>-159.72999999999999</v>
      </c>
      <c r="G164" s="22">
        <f t="shared" si="17"/>
        <v>159.72999999999999</v>
      </c>
      <c r="H164" s="23"/>
      <c r="I164" s="22">
        <v>0</v>
      </c>
      <c r="J164" s="23"/>
      <c r="K164" s="23"/>
      <c r="L164" s="22">
        <f t="shared" si="15"/>
        <v>159.72999999999999</v>
      </c>
      <c r="M164" s="22">
        <f t="shared" si="16"/>
        <v>0</v>
      </c>
    </row>
    <row r="165" spans="2:13" x14ac:dyDescent="0.25">
      <c r="B165" s="78">
        <f>MAX($B$8:B164)+1</f>
        <v>150</v>
      </c>
      <c r="C165" s="78" t="s">
        <v>279</v>
      </c>
      <c r="D165" s="23" t="s">
        <v>307</v>
      </c>
      <c r="E165" s="23" t="s">
        <v>411</v>
      </c>
      <c r="F165" s="22">
        <v>0</v>
      </c>
      <c r="G165" s="22">
        <f t="shared" si="17"/>
        <v>0</v>
      </c>
      <c r="H165" s="23"/>
      <c r="I165" s="22">
        <v>0</v>
      </c>
      <c r="J165" s="23"/>
      <c r="K165" s="23"/>
      <c r="L165" s="22">
        <f t="shared" si="15"/>
        <v>0</v>
      </c>
      <c r="M165" s="22">
        <f t="shared" si="16"/>
        <v>0</v>
      </c>
    </row>
    <row r="166" spans="2:13" x14ac:dyDescent="0.25">
      <c r="B166" s="78">
        <f>MAX($B$8:B165)+1</f>
        <v>151</v>
      </c>
      <c r="C166" s="78" t="s">
        <v>280</v>
      </c>
      <c r="D166" s="23" t="s">
        <v>308</v>
      </c>
      <c r="E166" s="23" t="s">
        <v>411</v>
      </c>
      <c r="F166" s="22">
        <v>-5589.6</v>
      </c>
      <c r="G166" s="22">
        <f t="shared" si="17"/>
        <v>5589.6</v>
      </c>
      <c r="H166" s="23"/>
      <c r="I166" s="22">
        <v>0</v>
      </c>
      <c r="J166" s="23"/>
      <c r="K166" s="23"/>
      <c r="L166" s="22">
        <f t="shared" si="15"/>
        <v>5589.6</v>
      </c>
      <c r="M166" s="22">
        <f t="shared" si="16"/>
        <v>0</v>
      </c>
    </row>
    <row r="167" spans="2:13" x14ac:dyDescent="0.25">
      <c r="B167" s="78">
        <f>MAX($B$8:B166)+1</f>
        <v>152</v>
      </c>
      <c r="C167" s="78" t="s">
        <v>281</v>
      </c>
      <c r="D167" s="23" t="s">
        <v>309</v>
      </c>
      <c r="E167" s="23" t="s">
        <v>411</v>
      </c>
      <c r="F167" s="22">
        <v>0</v>
      </c>
      <c r="G167" s="22">
        <f t="shared" si="17"/>
        <v>0</v>
      </c>
      <c r="H167" s="23"/>
      <c r="I167" s="22">
        <v>0</v>
      </c>
      <c r="J167" s="23"/>
      <c r="K167" s="23"/>
      <c r="L167" s="22">
        <f t="shared" si="15"/>
        <v>0</v>
      </c>
      <c r="M167" s="22">
        <f t="shared" si="16"/>
        <v>0</v>
      </c>
    </row>
    <row r="168" spans="2:13" x14ac:dyDescent="0.25">
      <c r="B168" s="78">
        <f>MAX($B$8:B167)+1</f>
        <v>153</v>
      </c>
      <c r="C168" s="78" t="s">
        <v>282</v>
      </c>
      <c r="D168" s="23" t="s">
        <v>310</v>
      </c>
      <c r="E168" s="23" t="s">
        <v>412</v>
      </c>
      <c r="F168" s="22">
        <v>2301.0500000000002</v>
      </c>
      <c r="G168" s="22">
        <f t="shared" si="17"/>
        <v>-2301.0500000000002</v>
      </c>
      <c r="H168" s="23"/>
      <c r="I168" s="22">
        <v>0</v>
      </c>
      <c r="J168" s="23"/>
      <c r="K168" s="23"/>
      <c r="L168" s="22">
        <f t="shared" si="15"/>
        <v>-2301.0500000000002</v>
      </c>
      <c r="M168" s="22">
        <f t="shared" si="16"/>
        <v>0</v>
      </c>
    </row>
    <row r="169" spans="2:13" x14ac:dyDescent="0.25">
      <c r="B169" s="78">
        <f>MAX($B$8:B168)+1</f>
        <v>154</v>
      </c>
      <c r="C169" s="78" t="s">
        <v>283</v>
      </c>
      <c r="D169" s="23" t="s">
        <v>311</v>
      </c>
      <c r="E169" s="23" t="s">
        <v>412</v>
      </c>
      <c r="F169" s="22">
        <v>0</v>
      </c>
      <c r="G169" s="22">
        <f t="shared" si="17"/>
        <v>0</v>
      </c>
      <c r="H169" s="23"/>
      <c r="I169" s="22">
        <v>0</v>
      </c>
      <c r="J169" s="23"/>
      <c r="K169" s="23"/>
      <c r="L169" s="22">
        <f t="shared" si="15"/>
        <v>0</v>
      </c>
      <c r="M169" s="22">
        <f t="shared" si="16"/>
        <v>0</v>
      </c>
    </row>
    <row r="170" spans="2:13" x14ac:dyDescent="0.25">
      <c r="B170" s="78">
        <f>MAX($B$8:B169)+1</f>
        <v>155</v>
      </c>
      <c r="C170" s="78" t="s">
        <v>284</v>
      </c>
      <c r="D170" s="23" t="s">
        <v>312</v>
      </c>
      <c r="E170" s="23" t="s">
        <v>412</v>
      </c>
      <c r="F170" s="22">
        <v>0</v>
      </c>
      <c r="G170" s="22">
        <f t="shared" si="17"/>
        <v>0</v>
      </c>
      <c r="H170" s="23"/>
      <c r="I170" s="22">
        <v>0</v>
      </c>
      <c r="J170" s="23"/>
      <c r="K170" s="23"/>
      <c r="L170" s="22">
        <f t="shared" si="15"/>
        <v>0</v>
      </c>
      <c r="M170" s="22">
        <f t="shared" si="16"/>
        <v>0</v>
      </c>
    </row>
    <row r="171" spans="2:13" x14ac:dyDescent="0.25">
      <c r="B171" s="78">
        <f>MAX($B$8:B170)+1</f>
        <v>156</v>
      </c>
      <c r="C171" s="78" t="s">
        <v>285</v>
      </c>
      <c r="D171" s="23" t="s">
        <v>313</v>
      </c>
      <c r="E171" s="23" t="s">
        <v>412</v>
      </c>
      <c r="F171" s="22">
        <v>22152.49</v>
      </c>
      <c r="G171" s="22">
        <f t="shared" si="17"/>
        <v>-22152.49</v>
      </c>
      <c r="H171" s="23"/>
      <c r="I171" s="22">
        <v>0</v>
      </c>
      <c r="J171" s="23"/>
      <c r="K171" s="23"/>
      <c r="L171" s="22">
        <f t="shared" si="15"/>
        <v>-22152.49</v>
      </c>
      <c r="M171" s="22">
        <f t="shared" si="16"/>
        <v>0</v>
      </c>
    </row>
    <row r="172" spans="2:13" x14ac:dyDescent="0.25">
      <c r="B172" s="78">
        <f>MAX($B$8:B171)+1</f>
        <v>157</v>
      </c>
      <c r="C172" s="78" t="s">
        <v>286</v>
      </c>
      <c r="D172" s="23" t="s">
        <v>314</v>
      </c>
      <c r="E172" s="23" t="s">
        <v>412</v>
      </c>
      <c r="F172" s="22">
        <v>22.54</v>
      </c>
      <c r="G172" s="22">
        <f t="shared" si="17"/>
        <v>-22.54</v>
      </c>
      <c r="H172" s="23"/>
      <c r="I172" s="22">
        <v>0</v>
      </c>
      <c r="J172" s="23"/>
      <c r="K172" s="23"/>
      <c r="L172" s="22">
        <f t="shared" si="15"/>
        <v>-22.54</v>
      </c>
      <c r="M172" s="22">
        <f t="shared" si="16"/>
        <v>0</v>
      </c>
    </row>
    <row r="173" spans="2:13" x14ac:dyDescent="0.25">
      <c r="B173" s="78">
        <f>MAX($B$8:B172)+1</f>
        <v>158</v>
      </c>
      <c r="C173" s="78" t="s">
        <v>287</v>
      </c>
      <c r="D173" s="23" t="s">
        <v>315</v>
      </c>
      <c r="E173" s="23" t="s">
        <v>412</v>
      </c>
      <c r="F173" s="22">
        <v>436.01</v>
      </c>
      <c r="G173" s="22">
        <f t="shared" si="17"/>
        <v>-436.01</v>
      </c>
      <c r="H173" s="23"/>
      <c r="I173" s="22">
        <v>0</v>
      </c>
      <c r="J173" s="23"/>
      <c r="K173" s="23"/>
      <c r="L173" s="22">
        <f t="shared" si="15"/>
        <v>-436.01</v>
      </c>
      <c r="M173" s="22">
        <f t="shared" si="16"/>
        <v>0</v>
      </c>
    </row>
    <row r="174" spans="2:13" x14ac:dyDescent="0.25">
      <c r="B174" s="78">
        <f>MAX($B$8:B173)+1</f>
        <v>159</v>
      </c>
      <c r="C174" s="78" t="s">
        <v>288</v>
      </c>
      <c r="D174" s="23" t="s">
        <v>316</v>
      </c>
      <c r="E174" s="23" t="s">
        <v>432</v>
      </c>
      <c r="F174" s="22">
        <v>0</v>
      </c>
      <c r="G174" s="22">
        <f t="shared" si="17"/>
        <v>0</v>
      </c>
      <c r="H174" s="23"/>
      <c r="I174" s="22">
        <v>0</v>
      </c>
      <c r="J174" s="23"/>
      <c r="K174" s="23"/>
      <c r="L174" s="22">
        <f t="shared" si="15"/>
        <v>0</v>
      </c>
      <c r="M174" s="22">
        <f t="shared" si="16"/>
        <v>0</v>
      </c>
    </row>
    <row r="175" spans="2:13" x14ac:dyDescent="0.25">
      <c r="B175" s="78">
        <f>MAX($B$8:B174)+1</f>
        <v>160</v>
      </c>
      <c r="C175" s="78" t="s">
        <v>289</v>
      </c>
      <c r="D175" s="23" t="s">
        <v>317</v>
      </c>
      <c r="E175" s="23" t="s">
        <v>412</v>
      </c>
      <c r="F175" s="22">
        <v>0</v>
      </c>
      <c r="G175" s="22">
        <f t="shared" si="17"/>
        <v>0</v>
      </c>
      <c r="H175" s="23"/>
      <c r="I175" s="22">
        <v>0</v>
      </c>
      <c r="J175" s="23"/>
      <c r="K175" s="23"/>
      <c r="L175" s="22">
        <f t="shared" si="15"/>
        <v>0</v>
      </c>
      <c r="M175" s="22">
        <f t="shared" si="16"/>
        <v>0</v>
      </c>
    </row>
    <row r="176" spans="2:13" x14ac:dyDescent="0.25">
      <c r="B176" s="78">
        <f>MAX($B$8:B175)+1</f>
        <v>161</v>
      </c>
      <c r="C176" s="78" t="s">
        <v>290</v>
      </c>
      <c r="D176" s="23" t="s">
        <v>318</v>
      </c>
      <c r="E176" s="23" t="s">
        <v>412</v>
      </c>
      <c r="F176" s="22">
        <v>0</v>
      </c>
      <c r="G176" s="22">
        <f t="shared" si="17"/>
        <v>0</v>
      </c>
      <c r="H176" s="23"/>
      <c r="I176" s="22">
        <v>0</v>
      </c>
      <c r="J176" s="23"/>
      <c r="K176" s="23"/>
      <c r="L176" s="22">
        <f t="shared" si="15"/>
        <v>0</v>
      </c>
      <c r="M176" s="22">
        <f t="shared" si="16"/>
        <v>0</v>
      </c>
    </row>
    <row r="177" spans="2:13" x14ac:dyDescent="0.25">
      <c r="B177" s="78">
        <f>MAX($B$8:B176)+1</f>
        <v>162</v>
      </c>
      <c r="C177" s="78" t="s">
        <v>291</v>
      </c>
      <c r="D177" s="23" t="s">
        <v>319</v>
      </c>
      <c r="E177" s="23" t="s">
        <v>412</v>
      </c>
      <c r="F177" s="22">
        <v>0</v>
      </c>
      <c r="G177" s="22">
        <f t="shared" si="17"/>
        <v>0</v>
      </c>
      <c r="H177" s="23"/>
      <c r="I177" s="22">
        <v>0</v>
      </c>
      <c r="J177" s="23"/>
      <c r="K177" s="23"/>
      <c r="L177" s="22">
        <f t="shared" si="15"/>
        <v>0</v>
      </c>
      <c r="M177" s="22">
        <f t="shared" si="16"/>
        <v>0</v>
      </c>
    </row>
    <row r="178" spans="2:13" x14ac:dyDescent="0.25">
      <c r="B178" s="78">
        <f>MAX($B$8:B177)+1</f>
        <v>163</v>
      </c>
      <c r="C178" s="78" t="s">
        <v>292</v>
      </c>
      <c r="D178" s="23" t="s">
        <v>320</v>
      </c>
      <c r="E178" s="23" t="s">
        <v>432</v>
      </c>
      <c r="F178" s="22">
        <v>0</v>
      </c>
      <c r="G178" s="22">
        <f t="shared" si="17"/>
        <v>0</v>
      </c>
      <c r="H178" s="23"/>
      <c r="I178" s="22">
        <v>0</v>
      </c>
      <c r="J178" s="23"/>
      <c r="K178" s="23"/>
      <c r="L178" s="22">
        <f t="shared" si="15"/>
        <v>0</v>
      </c>
      <c r="M178" s="22">
        <f t="shared" si="16"/>
        <v>0</v>
      </c>
    </row>
    <row r="179" spans="2:13" x14ac:dyDescent="0.25">
      <c r="B179" s="78">
        <f>MAX($B$8:B178)+1</f>
        <v>164</v>
      </c>
      <c r="C179" s="78" t="s">
        <v>293</v>
      </c>
      <c r="D179" s="23" t="s">
        <v>321</v>
      </c>
      <c r="E179" s="23" t="s">
        <v>412</v>
      </c>
      <c r="F179" s="22">
        <v>0</v>
      </c>
      <c r="G179" s="22">
        <f t="shared" si="17"/>
        <v>0</v>
      </c>
      <c r="H179" s="23"/>
      <c r="I179" s="22">
        <v>0</v>
      </c>
      <c r="J179" s="23"/>
      <c r="K179" s="23"/>
      <c r="L179" s="22">
        <f t="shared" si="15"/>
        <v>0</v>
      </c>
      <c r="M179" s="22">
        <f t="shared" si="16"/>
        <v>0</v>
      </c>
    </row>
    <row r="180" spans="2:13" x14ac:dyDescent="0.25">
      <c r="B180" s="78">
        <f>MAX($B$8:B179)+1</f>
        <v>165</v>
      </c>
      <c r="C180" s="78" t="s">
        <v>294</v>
      </c>
      <c r="D180" s="23" t="s">
        <v>108</v>
      </c>
      <c r="E180" s="23" t="s">
        <v>412</v>
      </c>
      <c r="F180" s="22">
        <v>4085.9</v>
      </c>
      <c r="G180" s="22">
        <f t="shared" si="17"/>
        <v>-4085.9</v>
      </c>
      <c r="H180" s="23"/>
      <c r="I180" s="22">
        <v>0</v>
      </c>
      <c r="J180" s="23"/>
      <c r="K180" s="23"/>
      <c r="L180" s="22">
        <f t="shared" si="15"/>
        <v>-4085.9</v>
      </c>
      <c r="M180" s="22">
        <f t="shared" si="16"/>
        <v>0</v>
      </c>
    </row>
    <row r="181" spans="2:13" x14ac:dyDescent="0.25">
      <c r="B181" s="78">
        <f>MAX($B$8:B180)+1</f>
        <v>166</v>
      </c>
      <c r="C181" s="78" t="s">
        <v>295</v>
      </c>
      <c r="D181" s="23" t="s">
        <v>102</v>
      </c>
      <c r="E181" s="23" t="s">
        <v>412</v>
      </c>
      <c r="F181" s="22">
        <v>754.29</v>
      </c>
      <c r="G181" s="22">
        <f t="shared" si="17"/>
        <v>-754.29</v>
      </c>
      <c r="H181" s="23"/>
      <c r="I181" s="22">
        <v>0</v>
      </c>
      <c r="J181" s="23"/>
      <c r="K181" s="23"/>
      <c r="L181" s="22">
        <f t="shared" si="15"/>
        <v>-754.29</v>
      </c>
      <c r="M181" s="22">
        <f t="shared" si="16"/>
        <v>0</v>
      </c>
    </row>
    <row r="182" spans="2:13" x14ac:dyDescent="0.25">
      <c r="B182" s="78">
        <f>MAX($B$8:B181)+1</f>
        <v>167</v>
      </c>
      <c r="C182" s="78" t="s">
        <v>296</v>
      </c>
      <c r="D182" s="23" t="s">
        <v>322</v>
      </c>
      <c r="E182" s="23" t="s">
        <v>412</v>
      </c>
      <c r="F182" s="22">
        <v>4884.38</v>
      </c>
      <c r="G182" s="22">
        <f t="shared" si="17"/>
        <v>-4884.38</v>
      </c>
      <c r="H182" s="23"/>
      <c r="I182" s="22">
        <v>0</v>
      </c>
      <c r="J182" s="23"/>
      <c r="K182" s="23"/>
      <c r="L182" s="22">
        <f t="shared" si="15"/>
        <v>-4884.38</v>
      </c>
      <c r="M182" s="22">
        <f t="shared" si="16"/>
        <v>0</v>
      </c>
    </row>
    <row r="183" spans="2:13" x14ac:dyDescent="0.25">
      <c r="B183" s="78">
        <f>MAX($B$8:B182)+1</f>
        <v>168</v>
      </c>
      <c r="C183" s="78" t="s">
        <v>297</v>
      </c>
      <c r="D183" s="23" t="s">
        <v>323</v>
      </c>
      <c r="E183" s="23" t="s">
        <v>363</v>
      </c>
      <c r="F183" s="22">
        <v>68887.88</v>
      </c>
      <c r="G183" s="22">
        <f t="shared" si="17"/>
        <v>-68887.88</v>
      </c>
      <c r="H183" s="23"/>
      <c r="I183" s="22">
        <v>0</v>
      </c>
      <c r="J183" s="23"/>
      <c r="K183" s="23"/>
      <c r="L183" s="22">
        <f t="shared" si="15"/>
        <v>-68887.88</v>
      </c>
      <c r="M183" s="22">
        <f t="shared" si="16"/>
        <v>0</v>
      </c>
    </row>
    <row r="184" spans="2:13" x14ac:dyDescent="0.25">
      <c r="B184" s="78">
        <f>MAX($B$8:B183)+1</f>
        <v>169</v>
      </c>
      <c r="C184" s="78" t="s">
        <v>298</v>
      </c>
      <c r="D184" s="23" t="s">
        <v>324</v>
      </c>
      <c r="E184" s="23" t="s">
        <v>363</v>
      </c>
      <c r="F184" s="22">
        <v>11580.86</v>
      </c>
      <c r="G184" s="22">
        <f t="shared" si="17"/>
        <v>-11580.86</v>
      </c>
      <c r="H184" s="23"/>
      <c r="I184" s="22">
        <v>0</v>
      </c>
      <c r="J184" s="23"/>
      <c r="K184" s="23"/>
      <c r="L184" s="22">
        <f t="shared" si="15"/>
        <v>-11580.86</v>
      </c>
      <c r="M184" s="22">
        <f t="shared" si="16"/>
        <v>0</v>
      </c>
    </row>
    <row r="185" spans="2:13" x14ac:dyDescent="0.25">
      <c r="B185" s="78">
        <f>MAX($B$8:B184)+1</f>
        <v>170</v>
      </c>
      <c r="C185" s="78" t="s">
        <v>299</v>
      </c>
      <c r="D185" s="23" t="s">
        <v>325</v>
      </c>
      <c r="E185" s="23" t="s">
        <v>363</v>
      </c>
      <c r="F185" s="22">
        <v>0</v>
      </c>
      <c r="G185" s="22">
        <f t="shared" si="17"/>
        <v>0</v>
      </c>
      <c r="H185" s="23"/>
      <c r="I185" s="22">
        <v>0</v>
      </c>
      <c r="J185" s="23"/>
      <c r="K185" s="23"/>
      <c r="L185" s="22">
        <f t="shared" si="15"/>
        <v>0</v>
      </c>
      <c r="M185" s="22">
        <f t="shared" si="16"/>
        <v>0</v>
      </c>
    </row>
    <row r="186" spans="2:13" x14ac:dyDescent="0.25">
      <c r="B186" s="78">
        <f>MAX($B$8:B185)+1</f>
        <v>171</v>
      </c>
      <c r="C186" s="78" t="s">
        <v>300</v>
      </c>
      <c r="D186" s="23" t="s">
        <v>326</v>
      </c>
      <c r="E186" s="23" t="s">
        <v>363</v>
      </c>
      <c r="F186" s="22">
        <v>1197.22</v>
      </c>
      <c r="G186" s="22">
        <f t="shared" si="17"/>
        <v>-1197.22</v>
      </c>
      <c r="H186" s="23"/>
      <c r="I186" s="22">
        <v>0</v>
      </c>
      <c r="J186" s="23"/>
      <c r="K186" s="23"/>
      <c r="L186" s="22">
        <f t="shared" si="15"/>
        <v>-1197.22</v>
      </c>
      <c r="M186" s="22">
        <f t="shared" si="16"/>
        <v>0</v>
      </c>
    </row>
    <row r="187" spans="2:13" x14ac:dyDescent="0.25">
      <c r="B187" s="78">
        <f>MAX($B$8:B186)+1</f>
        <v>172</v>
      </c>
      <c r="C187" s="78" t="s">
        <v>301</v>
      </c>
      <c r="D187" s="23" t="s">
        <v>327</v>
      </c>
      <c r="E187" s="23" t="s">
        <v>363</v>
      </c>
      <c r="F187" s="22">
        <v>6409</v>
      </c>
      <c r="G187" s="22">
        <f t="shared" si="17"/>
        <v>-6409</v>
      </c>
      <c r="H187" s="23"/>
      <c r="I187" s="22">
        <v>0</v>
      </c>
      <c r="J187" s="23"/>
      <c r="K187" s="23"/>
      <c r="L187" s="22">
        <f t="shared" si="15"/>
        <v>-6409</v>
      </c>
      <c r="M187" s="22">
        <f t="shared" si="16"/>
        <v>0</v>
      </c>
    </row>
    <row r="188" spans="2:13" x14ac:dyDescent="0.25">
      <c r="B188" s="78">
        <f>MAX($B$8:B187)+1</f>
        <v>173</v>
      </c>
      <c r="C188" s="78" t="s">
        <v>302</v>
      </c>
      <c r="D188" s="23" t="s">
        <v>328</v>
      </c>
      <c r="E188" s="23" t="s">
        <v>407</v>
      </c>
      <c r="F188" s="22">
        <v>-1809.76</v>
      </c>
      <c r="G188" s="22">
        <f t="shared" si="17"/>
        <v>1809.76</v>
      </c>
      <c r="H188" s="23"/>
      <c r="I188" s="22">
        <v>0</v>
      </c>
      <c r="J188" s="23"/>
      <c r="K188" s="23"/>
      <c r="L188" s="22">
        <f t="shared" si="15"/>
        <v>1809.76</v>
      </c>
      <c r="M188" s="22">
        <f t="shared" si="16"/>
        <v>0</v>
      </c>
    </row>
    <row r="189" spans="2:13" ht="3.75" customHeight="1" x14ac:dyDescent="0.25">
      <c r="B189" s="78"/>
      <c r="C189" s="78"/>
      <c r="D189" s="23"/>
      <c r="E189" s="23"/>
      <c r="F189" s="23"/>
      <c r="G189" s="23"/>
      <c r="H189" s="23"/>
      <c r="I189" s="23"/>
      <c r="J189" s="23"/>
      <c r="K189" s="23"/>
      <c r="L189" s="23"/>
      <c r="M189" s="23"/>
    </row>
    <row r="190" spans="2:13" x14ac:dyDescent="0.25">
      <c r="B190" s="78">
        <f>MAX($B$8:B189)+1</f>
        <v>174</v>
      </c>
      <c r="C190" s="78"/>
      <c r="D190" s="146" t="s">
        <v>329</v>
      </c>
      <c r="E190" s="146"/>
      <c r="F190" s="23"/>
      <c r="G190" s="23"/>
      <c r="H190" s="23"/>
      <c r="I190" s="23"/>
      <c r="J190" s="23"/>
      <c r="K190" s="23"/>
      <c r="L190" s="23"/>
      <c r="M190" s="23"/>
    </row>
    <row r="191" spans="2:13" x14ac:dyDescent="0.25">
      <c r="B191" s="78">
        <f>MAX($B$8:B190)+1</f>
        <v>175</v>
      </c>
      <c r="C191" s="78" t="s">
        <v>330</v>
      </c>
      <c r="D191" s="23" t="s">
        <v>333</v>
      </c>
      <c r="E191" s="23" t="s">
        <v>413</v>
      </c>
      <c r="F191" s="22">
        <v>269640.75</v>
      </c>
      <c r="G191" s="22">
        <v>0</v>
      </c>
      <c r="H191" s="23"/>
      <c r="I191" s="22">
        <v>0</v>
      </c>
      <c r="J191" s="23"/>
      <c r="K191" s="23"/>
      <c r="L191" s="22">
        <f t="shared" ref="L191" si="18">SUM(G191:K191)</f>
        <v>0</v>
      </c>
      <c r="M191" s="22">
        <f t="shared" ref="M191" si="19">F191+L191</f>
        <v>269640.75</v>
      </c>
    </row>
    <row r="192" spans="2:13" x14ac:dyDescent="0.25">
      <c r="B192" s="78">
        <f>MAX($B$8:B191)+1</f>
        <v>176</v>
      </c>
      <c r="C192" s="78" t="s">
        <v>331</v>
      </c>
      <c r="D192" s="23" t="s">
        <v>334</v>
      </c>
      <c r="E192" s="23" t="s">
        <v>413</v>
      </c>
      <c r="F192" s="22">
        <v>12455.64</v>
      </c>
      <c r="G192" s="22">
        <v>0</v>
      </c>
      <c r="H192" s="23"/>
      <c r="I192" s="22">
        <v>0</v>
      </c>
      <c r="J192" s="23"/>
      <c r="K192" s="23"/>
      <c r="L192" s="22">
        <f t="shared" ref="L192:L193" si="20">SUM(G192:K192)</f>
        <v>0</v>
      </c>
      <c r="M192" s="22">
        <f t="shared" ref="M192:M193" si="21">F192+L192</f>
        <v>12455.64</v>
      </c>
    </row>
    <row r="193" spans="2:13" x14ac:dyDescent="0.25">
      <c r="B193" s="78">
        <f>MAX($B$8:B192)+1</f>
        <v>177</v>
      </c>
      <c r="C193" s="78" t="s">
        <v>332</v>
      </c>
      <c r="D193" s="23" t="s">
        <v>335</v>
      </c>
      <c r="E193" s="23" t="s">
        <v>413</v>
      </c>
      <c r="F193" s="22">
        <v>-1621.73</v>
      </c>
      <c r="G193" s="22">
        <v>0</v>
      </c>
      <c r="H193" s="23"/>
      <c r="I193" s="22">
        <v>0</v>
      </c>
      <c r="J193" s="23"/>
      <c r="K193" s="23"/>
      <c r="L193" s="22">
        <f t="shared" si="20"/>
        <v>0</v>
      </c>
      <c r="M193" s="22">
        <f t="shared" si="21"/>
        <v>-1621.73</v>
      </c>
    </row>
    <row r="194" spans="2:13" ht="3.75" customHeight="1" x14ac:dyDescent="0.25">
      <c r="B194" s="78"/>
      <c r="C194" s="78"/>
      <c r="D194" s="23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2:13" x14ac:dyDescent="0.25">
      <c r="B195" s="78">
        <f>MAX($B$8:B194)+1</f>
        <v>178</v>
      </c>
      <c r="C195" s="78"/>
      <c r="D195" s="146" t="s">
        <v>336</v>
      </c>
      <c r="E195" s="146"/>
      <c r="F195" s="23"/>
      <c r="G195" s="23"/>
      <c r="H195" s="23"/>
      <c r="I195" s="23"/>
      <c r="J195" s="23"/>
      <c r="K195" s="23"/>
      <c r="L195" s="23"/>
      <c r="M195" s="23"/>
    </row>
    <row r="196" spans="2:13" x14ac:dyDescent="0.25">
      <c r="B196" s="78">
        <f>MAX($B$8:B195)+1</f>
        <v>179</v>
      </c>
      <c r="C196" s="78" t="s">
        <v>337</v>
      </c>
      <c r="D196" s="23" t="s">
        <v>338</v>
      </c>
      <c r="E196" s="23"/>
      <c r="F196" s="22">
        <v>0</v>
      </c>
      <c r="G196" s="22">
        <v>0</v>
      </c>
      <c r="H196" s="23"/>
      <c r="I196" s="22">
        <v>0</v>
      </c>
      <c r="J196" s="23"/>
      <c r="K196" s="23"/>
      <c r="L196" s="22">
        <f t="shared" ref="L196" si="22">SUM(G196:K196)</f>
        <v>0</v>
      </c>
      <c r="M196" s="22">
        <f t="shared" ref="M196" si="23">F196+L196</f>
        <v>0</v>
      </c>
    </row>
  </sheetData>
  <mergeCells count="1"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357-3705-40B8-ADA4-B6F020E71B6D}">
  <sheetPr>
    <tabColor rgb="FF00B050"/>
  </sheetPr>
  <dimension ref="A1:S195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5" width="39.28515625" customWidth="1"/>
    <col min="6" max="19" width="17.85546875" customWidth="1"/>
  </cols>
  <sheetData>
    <row r="1" spans="1:19" ht="7.5" customHeight="1" x14ac:dyDescent="0.25">
      <c r="A1" s="51" t="str" cm="1">
        <f t="array" aca="1" ref="A1" ca="1">MID(CELL("filename",A1),FIND("]",CELL("filename",A1))+1,255)</f>
        <v>EP IS Pro Forma</v>
      </c>
    </row>
    <row r="2" spans="1:19" x14ac:dyDescent="0.25">
      <c r="B2" s="24" t="s">
        <v>451</v>
      </c>
      <c r="C2" s="46"/>
    </row>
    <row r="3" spans="1:19" x14ac:dyDescent="0.25">
      <c r="B3" s="1" t="s">
        <v>452</v>
      </c>
      <c r="C3" s="46"/>
      <c r="G3" s="21"/>
      <c r="H3" s="21"/>
    </row>
    <row r="4" spans="1:19" ht="7.5" customHeight="1" x14ac:dyDescent="0.25">
      <c r="B4" s="1"/>
      <c r="C4" s="46"/>
    </row>
    <row r="5" spans="1:19" s="6" customFormat="1" x14ac:dyDescent="0.25">
      <c r="B5" s="156"/>
      <c r="C5" s="88"/>
      <c r="D5" s="156"/>
      <c r="E5" s="156"/>
      <c r="F5" s="88"/>
      <c r="G5" s="88" t="str">
        <f ca="1">RIGHT('WP PF1'!$A$1,3)</f>
        <v>PF1</v>
      </c>
      <c r="H5" s="88" t="str">
        <f ca="1">RIGHT('WP PF2'!$A$1,3)</f>
        <v>PF2</v>
      </c>
      <c r="I5" s="88" t="s">
        <v>437</v>
      </c>
      <c r="J5" s="88" t="s">
        <v>442</v>
      </c>
      <c r="K5" s="88" t="str">
        <f ca="1">RIGHT('WP PF6'!$A$1,3)</f>
        <v>PF6</v>
      </c>
      <c r="L5" s="88" t="str">
        <f ca="1">RIGHT('WP PF7'!$A$1,3)</f>
        <v>PF7</v>
      </c>
      <c r="M5" s="88" t="str">
        <f ca="1">RIGHT('WP PF8'!$A$1,3)</f>
        <v>PF8</v>
      </c>
      <c r="N5" s="88" t="str">
        <f ca="1">RIGHT('WP PF9'!$A$1,3)</f>
        <v>PF9</v>
      </c>
      <c r="O5" s="88" t="str">
        <f ca="1">RIGHT('WP PF10'!$A$1,4)</f>
        <v>PF10</v>
      </c>
      <c r="P5" s="88" t="str">
        <f ca="1">RIGHT('WP PF11'!$A$1,4)</f>
        <v>PF11</v>
      </c>
      <c r="Q5" s="88" t="str">
        <f ca="1">RIGHT('WP PF12'!$A$1,4)</f>
        <v>PF12</v>
      </c>
      <c r="R5" s="88" t="s">
        <v>423</v>
      </c>
      <c r="S5" s="88"/>
    </row>
    <row r="6" spans="1:19" s="6" customFormat="1" x14ac:dyDescent="0.25">
      <c r="B6" s="88" t="s">
        <v>417</v>
      </c>
      <c r="C6" s="88"/>
      <c r="D6" s="156"/>
      <c r="E6" s="156"/>
      <c r="F6" s="88" t="s">
        <v>426</v>
      </c>
      <c r="G6" s="157" t="s">
        <v>582</v>
      </c>
      <c r="H6" s="157" t="s">
        <v>440</v>
      </c>
      <c r="I6" s="157" t="s">
        <v>478</v>
      </c>
      <c r="J6" s="157" t="s">
        <v>489</v>
      </c>
      <c r="K6" s="157" t="s">
        <v>443</v>
      </c>
      <c r="L6" s="157" t="s">
        <v>534</v>
      </c>
      <c r="M6" s="157" t="s">
        <v>445</v>
      </c>
      <c r="N6" s="157" t="s">
        <v>959</v>
      </c>
      <c r="O6" s="157" t="s">
        <v>572</v>
      </c>
      <c r="P6" s="157" t="s">
        <v>409</v>
      </c>
      <c r="Q6" s="157" t="s">
        <v>511</v>
      </c>
      <c r="R6" s="88" t="s">
        <v>450</v>
      </c>
      <c r="S6" s="88" t="s">
        <v>450</v>
      </c>
    </row>
    <row r="7" spans="1:19" s="6" customFormat="1" x14ac:dyDescent="0.25">
      <c r="B7" s="158" t="s">
        <v>418</v>
      </c>
      <c r="C7" s="158" t="s">
        <v>0</v>
      </c>
      <c r="D7" s="159" t="s">
        <v>1</v>
      </c>
      <c r="E7" s="158" t="s">
        <v>429</v>
      </c>
      <c r="F7" s="158" t="s">
        <v>427</v>
      </c>
      <c r="G7" s="160" t="s">
        <v>439</v>
      </c>
      <c r="H7" s="160" t="s">
        <v>439</v>
      </c>
      <c r="I7" s="160" t="s">
        <v>439</v>
      </c>
      <c r="J7" s="160" t="s">
        <v>441</v>
      </c>
      <c r="K7" s="160" t="s">
        <v>444</v>
      </c>
      <c r="L7" s="160" t="s">
        <v>446</v>
      </c>
      <c r="M7" s="160" t="s">
        <v>425</v>
      </c>
      <c r="N7" s="160" t="s">
        <v>449</v>
      </c>
      <c r="O7" s="160" t="s">
        <v>449</v>
      </c>
      <c r="P7" s="160" t="s">
        <v>522</v>
      </c>
      <c r="Q7" s="160" t="s">
        <v>444</v>
      </c>
      <c r="R7" s="158" t="s">
        <v>425</v>
      </c>
      <c r="S7" s="158" t="s">
        <v>426</v>
      </c>
    </row>
    <row r="8" spans="1:19" x14ac:dyDescent="0.25">
      <c r="B8" s="78"/>
      <c r="C8" s="20" t="s">
        <v>419</v>
      </c>
      <c r="D8" s="20" t="s">
        <v>420</v>
      </c>
      <c r="E8" s="20" t="s">
        <v>421</v>
      </c>
      <c r="F8" s="20" t="s">
        <v>422</v>
      </c>
      <c r="G8" s="20" t="s">
        <v>430</v>
      </c>
      <c r="H8" s="20" t="s">
        <v>431</v>
      </c>
      <c r="I8" s="20" t="s">
        <v>434</v>
      </c>
      <c r="J8" s="20" t="s">
        <v>435</v>
      </c>
      <c r="K8" s="20" t="s">
        <v>436</v>
      </c>
      <c r="L8" s="20" t="s">
        <v>447</v>
      </c>
      <c r="M8" s="20" t="s">
        <v>448</v>
      </c>
      <c r="N8" s="20" t="s">
        <v>490</v>
      </c>
      <c r="O8" s="20" t="s">
        <v>491</v>
      </c>
      <c r="P8" s="20" t="s">
        <v>492</v>
      </c>
      <c r="Q8" s="20" t="s">
        <v>493</v>
      </c>
      <c r="R8" s="20" t="s">
        <v>578</v>
      </c>
      <c r="S8" s="20" t="s">
        <v>579</v>
      </c>
    </row>
    <row r="9" spans="1:19" ht="3.75" customHeight="1" x14ac:dyDescent="0.25">
      <c r="B9" s="7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B10" s="78">
        <v>1</v>
      </c>
      <c r="C10" s="20"/>
      <c r="D10" s="142" t="s">
        <v>510</v>
      </c>
      <c r="E10" s="20"/>
      <c r="F10" s="79">
        <f t="shared" ref="F10:P10" si="0">SUM(F$13:F$195)</f>
        <v>577681.84088333335</v>
      </c>
      <c r="G10" s="79">
        <f t="shared" si="0"/>
        <v>2520662.891559524</v>
      </c>
      <c r="H10" s="79">
        <f t="shared" si="0"/>
        <v>420649.92367505329</v>
      </c>
      <c r="I10" s="79">
        <f t="shared" si="0"/>
        <v>-2523901.9001549631</v>
      </c>
      <c r="J10" s="79">
        <f t="shared" si="0"/>
        <v>91422.032091428584</v>
      </c>
      <c r="K10" s="79">
        <f t="shared" si="0"/>
        <v>398775.28094142361</v>
      </c>
      <c r="L10" s="79">
        <f t="shared" ca="1" si="0"/>
        <v>-15043.974348483021</v>
      </c>
      <c r="M10" s="79">
        <f t="shared" si="0"/>
        <v>69000</v>
      </c>
      <c r="N10" s="79">
        <f>SUM(N$13:N$195)</f>
        <v>5538.8417194285739</v>
      </c>
      <c r="O10" s="79">
        <f t="shared" ca="1" si="0"/>
        <v>93929.591019708343</v>
      </c>
      <c r="P10" s="79">
        <f t="shared" si="0"/>
        <v>91443.70000000007</v>
      </c>
      <c r="Q10" s="79">
        <f t="shared" ref="Q10:R10" si="1">SUM(Q$13:Q$195)</f>
        <v>18902.166666666668</v>
      </c>
      <c r="R10" s="79">
        <f t="shared" ca="1" si="1"/>
        <v>1171378.5531697869</v>
      </c>
      <c r="S10" s="79">
        <f ca="1">SUM(S$13:S$195)</f>
        <v>1749060.3940531209</v>
      </c>
    </row>
    <row r="11" spans="1:19" ht="3.75" customHeight="1" x14ac:dyDescent="0.25">
      <c r="B11" s="7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B12" s="78">
        <v>2</v>
      </c>
      <c r="C12" s="143"/>
      <c r="D12" s="144" t="s">
        <v>40</v>
      </c>
      <c r="E12" s="150"/>
      <c r="F12" s="143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x14ac:dyDescent="0.25">
      <c r="B13" s="78">
        <f>MAX($B$8:B12)+1</f>
        <v>3</v>
      </c>
      <c r="C13" s="78" t="s">
        <v>3</v>
      </c>
      <c r="D13" s="23" t="s">
        <v>21</v>
      </c>
      <c r="E13" s="151" t="str">
        <f>'EP IS Restatements'!E13</f>
        <v>Metered Sales</v>
      </c>
      <c r="F13" s="22">
        <f>'EP IS Restatements'!M13</f>
        <v>-3755908.22</v>
      </c>
      <c r="G13" s="22">
        <v>0</v>
      </c>
      <c r="H13" s="22">
        <v>0</v>
      </c>
      <c r="I13" s="22">
        <f>-'WP PF3'!F10</f>
        <v>-2360507.6644406775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f>SUM(G13:Q13)</f>
        <v>-2360507.6644406775</v>
      </c>
      <c r="S13" s="22">
        <f t="shared" ref="S13:S30" si="2">F13+R13</f>
        <v>-6116415.8844406772</v>
      </c>
    </row>
    <row r="14" spans="1:19" x14ac:dyDescent="0.25">
      <c r="B14" s="78">
        <f>MAX($B$8:B13)+1</f>
        <v>4</v>
      </c>
      <c r="C14" s="78" t="s">
        <v>4</v>
      </c>
      <c r="D14" s="23" t="s">
        <v>22</v>
      </c>
      <c r="E14" s="151" t="str">
        <f>'EP IS Restatements'!E14</f>
        <v>Metered Sales</v>
      </c>
      <c r="F14" s="22">
        <f>'EP IS Restatements'!M14</f>
        <v>0</v>
      </c>
      <c r="G14" s="22">
        <v>0</v>
      </c>
      <c r="H14" s="22">
        <v>0</v>
      </c>
      <c r="I14" s="23"/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 t="shared" ref="R14:R30" si="3">SUM(G14:Q14)</f>
        <v>0</v>
      </c>
      <c r="S14" s="22">
        <f t="shared" si="2"/>
        <v>0</v>
      </c>
    </row>
    <row r="15" spans="1:19" x14ac:dyDescent="0.25">
      <c r="B15" s="78">
        <f>MAX($B$8:B14)+1</f>
        <v>5</v>
      </c>
      <c r="C15" s="78" t="s">
        <v>5</v>
      </c>
      <c r="D15" s="23" t="s">
        <v>23</v>
      </c>
      <c r="E15" s="151" t="str">
        <f>'EP IS Restatements'!E15</f>
        <v>Metered Sales</v>
      </c>
      <c r="F15" s="22">
        <f>'EP IS Restatements'!M15</f>
        <v>0</v>
      </c>
      <c r="G15" s="22">
        <v>0</v>
      </c>
      <c r="H15" s="22">
        <v>0</v>
      </c>
      <c r="I15" s="23"/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f t="shared" si="3"/>
        <v>0</v>
      </c>
      <c r="S15" s="22">
        <f t="shared" si="2"/>
        <v>0</v>
      </c>
    </row>
    <row r="16" spans="1:19" x14ac:dyDescent="0.25">
      <c r="B16" s="78">
        <f>MAX($B$8:B15)+1</f>
        <v>6</v>
      </c>
      <c r="C16" s="78" t="s">
        <v>6</v>
      </c>
      <c r="D16" s="23" t="s">
        <v>24</v>
      </c>
      <c r="E16" s="151" t="str">
        <f>'EP IS Restatements'!E16</f>
        <v>Metered Sales</v>
      </c>
      <c r="F16" s="22">
        <f>'EP IS Restatements'!M16</f>
        <v>-279657.95</v>
      </c>
      <c r="G16" s="22">
        <v>0</v>
      </c>
      <c r="H16" s="22">
        <v>0</v>
      </c>
      <c r="I16" s="23"/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 t="shared" si="3"/>
        <v>0</v>
      </c>
      <c r="S16" s="22">
        <f t="shared" si="2"/>
        <v>-279657.95</v>
      </c>
    </row>
    <row r="17" spans="2:19" x14ac:dyDescent="0.25">
      <c r="B17" s="78">
        <f>MAX($B$8:B16)+1</f>
        <v>7</v>
      </c>
      <c r="C17" s="78" t="s">
        <v>7</v>
      </c>
      <c r="D17" s="23" t="s">
        <v>25</v>
      </c>
      <c r="E17" s="151" t="str">
        <f>'EP IS Restatements'!E17</f>
        <v>Metered Sales</v>
      </c>
      <c r="F17" s="22">
        <f>'EP IS Restatements'!M17</f>
        <v>0</v>
      </c>
      <c r="G17" s="22">
        <v>0</v>
      </c>
      <c r="H17" s="22">
        <v>0</v>
      </c>
      <c r="I17" s="23"/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f t="shared" si="3"/>
        <v>0</v>
      </c>
      <c r="S17" s="22">
        <f t="shared" si="2"/>
        <v>0</v>
      </c>
    </row>
    <row r="18" spans="2:19" x14ac:dyDescent="0.25">
      <c r="B18" s="78">
        <f>MAX($B$8:B17)+1</f>
        <v>8</v>
      </c>
      <c r="C18" s="78" t="s">
        <v>8</v>
      </c>
      <c r="D18" s="23" t="s">
        <v>26</v>
      </c>
      <c r="E18" s="151" t="str">
        <f>'EP IS Restatements'!E18</f>
        <v>Un-metered Sales</v>
      </c>
      <c r="F18" s="22">
        <f>'EP IS Restatements'!M18</f>
        <v>-717</v>
      </c>
      <c r="G18" s="22">
        <v>0</v>
      </c>
      <c r="H18" s="22">
        <v>0</v>
      </c>
      <c r="I18" s="22">
        <f>-'WP PF3'!F11</f>
        <v>-512.14285714285711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f t="shared" si="3"/>
        <v>-512.14285714285711</v>
      </c>
      <c r="S18" s="22">
        <f t="shared" si="2"/>
        <v>-1229.1428571428571</v>
      </c>
    </row>
    <row r="19" spans="2:19" x14ac:dyDescent="0.25">
      <c r="B19" s="78">
        <f>MAX($B$8:B18)+1</f>
        <v>9</v>
      </c>
      <c r="C19" s="78" t="s">
        <v>9</v>
      </c>
      <c r="D19" s="23" t="s">
        <v>27</v>
      </c>
      <c r="E19" s="151" t="str">
        <f>'EP IS Restatements'!E19</f>
        <v>Metered Sales</v>
      </c>
      <c r="F19" s="22">
        <f>'EP IS Restatements'!M19</f>
        <v>-233478.96</v>
      </c>
      <c r="G19" s="22">
        <v>0</v>
      </c>
      <c r="H19" s="22">
        <v>0</v>
      </c>
      <c r="I19" s="23"/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3"/>
        <v>0</v>
      </c>
      <c r="S19" s="22">
        <f t="shared" si="2"/>
        <v>-233478.96</v>
      </c>
    </row>
    <row r="20" spans="2:19" x14ac:dyDescent="0.25">
      <c r="B20" s="78">
        <f>MAX($B$8:B19)+1</f>
        <v>10</v>
      </c>
      <c r="C20" s="78" t="s">
        <v>10</v>
      </c>
      <c r="D20" s="23" t="s">
        <v>28</v>
      </c>
      <c r="E20" s="151" t="str">
        <f>'EP IS Restatements'!E20</f>
        <v>Metered Sales</v>
      </c>
      <c r="F20" s="22">
        <f>'EP IS Restatements'!M20</f>
        <v>0</v>
      </c>
      <c r="G20" s="22">
        <v>0</v>
      </c>
      <c r="H20" s="22">
        <v>0</v>
      </c>
      <c r="I20" s="23"/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f t="shared" si="3"/>
        <v>0</v>
      </c>
      <c r="S20" s="22">
        <f t="shared" si="2"/>
        <v>0</v>
      </c>
    </row>
    <row r="21" spans="2:19" x14ac:dyDescent="0.25">
      <c r="B21" s="78">
        <f>MAX($B$8:B20)+1</f>
        <v>11</v>
      </c>
      <c r="C21" s="78" t="s">
        <v>11</v>
      </c>
      <c r="D21" s="23" t="s">
        <v>29</v>
      </c>
      <c r="E21" s="151" t="str">
        <f>'EP IS Restatements'!E21</f>
        <v>Fire Protection / Irrigation</v>
      </c>
      <c r="F21" s="22">
        <f>'EP IS Restatements'!M21</f>
        <v>-192053.98</v>
      </c>
      <c r="G21" s="22">
        <v>0</v>
      </c>
      <c r="H21" s="22">
        <v>0</v>
      </c>
      <c r="I21" s="22">
        <f>-'WP PF3'!F13</f>
        <v>-137181.4142857143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3"/>
        <v>-137181.4142857143</v>
      </c>
      <c r="S21" s="22">
        <f t="shared" si="2"/>
        <v>-329235.39428571431</v>
      </c>
    </row>
    <row r="22" spans="2:19" x14ac:dyDescent="0.25">
      <c r="B22" s="78">
        <f>MAX($B$8:B21)+1</f>
        <v>12</v>
      </c>
      <c r="C22" s="78" t="s">
        <v>12</v>
      </c>
      <c r="D22" s="23" t="s">
        <v>30</v>
      </c>
      <c r="E22" s="151" t="str">
        <f>'EP IS Restatements'!E22</f>
        <v>Other Income, Ancillary Charges</v>
      </c>
      <c r="F22" s="22">
        <f>'EP IS Restatements'!M22</f>
        <v>-5820.95</v>
      </c>
      <c r="G22" s="22">
        <v>0</v>
      </c>
      <c r="H22" s="22">
        <v>0</v>
      </c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3"/>
        <v>0</v>
      </c>
      <c r="S22" s="22">
        <f t="shared" si="2"/>
        <v>-5820.95</v>
      </c>
    </row>
    <row r="23" spans="2:19" x14ac:dyDescent="0.25">
      <c r="B23" s="78">
        <f>MAX($B$8:B22)+1</f>
        <v>13</v>
      </c>
      <c r="C23" s="78" t="s">
        <v>13</v>
      </c>
      <c r="D23" s="23" t="s">
        <v>31</v>
      </c>
      <c r="E23" s="151" t="str">
        <f>'EP IS Restatements'!E23</f>
        <v>Other Income, Ancillary Charges</v>
      </c>
      <c r="F23" s="22">
        <f>'EP IS Restatements'!M23</f>
        <v>-100</v>
      </c>
      <c r="G23" s="22">
        <v>0</v>
      </c>
      <c r="H23" s="22">
        <v>0</v>
      </c>
      <c r="I23" s="23"/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f t="shared" si="3"/>
        <v>0</v>
      </c>
      <c r="S23" s="22">
        <f t="shared" si="2"/>
        <v>-100</v>
      </c>
    </row>
    <row r="24" spans="2:19" x14ac:dyDescent="0.25">
      <c r="B24" s="78">
        <f>MAX($B$8:B23)+1</f>
        <v>14</v>
      </c>
      <c r="C24" s="78" t="s">
        <v>14</v>
      </c>
      <c r="D24" s="23" t="s">
        <v>32</v>
      </c>
      <c r="E24" s="151" t="str">
        <f>'EP IS Restatements'!E24</f>
        <v>Other Income, Ancillary Charges</v>
      </c>
      <c r="F24" s="22">
        <f>'EP IS Restatements'!M24</f>
        <v>-24052.5</v>
      </c>
      <c r="G24" s="22">
        <v>0</v>
      </c>
      <c r="H24" s="22">
        <v>0</v>
      </c>
      <c r="I24" s="22">
        <f>-'WP PF3'!F14</f>
        <v>-25700.678571428572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f t="shared" si="3"/>
        <v>-25700.678571428572</v>
      </c>
      <c r="S24" s="22">
        <f t="shared" si="2"/>
        <v>-49753.178571428572</v>
      </c>
    </row>
    <row r="25" spans="2:19" x14ac:dyDescent="0.25">
      <c r="B25" s="78">
        <f>MAX($B$8:B24)+1</f>
        <v>15</v>
      </c>
      <c r="C25" s="78" t="s">
        <v>15</v>
      </c>
      <c r="D25" s="23" t="s">
        <v>33</v>
      </c>
      <c r="E25" s="151" t="str">
        <f>'EP IS Restatements'!E25</f>
        <v>Other Income, Ancillary Charges</v>
      </c>
      <c r="F25" s="22">
        <f>'EP IS Restatements'!M25</f>
        <v>-6007.5</v>
      </c>
      <c r="G25" s="22">
        <v>0</v>
      </c>
      <c r="H25" s="22">
        <v>0</v>
      </c>
      <c r="I25" s="23"/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f t="shared" si="3"/>
        <v>0</v>
      </c>
      <c r="S25" s="22">
        <f t="shared" si="2"/>
        <v>-6007.5</v>
      </c>
    </row>
    <row r="26" spans="2:19" x14ac:dyDescent="0.25">
      <c r="B26" s="78">
        <f>MAX($B$8:B25)+1</f>
        <v>16</v>
      </c>
      <c r="C26" s="78" t="s">
        <v>16</v>
      </c>
      <c r="D26" s="23" t="s">
        <v>34</v>
      </c>
      <c r="E26" s="151" t="str">
        <f>'EP IS Restatements'!E26</f>
        <v>Fire Protection / Irrigation</v>
      </c>
      <c r="F26" s="22">
        <f>'EP IS Restatements'!M26</f>
        <v>0</v>
      </c>
      <c r="G26" s="22">
        <v>0</v>
      </c>
      <c r="H26" s="22">
        <v>0</v>
      </c>
      <c r="I26" s="23"/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f t="shared" si="3"/>
        <v>0</v>
      </c>
      <c r="S26" s="22">
        <f t="shared" si="2"/>
        <v>0</v>
      </c>
    </row>
    <row r="27" spans="2:19" x14ac:dyDescent="0.25">
      <c r="B27" s="78">
        <f>MAX($B$8:B26)+1</f>
        <v>17</v>
      </c>
      <c r="C27" s="78" t="s">
        <v>17</v>
      </c>
      <c r="D27" s="23" t="s">
        <v>35</v>
      </c>
      <c r="E27" s="151" t="str">
        <f>'EP IS Restatements'!E27</f>
        <v>Metered Sales</v>
      </c>
      <c r="F27" s="22">
        <f>'EP IS Restatements'!M27</f>
        <v>-338857.43</v>
      </c>
      <c r="G27" s="22">
        <v>0</v>
      </c>
      <c r="H27" s="22">
        <v>0</v>
      </c>
      <c r="I27" s="23"/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f t="shared" si="3"/>
        <v>0</v>
      </c>
      <c r="S27" s="22">
        <f t="shared" si="2"/>
        <v>-338857.43</v>
      </c>
    </row>
    <row r="28" spans="2:19" x14ac:dyDescent="0.25">
      <c r="B28" s="78">
        <f>MAX($B$8:B27)+1</f>
        <v>18</v>
      </c>
      <c r="C28" s="78" t="s">
        <v>18</v>
      </c>
      <c r="D28" s="23" t="s">
        <v>36</v>
      </c>
      <c r="E28" s="151" t="str">
        <f>'EP IS Restatements'!E28</f>
        <v>Metered Sales</v>
      </c>
      <c r="F28" s="22">
        <f>'EP IS Restatements'!M28</f>
        <v>0</v>
      </c>
      <c r="G28" s="22">
        <v>0</v>
      </c>
      <c r="H28" s="22">
        <v>0</v>
      </c>
      <c r="I28" s="23"/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f t="shared" si="3"/>
        <v>0</v>
      </c>
      <c r="S28" s="22">
        <f t="shared" si="2"/>
        <v>0</v>
      </c>
    </row>
    <row r="29" spans="2:19" x14ac:dyDescent="0.25">
      <c r="B29" s="78">
        <f>MAX($B$8:B28)+1</f>
        <v>19</v>
      </c>
      <c r="C29" s="78" t="s">
        <v>19</v>
      </c>
      <c r="D29" s="23" t="s">
        <v>37</v>
      </c>
      <c r="E29" s="151" t="str">
        <f>'EP IS Restatements'!E29</f>
        <v>Other Income, Ancillary Charges</v>
      </c>
      <c r="F29" s="22">
        <f>'EP IS Restatements'!M29</f>
        <v>0</v>
      </c>
      <c r="G29" s="22">
        <v>0</v>
      </c>
      <c r="H29" s="22">
        <v>0</v>
      </c>
      <c r="I29" s="23"/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f t="shared" si="3"/>
        <v>0</v>
      </c>
      <c r="S29" s="22">
        <f t="shared" si="2"/>
        <v>0</v>
      </c>
    </row>
    <row r="30" spans="2:19" x14ac:dyDescent="0.25">
      <c r="B30" s="78">
        <f>MAX($B$8:B29)+1</f>
        <v>20</v>
      </c>
      <c r="C30" s="78" t="s">
        <v>20</v>
      </c>
      <c r="D30" s="23" t="s">
        <v>38</v>
      </c>
      <c r="E30" s="151" t="str">
        <f>'EP IS Restatements'!E30</f>
        <v>Ready-to-Serve</v>
      </c>
      <c r="F30" s="22">
        <f>'EP IS Restatements'!M30</f>
        <v>0</v>
      </c>
      <c r="G30" s="22">
        <v>0</v>
      </c>
      <c r="H30" s="22">
        <v>0</v>
      </c>
      <c r="I30" s="23"/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f t="shared" si="3"/>
        <v>0</v>
      </c>
      <c r="S30" s="22">
        <f t="shared" si="2"/>
        <v>0</v>
      </c>
    </row>
    <row r="31" spans="2:19" ht="3.75" customHeight="1" x14ac:dyDescent="0.25">
      <c r="B31" s="78"/>
      <c r="C31" s="78"/>
      <c r="D31" s="23"/>
      <c r="E31" s="15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2:19" x14ac:dyDescent="0.25">
      <c r="B32" s="78">
        <f>MAX($B$8:B31)+1</f>
        <v>21</v>
      </c>
      <c r="C32" s="78"/>
      <c r="D32" s="146" t="s">
        <v>41</v>
      </c>
      <c r="E32" s="15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2:19" x14ac:dyDescent="0.25">
      <c r="B33" s="78">
        <f>MAX($B$8:B32)+1</f>
        <v>22</v>
      </c>
      <c r="C33" s="78" t="s">
        <v>42</v>
      </c>
      <c r="D33" s="23" t="s">
        <v>82</v>
      </c>
      <c r="E33" s="151" t="str">
        <f>'EP IS Restatements'!E33</f>
        <v>Purchased Power/Water</v>
      </c>
      <c r="F33" s="22">
        <f>'EP IS Restatements'!M33</f>
        <v>1029799.2950000002</v>
      </c>
      <c r="G33" s="22">
        <f>VLOOKUP($C33,'WP PF1'!$C$10:$F$127,4,FALSE)</f>
        <v>0</v>
      </c>
      <c r="H33" s="161">
        <f>'WP PF2'!G29</f>
        <v>420649.92367505329</v>
      </c>
      <c r="I33" s="22">
        <v>0</v>
      </c>
      <c r="J33" s="22">
        <v>0</v>
      </c>
      <c r="K33" s="22">
        <v>0</v>
      </c>
      <c r="L33" s="22">
        <v>0</v>
      </c>
      <c r="M33" s="23"/>
      <c r="N33" s="22">
        <v>0</v>
      </c>
      <c r="O33" s="22">
        <f t="shared" ref="O33:O62" si="4">IF(SUM(J33:M33)=0,SUM(F33:M33)*0.022,0)</f>
        <v>31909.882810851173</v>
      </c>
      <c r="P33" s="22">
        <v>0</v>
      </c>
      <c r="Q33" s="22">
        <v>0</v>
      </c>
      <c r="R33" s="22">
        <f t="shared" ref="R33:R64" si="5">SUM(G33:Q33)</f>
        <v>452559.80648590444</v>
      </c>
      <c r="S33" s="22">
        <f t="shared" ref="S33:S64" si="6">F33+R33</f>
        <v>1482359.1014859045</v>
      </c>
    </row>
    <row r="34" spans="2:19" x14ac:dyDescent="0.25">
      <c r="B34" s="78">
        <f>MAX($B$8:B33)+1</f>
        <v>23</v>
      </c>
      <c r="C34" s="78" t="s">
        <v>43</v>
      </c>
      <c r="D34" s="23" t="s">
        <v>83</v>
      </c>
      <c r="E34" s="151" t="str">
        <f>'EP IS Restatements'!E34</f>
        <v>Purchased Power/Water</v>
      </c>
      <c r="F34" s="22">
        <f>'EP IS Restatements'!M34</f>
        <v>226785.6</v>
      </c>
      <c r="G34" s="22">
        <f>VLOOKUP($C34,'WP PF1'!$C$10:$F$127,4,FALSE)</f>
        <v>161989.71428571429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/>
      <c r="N34" s="22">
        <f>'WP PF9'!K21</f>
        <v>5538.8417194285739</v>
      </c>
      <c r="O34" s="22">
        <f t="shared" si="4"/>
        <v>8553.0569142857148</v>
      </c>
      <c r="P34" s="22">
        <v>0</v>
      </c>
      <c r="Q34" s="22">
        <v>0</v>
      </c>
      <c r="R34" s="22">
        <f t="shared" si="5"/>
        <v>176081.61291942859</v>
      </c>
      <c r="S34" s="22">
        <f t="shared" si="6"/>
        <v>402867.2129194286</v>
      </c>
    </row>
    <row r="35" spans="2:19" x14ac:dyDescent="0.25">
      <c r="B35" s="78">
        <f>MAX($B$8:B34)+1</f>
        <v>24</v>
      </c>
      <c r="C35" s="78" t="s">
        <v>44</v>
      </c>
      <c r="D35" s="23" t="s">
        <v>84</v>
      </c>
      <c r="E35" s="151" t="str">
        <f>'EP IS Restatements'!E35</f>
        <v>Office, Postage, Phone, and Bank Charges</v>
      </c>
      <c r="F35" s="22">
        <f>'EP IS Restatements'!M35</f>
        <v>6778.93</v>
      </c>
      <c r="G35" s="22">
        <f>VLOOKUP($C35,'WP PF1'!$C$10:$F$127,4,FALSE)</f>
        <v>4842.0928571428576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3"/>
      <c r="N35" s="22">
        <v>0</v>
      </c>
      <c r="O35" s="22">
        <f t="shared" si="4"/>
        <v>255.66250285714287</v>
      </c>
      <c r="P35" s="22">
        <v>0</v>
      </c>
      <c r="Q35" s="22">
        <v>0</v>
      </c>
      <c r="R35" s="22">
        <f t="shared" si="5"/>
        <v>5097.7553600000001</v>
      </c>
      <c r="S35" s="22">
        <f t="shared" si="6"/>
        <v>11876.685359999999</v>
      </c>
    </row>
    <row r="36" spans="2:19" x14ac:dyDescent="0.25">
      <c r="B36" s="78">
        <f>MAX($B$8:B35)+1</f>
        <v>25</v>
      </c>
      <c r="C36" s="78" t="s">
        <v>45</v>
      </c>
      <c r="D36" s="23" t="s">
        <v>85</v>
      </c>
      <c r="E36" s="151" t="str">
        <f>'EP IS Restatements'!E36</f>
        <v>Salary and Wages - Employees</v>
      </c>
      <c r="F36" s="22">
        <f>'EP IS Restatements'!M36</f>
        <v>125652.87</v>
      </c>
      <c r="G36" s="22">
        <f>VLOOKUP($C36,'WP PF1'!$C$10:$F$127,4,FALSE)</f>
        <v>89752.049999999988</v>
      </c>
      <c r="H36" s="22">
        <v>0</v>
      </c>
      <c r="I36" s="22">
        <v>0</v>
      </c>
      <c r="J36" s="22">
        <f>SUM(F36:I36)*0.032</f>
        <v>6892.9574399999992</v>
      </c>
      <c r="K36" s="22">
        <f>'WP PF6'!N32</f>
        <v>208640.86273291669</v>
      </c>
      <c r="L36" s="22">
        <v>0</v>
      </c>
      <c r="M36" s="23"/>
      <c r="N36" s="22">
        <v>0</v>
      </c>
      <c r="O36" s="22">
        <f t="shared" si="4"/>
        <v>0</v>
      </c>
      <c r="P36" s="22">
        <v>0</v>
      </c>
      <c r="Q36" s="22">
        <v>0</v>
      </c>
      <c r="R36" s="22">
        <f t="shared" si="5"/>
        <v>305285.87017291668</v>
      </c>
      <c r="S36" s="22">
        <f t="shared" si="6"/>
        <v>430938.74017291667</v>
      </c>
    </row>
    <row r="37" spans="2:19" x14ac:dyDescent="0.25">
      <c r="B37" s="78">
        <f>MAX($B$8:B36)+1</f>
        <v>26</v>
      </c>
      <c r="C37" s="78" t="s">
        <v>46</v>
      </c>
      <c r="D37" s="23" t="s">
        <v>86</v>
      </c>
      <c r="E37" s="151" t="str">
        <f>'EP IS Restatements'!E37</f>
        <v>Office, Postage, Phone, and Bank Charges</v>
      </c>
      <c r="F37" s="22">
        <f>'EP IS Restatements'!M37</f>
        <v>0</v>
      </c>
      <c r="G37" s="22">
        <f>VLOOKUP($C37,'WP PF1'!$C$10:$F$127,4,FALSE)</f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3"/>
      <c r="N37" s="22">
        <v>0</v>
      </c>
      <c r="O37" s="22">
        <f t="shared" si="4"/>
        <v>0</v>
      </c>
      <c r="P37" s="22">
        <v>0</v>
      </c>
      <c r="Q37" s="22">
        <v>0</v>
      </c>
      <c r="R37" s="22">
        <f t="shared" si="5"/>
        <v>0</v>
      </c>
      <c r="S37" s="22">
        <f t="shared" si="6"/>
        <v>0</v>
      </c>
    </row>
    <row r="38" spans="2:19" x14ac:dyDescent="0.25">
      <c r="B38" s="78">
        <f>MAX($B$8:B37)+1</f>
        <v>27</v>
      </c>
      <c r="C38" s="78" t="s">
        <v>47</v>
      </c>
      <c r="D38" s="23" t="s">
        <v>87</v>
      </c>
      <c r="E38" s="151" t="str">
        <f>'EP IS Restatements'!E38</f>
        <v>Office, Postage, Phone, and Bank Charges</v>
      </c>
      <c r="F38" s="22">
        <f>'EP IS Restatements'!M38</f>
        <v>1751.6099999999985</v>
      </c>
      <c r="G38" s="22">
        <f>VLOOKUP($C38,'WP PF1'!$C$10:$F$127,4,FALSE)</f>
        <v>1251.149999999999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/>
      <c r="N38" s="22">
        <v>0</v>
      </c>
      <c r="O38" s="22">
        <f t="shared" si="4"/>
        <v>66.060719999999947</v>
      </c>
      <c r="P38" s="22">
        <v>0</v>
      </c>
      <c r="Q38" s="22">
        <v>0</v>
      </c>
      <c r="R38" s="22">
        <f t="shared" si="5"/>
        <v>1317.2107199999989</v>
      </c>
      <c r="S38" s="22">
        <f t="shared" si="6"/>
        <v>3068.8207199999974</v>
      </c>
    </row>
    <row r="39" spans="2:19" x14ac:dyDescent="0.25">
      <c r="B39" s="78">
        <f>MAX($B$8:B38)+1</f>
        <v>28</v>
      </c>
      <c r="C39" s="78" t="s">
        <v>48</v>
      </c>
      <c r="D39" s="23" t="s">
        <v>88</v>
      </c>
      <c r="E39" s="151" t="str">
        <f>'EP IS Restatements'!E39</f>
        <v>Office, Postage, Phone, and Bank Charges</v>
      </c>
      <c r="F39" s="22">
        <f>'EP IS Restatements'!M39</f>
        <v>0</v>
      </c>
      <c r="G39" s="22">
        <f>VLOOKUP($C39,'WP PF1'!$C$10:$F$127,4,FALSE)</f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3"/>
      <c r="N39" s="22">
        <v>0</v>
      </c>
      <c r="O39" s="22">
        <f t="shared" si="4"/>
        <v>0</v>
      </c>
      <c r="P39" s="22">
        <v>0</v>
      </c>
      <c r="Q39" s="22">
        <v>0</v>
      </c>
      <c r="R39" s="22">
        <f t="shared" si="5"/>
        <v>0</v>
      </c>
      <c r="S39" s="22">
        <f t="shared" si="6"/>
        <v>0</v>
      </c>
    </row>
    <row r="40" spans="2:19" x14ac:dyDescent="0.25">
      <c r="B40" s="78">
        <f>MAX($B$8:B39)+1</f>
        <v>29</v>
      </c>
      <c r="C40" s="78" t="s">
        <v>49</v>
      </c>
      <c r="D40" s="23" t="s">
        <v>89</v>
      </c>
      <c r="E40" s="151" t="str">
        <f>'EP IS Restatements'!E40</f>
        <v>Office, Postage, Phone, and Bank Charges</v>
      </c>
      <c r="F40" s="22">
        <f>'EP IS Restatements'!M40</f>
        <v>93905.02</v>
      </c>
      <c r="G40" s="22">
        <f>VLOOKUP($C40,'WP PF1'!$C$10:$F$127,4,FALSE)</f>
        <v>67075.014285714293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3"/>
      <c r="N40" s="22">
        <v>0</v>
      </c>
      <c r="O40" s="22">
        <f t="shared" si="4"/>
        <v>3541.5607542857142</v>
      </c>
      <c r="P40" s="22">
        <v>0</v>
      </c>
      <c r="Q40" s="22">
        <v>0</v>
      </c>
      <c r="R40" s="22">
        <f t="shared" si="5"/>
        <v>70616.575040000011</v>
      </c>
      <c r="S40" s="22">
        <f t="shared" si="6"/>
        <v>164521.59504000001</v>
      </c>
    </row>
    <row r="41" spans="2:19" x14ac:dyDescent="0.25">
      <c r="B41" s="78">
        <f>MAX($B$8:B40)+1</f>
        <v>30</v>
      </c>
      <c r="C41" s="78" t="s">
        <v>50</v>
      </c>
      <c r="D41" s="23" t="s">
        <v>90</v>
      </c>
      <c r="E41" s="151" t="str">
        <f>'EP IS Restatements'!E41</f>
        <v>Office, Postage, Phone, and Bank Charges</v>
      </c>
      <c r="F41" s="22">
        <f>'EP IS Restatements'!M41</f>
        <v>519.16</v>
      </c>
      <c r="G41" s="22">
        <f>VLOOKUP($C41,'WP PF1'!$C$10:$F$127,4,FALSE)</f>
        <v>370.82857142857142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3"/>
      <c r="N41" s="22">
        <v>0</v>
      </c>
      <c r="O41" s="22">
        <f t="shared" si="4"/>
        <v>19.579748571428571</v>
      </c>
      <c r="P41" s="22">
        <v>0</v>
      </c>
      <c r="Q41" s="22">
        <v>0</v>
      </c>
      <c r="R41" s="22">
        <f t="shared" si="5"/>
        <v>390.40832</v>
      </c>
      <c r="S41" s="22">
        <f t="shared" si="6"/>
        <v>909.56831999999997</v>
      </c>
    </row>
    <row r="42" spans="2:19" x14ac:dyDescent="0.25">
      <c r="B42" s="78">
        <f>MAX($B$8:B41)+1</f>
        <v>31</v>
      </c>
      <c r="C42" s="78" t="s">
        <v>51</v>
      </c>
      <c r="D42" s="23" t="s">
        <v>91</v>
      </c>
      <c r="E42" s="151" t="str">
        <f>'EP IS Restatements'!E42</f>
        <v>Contractual Accounting</v>
      </c>
      <c r="F42" s="22">
        <f>'EP IS Restatements'!M42</f>
        <v>79072.455000000002</v>
      </c>
      <c r="G42" s="22">
        <f>VLOOKUP($C42,'WP PF1'!$C$10:$F$127,4,FALSE)</f>
        <v>56480.324999999997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3"/>
      <c r="N42" s="22">
        <v>0</v>
      </c>
      <c r="O42" s="22">
        <f t="shared" si="4"/>
        <v>2982.1611599999997</v>
      </c>
      <c r="P42" s="22">
        <v>0</v>
      </c>
      <c r="Q42" s="22">
        <v>0</v>
      </c>
      <c r="R42" s="22">
        <f t="shared" si="5"/>
        <v>59462.48616</v>
      </c>
      <c r="S42" s="22">
        <f t="shared" si="6"/>
        <v>138534.94115999999</v>
      </c>
    </row>
    <row r="43" spans="2:19" x14ac:dyDescent="0.25">
      <c r="B43" s="78">
        <f>MAX($B$8:B42)+1</f>
        <v>32</v>
      </c>
      <c r="C43" s="78" t="s">
        <v>52</v>
      </c>
      <c r="D43" s="23" t="s">
        <v>92</v>
      </c>
      <c r="E43" s="151" t="str">
        <f>'EP IS Restatements'!E43</f>
        <v>Office, Postage, Phone, and Bank Charges</v>
      </c>
      <c r="F43" s="22">
        <f>'EP IS Restatements'!M43</f>
        <v>115500</v>
      </c>
      <c r="G43" s="22">
        <f>VLOOKUP($C43,'WP PF1'!$C$10:$F$127,4,FALSE)</f>
        <v>82500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3"/>
      <c r="N43" s="22">
        <v>0</v>
      </c>
      <c r="O43" s="22">
        <f t="shared" si="4"/>
        <v>4356</v>
      </c>
      <c r="P43" s="22">
        <v>0</v>
      </c>
      <c r="Q43" s="22">
        <v>0</v>
      </c>
      <c r="R43" s="22">
        <f t="shared" si="5"/>
        <v>86856</v>
      </c>
      <c r="S43" s="22">
        <f t="shared" si="6"/>
        <v>202356</v>
      </c>
    </row>
    <row r="44" spans="2:19" x14ac:dyDescent="0.25">
      <c r="B44" s="78">
        <f>MAX($B$8:B43)+1</f>
        <v>33</v>
      </c>
      <c r="C44" s="78" t="s">
        <v>53</v>
      </c>
      <c r="D44" s="23" t="s">
        <v>93</v>
      </c>
      <c r="E44" s="151" t="str">
        <f>'EP IS Restatements'!E44</f>
        <v>Travel, Education, CCR, and Public Relations</v>
      </c>
      <c r="F44" s="22">
        <f>'EP IS Restatements'!M44</f>
        <v>10246.19</v>
      </c>
      <c r="G44" s="22">
        <f>VLOOKUP($C44,'WP PF1'!$C$10:$F$127,4,FALSE)</f>
        <v>7318.7071428571417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3"/>
      <c r="N44" s="22">
        <v>0</v>
      </c>
      <c r="O44" s="22">
        <f t="shared" si="4"/>
        <v>386.4277371428571</v>
      </c>
      <c r="P44" s="22">
        <v>0</v>
      </c>
      <c r="Q44" s="22">
        <v>0</v>
      </c>
      <c r="R44" s="22">
        <f t="shared" si="5"/>
        <v>7705.1348799999987</v>
      </c>
      <c r="S44" s="22">
        <f t="shared" si="6"/>
        <v>17951.32488</v>
      </c>
    </row>
    <row r="45" spans="2:19" x14ac:dyDescent="0.25">
      <c r="B45" s="78">
        <f>MAX($B$8:B44)+1</f>
        <v>34</v>
      </c>
      <c r="C45" s="78" t="s">
        <v>54</v>
      </c>
      <c r="D45" s="23" t="s">
        <v>94</v>
      </c>
      <c r="E45" s="151" t="str">
        <f>'EP IS Restatements'!E45</f>
        <v>Travel, Education, CCR, and Public Relations</v>
      </c>
      <c r="F45" s="22">
        <f>'EP IS Restatements'!M45</f>
        <v>2364.04</v>
      </c>
      <c r="G45" s="22">
        <f>VLOOKUP($C45,'WP PF1'!$C$10:$F$127,4,FALSE)</f>
        <v>1688.6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3"/>
      <c r="N45" s="22">
        <v>0</v>
      </c>
      <c r="O45" s="22">
        <f t="shared" si="4"/>
        <v>89.158079999999998</v>
      </c>
      <c r="P45" s="22">
        <v>0</v>
      </c>
      <c r="Q45" s="22">
        <v>0</v>
      </c>
      <c r="R45" s="22">
        <f t="shared" si="5"/>
        <v>1777.7580799999998</v>
      </c>
      <c r="S45" s="22">
        <f t="shared" si="6"/>
        <v>4141.7980799999996</v>
      </c>
    </row>
    <row r="46" spans="2:19" x14ac:dyDescent="0.25">
      <c r="B46" s="78">
        <f>MAX($B$8:B45)+1</f>
        <v>35</v>
      </c>
      <c r="C46" s="78" t="s">
        <v>55</v>
      </c>
      <c r="D46" s="23" t="s">
        <v>95</v>
      </c>
      <c r="E46" s="151" t="str">
        <f>'EP IS Restatements'!E46</f>
        <v>Travel, Education, CCR, and Public Relations</v>
      </c>
      <c r="F46" s="22">
        <f>'EP IS Restatements'!M46</f>
        <v>0</v>
      </c>
      <c r="G46" s="22">
        <f>VLOOKUP($C46,'WP PF1'!$C$10:$F$127,4,FALSE)</f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3"/>
      <c r="N46" s="22">
        <v>0</v>
      </c>
      <c r="O46" s="22">
        <f t="shared" si="4"/>
        <v>0</v>
      </c>
      <c r="P46" s="22">
        <v>0</v>
      </c>
      <c r="Q46" s="22">
        <v>0</v>
      </c>
      <c r="R46" s="22">
        <f t="shared" si="5"/>
        <v>0</v>
      </c>
      <c r="S46" s="22">
        <f t="shared" si="6"/>
        <v>0</v>
      </c>
    </row>
    <row r="47" spans="2:19" x14ac:dyDescent="0.25">
      <c r="B47" s="78">
        <f>MAX($B$8:B46)+1</f>
        <v>36</v>
      </c>
      <c r="C47" s="78" t="s">
        <v>56</v>
      </c>
      <c r="D47" s="23" t="s">
        <v>96</v>
      </c>
      <c r="E47" s="151" t="str">
        <f>'EP IS Restatements'!E47</f>
        <v>Travel, Education, CCR, and Public Relations</v>
      </c>
      <c r="F47" s="22">
        <f>'EP IS Restatements'!M47</f>
        <v>4288.8999999999996</v>
      </c>
      <c r="G47" s="22">
        <f>VLOOKUP($C47,'WP PF1'!$C$10:$F$127,4,FALSE)</f>
        <v>3063.5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3"/>
      <c r="N47" s="22">
        <v>0</v>
      </c>
      <c r="O47" s="22">
        <f t="shared" si="4"/>
        <v>161.75279999999998</v>
      </c>
      <c r="P47" s="22">
        <v>0</v>
      </c>
      <c r="Q47" s="22">
        <v>0</v>
      </c>
      <c r="R47" s="22">
        <f t="shared" si="5"/>
        <v>3225.2528000000002</v>
      </c>
      <c r="S47" s="22">
        <f t="shared" si="6"/>
        <v>7514.1527999999998</v>
      </c>
    </row>
    <row r="48" spans="2:19" x14ac:dyDescent="0.25">
      <c r="B48" s="78">
        <f>MAX($B$8:B47)+1</f>
        <v>37</v>
      </c>
      <c r="C48" s="78" t="s">
        <v>57</v>
      </c>
      <c r="D48" s="23" t="s">
        <v>97</v>
      </c>
      <c r="E48" s="151" t="str">
        <f>'EP IS Restatements'!E48</f>
        <v>Travel, Education, CCR, and Public Relations</v>
      </c>
      <c r="F48" s="22">
        <f>'EP IS Restatements'!M48</f>
        <v>0</v>
      </c>
      <c r="G48" s="22">
        <f>VLOOKUP($C48,'WP PF1'!$C$10:$F$127,4,FALSE)</f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3"/>
      <c r="N48" s="22">
        <v>0</v>
      </c>
      <c r="O48" s="22">
        <f t="shared" si="4"/>
        <v>0</v>
      </c>
      <c r="P48" s="22">
        <v>0</v>
      </c>
      <c r="Q48" s="22">
        <v>0</v>
      </c>
      <c r="R48" s="22">
        <f t="shared" si="5"/>
        <v>0</v>
      </c>
      <c r="S48" s="22">
        <f t="shared" si="6"/>
        <v>0</v>
      </c>
    </row>
    <row r="49" spans="2:19" x14ac:dyDescent="0.25">
      <c r="B49" s="78">
        <f>MAX($B$8:B48)+1</f>
        <v>38</v>
      </c>
      <c r="C49" s="78" t="s">
        <v>58</v>
      </c>
      <c r="D49" s="23" t="s">
        <v>98</v>
      </c>
      <c r="E49" s="151" t="str">
        <f>'EP IS Restatements'!E49</f>
        <v>Material &amp; Supplies</v>
      </c>
      <c r="F49" s="22">
        <f>'EP IS Restatements'!M49</f>
        <v>0</v>
      </c>
      <c r="G49" s="22">
        <f>VLOOKUP($C49,'WP PF1'!$C$10:$F$127,4,FALSE)</f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3"/>
      <c r="N49" s="22">
        <v>0</v>
      </c>
      <c r="O49" s="22">
        <f t="shared" si="4"/>
        <v>0</v>
      </c>
      <c r="P49" s="22">
        <v>0</v>
      </c>
      <c r="Q49" s="22">
        <v>0</v>
      </c>
      <c r="R49" s="22">
        <f t="shared" si="5"/>
        <v>0</v>
      </c>
      <c r="S49" s="22">
        <f t="shared" si="6"/>
        <v>0</v>
      </c>
    </row>
    <row r="50" spans="2:19" x14ac:dyDescent="0.25">
      <c r="B50" s="78">
        <f>MAX($B$8:B49)+1</f>
        <v>39</v>
      </c>
      <c r="C50" s="78" t="s">
        <v>59</v>
      </c>
      <c r="D50" s="23" t="s">
        <v>99</v>
      </c>
      <c r="E50" s="151" t="str">
        <f>'EP IS Restatements'!E50</f>
        <v>Insurance - Vehicle, General Liability, Workman's Comp.</v>
      </c>
      <c r="F50" s="22">
        <f>'EP IS Restatements'!M50</f>
        <v>12148.768333333332</v>
      </c>
      <c r="G50" s="22">
        <f>VLOOKUP($C50,'WP PF1'!$C$10:$F$127,4,FALSE)</f>
        <v>8677.6916666666639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3"/>
      <c r="N50" s="22">
        <v>0</v>
      </c>
      <c r="O50" s="22">
        <f t="shared" si="4"/>
        <v>458.18211999999988</v>
      </c>
      <c r="P50" s="22">
        <v>0</v>
      </c>
      <c r="Q50" s="22">
        <v>0</v>
      </c>
      <c r="R50" s="22">
        <f t="shared" si="5"/>
        <v>9135.8737866666634</v>
      </c>
      <c r="S50" s="22">
        <f t="shared" si="6"/>
        <v>21284.642119999997</v>
      </c>
    </row>
    <row r="51" spans="2:19" x14ac:dyDescent="0.25">
      <c r="B51" s="78">
        <f>MAX($B$8:B50)+1</f>
        <v>40</v>
      </c>
      <c r="C51" s="78" t="s">
        <v>60</v>
      </c>
      <c r="D51" s="23" t="s">
        <v>100</v>
      </c>
      <c r="E51" s="151" t="str">
        <f>'EP IS Restatements'!E51</f>
        <v>Travel, Education, CCR, and Public Relations</v>
      </c>
      <c r="F51" s="22">
        <f>'EP IS Restatements'!M51</f>
        <v>9677.2999999999993</v>
      </c>
      <c r="G51" s="22">
        <f>VLOOKUP($C51,'WP PF1'!$C$10:$F$127,4,FALSE)</f>
        <v>6912.3571428571413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3"/>
      <c r="N51" s="22">
        <v>0</v>
      </c>
      <c r="O51" s="22">
        <f t="shared" si="4"/>
        <v>364.97245714285708</v>
      </c>
      <c r="P51" s="22">
        <v>0</v>
      </c>
      <c r="Q51" s="22">
        <v>0</v>
      </c>
      <c r="R51" s="22">
        <f t="shared" si="5"/>
        <v>7277.3295999999982</v>
      </c>
      <c r="S51" s="22">
        <f t="shared" si="6"/>
        <v>16954.629599999997</v>
      </c>
    </row>
    <row r="52" spans="2:19" x14ac:dyDescent="0.25">
      <c r="B52" s="78">
        <f>MAX($B$8:B51)+1</f>
        <v>41</v>
      </c>
      <c r="C52" s="78" t="s">
        <v>61</v>
      </c>
      <c r="D52" s="23" t="s">
        <v>101</v>
      </c>
      <c r="E52" s="151" t="str">
        <f>'EP IS Restatements'!E52</f>
        <v>Insurance - Vehicle, General Liability, Workman's Comp.</v>
      </c>
      <c r="F52" s="22">
        <f>'EP IS Restatements'!M52</f>
        <v>4407.2000000000007</v>
      </c>
      <c r="G52" s="22">
        <f>VLOOKUP($C52,'WP PF1'!$C$10:$F$127,4,FALSE)</f>
        <v>3148.0000000000009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3"/>
      <c r="N52" s="22">
        <v>0</v>
      </c>
      <c r="O52" s="22">
        <f t="shared" si="4"/>
        <v>166.21440000000004</v>
      </c>
      <c r="P52" s="22">
        <v>0</v>
      </c>
      <c r="Q52" s="22">
        <v>0</v>
      </c>
      <c r="R52" s="22">
        <f t="shared" si="5"/>
        <v>3314.2144000000008</v>
      </c>
      <c r="S52" s="22">
        <f t="shared" si="6"/>
        <v>7721.4144000000015</v>
      </c>
    </row>
    <row r="53" spans="2:19" x14ac:dyDescent="0.25">
      <c r="B53" s="78">
        <f>MAX($B$8:B52)+1</f>
        <v>42</v>
      </c>
      <c r="C53" s="78" t="s">
        <v>62</v>
      </c>
      <c r="D53" s="23" t="s">
        <v>102</v>
      </c>
      <c r="E53" s="151" t="str">
        <f>'EP IS Restatements'!E53</f>
        <v>Salary and Wages - Employees</v>
      </c>
      <c r="F53" s="22">
        <f>'EP IS Restatements'!M53</f>
        <v>130512.62</v>
      </c>
      <c r="G53" s="22">
        <f>VLOOKUP($C53,'WP PF1'!$C$10:$F$127,4,FALSE)</f>
        <v>93223.299999999988</v>
      </c>
      <c r="H53" s="22">
        <v>0</v>
      </c>
      <c r="I53" s="22">
        <v>0</v>
      </c>
      <c r="J53" s="22">
        <f>SUM(F53:I53)*0.032</f>
        <v>7159.5494399999998</v>
      </c>
      <c r="K53" s="22">
        <v>0</v>
      </c>
      <c r="L53" s="22">
        <v>0</v>
      </c>
      <c r="M53" s="23"/>
      <c r="N53" s="22">
        <v>0</v>
      </c>
      <c r="O53" s="22">
        <f t="shared" si="4"/>
        <v>0</v>
      </c>
      <c r="P53" s="22">
        <v>0</v>
      </c>
      <c r="Q53" s="22">
        <v>0</v>
      </c>
      <c r="R53" s="22">
        <f t="shared" si="5"/>
        <v>100382.84943999999</v>
      </c>
      <c r="S53" s="22">
        <f t="shared" si="6"/>
        <v>230895.46943999999</v>
      </c>
    </row>
    <row r="54" spans="2:19" x14ac:dyDescent="0.25">
      <c r="B54" s="78">
        <f>MAX($B$8:B53)+1</f>
        <v>43</v>
      </c>
      <c r="C54" s="78" t="s">
        <v>63</v>
      </c>
      <c r="D54" s="23" t="s">
        <v>103</v>
      </c>
      <c r="E54" s="151" t="str">
        <f>'EP IS Restatements'!E54</f>
        <v>Employee Pensions and Benefits</v>
      </c>
      <c r="F54" s="22">
        <f>'EP IS Restatements'!M54</f>
        <v>0</v>
      </c>
      <c r="G54" s="22">
        <f>VLOOKUP($C54,'WP PF1'!$C$10:$F$127,4,FALSE)</f>
        <v>0</v>
      </c>
      <c r="H54" s="22">
        <v>0</v>
      </c>
      <c r="I54" s="22">
        <v>0</v>
      </c>
      <c r="J54" s="22">
        <f t="shared" ref="J54:J58" si="7">SUM(F54:I54)*0.029</f>
        <v>0</v>
      </c>
      <c r="K54" s="22">
        <v>0</v>
      </c>
      <c r="L54" s="22">
        <v>0</v>
      </c>
      <c r="M54" s="23"/>
      <c r="N54" s="22">
        <v>0</v>
      </c>
      <c r="O54" s="22">
        <f t="shared" si="4"/>
        <v>0</v>
      </c>
      <c r="P54" s="22">
        <v>0</v>
      </c>
      <c r="Q54" s="22">
        <v>0</v>
      </c>
      <c r="R54" s="22">
        <f t="shared" si="5"/>
        <v>0</v>
      </c>
      <c r="S54" s="22">
        <f t="shared" si="6"/>
        <v>0</v>
      </c>
    </row>
    <row r="55" spans="2:19" x14ac:dyDescent="0.25">
      <c r="B55" s="78">
        <f>MAX($B$8:B54)+1</f>
        <v>44</v>
      </c>
      <c r="C55" s="78" t="s">
        <v>64</v>
      </c>
      <c r="D55" s="23" t="s">
        <v>104</v>
      </c>
      <c r="E55" s="151" t="str">
        <f>'EP IS Restatements'!E55</f>
        <v>Employee Pensions and Benefits</v>
      </c>
      <c r="F55" s="22">
        <f>'EP IS Restatements'!M55</f>
        <v>0</v>
      </c>
      <c r="G55" s="22">
        <f>VLOOKUP($C55,'WP PF1'!$C$10:$F$127,4,FALSE)</f>
        <v>0</v>
      </c>
      <c r="H55" s="22">
        <v>0</v>
      </c>
      <c r="I55" s="22">
        <v>0</v>
      </c>
      <c r="J55" s="22">
        <f t="shared" si="7"/>
        <v>0</v>
      </c>
      <c r="K55" s="22">
        <v>0</v>
      </c>
      <c r="L55" s="22">
        <v>0</v>
      </c>
      <c r="M55" s="23"/>
      <c r="N55" s="22">
        <v>0</v>
      </c>
      <c r="O55" s="22">
        <f t="shared" si="4"/>
        <v>0</v>
      </c>
      <c r="P55" s="22">
        <v>0</v>
      </c>
      <c r="Q55" s="22">
        <v>0</v>
      </c>
      <c r="R55" s="22">
        <f t="shared" si="5"/>
        <v>0</v>
      </c>
      <c r="S55" s="22">
        <f t="shared" si="6"/>
        <v>0</v>
      </c>
    </row>
    <row r="56" spans="2:19" x14ac:dyDescent="0.25">
      <c r="B56" s="78">
        <f>MAX($B$8:B55)+1</f>
        <v>45</v>
      </c>
      <c r="C56" s="78" t="s">
        <v>65</v>
      </c>
      <c r="D56" s="23" t="s">
        <v>105</v>
      </c>
      <c r="E56" s="151" t="str">
        <f>'EP IS Restatements'!E56</f>
        <v>Employee Pensions and Benefits</v>
      </c>
      <c r="F56" s="22">
        <f>'EP IS Restatements'!M56</f>
        <v>0</v>
      </c>
      <c r="G56" s="22">
        <f>VLOOKUP($C56,'WP PF1'!$C$10:$F$127,4,FALSE)</f>
        <v>0</v>
      </c>
      <c r="H56" s="22">
        <v>0</v>
      </c>
      <c r="I56" s="22">
        <v>0</v>
      </c>
      <c r="J56" s="22">
        <f t="shared" si="7"/>
        <v>0</v>
      </c>
      <c r="K56" s="22">
        <v>0</v>
      </c>
      <c r="L56" s="22">
        <v>0</v>
      </c>
      <c r="M56" s="23"/>
      <c r="N56" s="22">
        <v>0</v>
      </c>
      <c r="O56" s="22">
        <f t="shared" si="4"/>
        <v>0</v>
      </c>
      <c r="P56" s="22">
        <v>0</v>
      </c>
      <c r="Q56" s="22">
        <v>0</v>
      </c>
      <c r="R56" s="22">
        <f t="shared" si="5"/>
        <v>0</v>
      </c>
      <c r="S56" s="22">
        <f t="shared" si="6"/>
        <v>0</v>
      </c>
    </row>
    <row r="57" spans="2:19" x14ac:dyDescent="0.25">
      <c r="B57" s="78">
        <f>MAX($B$8:B56)+1</f>
        <v>46</v>
      </c>
      <c r="C57" s="78" t="s">
        <v>66</v>
      </c>
      <c r="D57" s="23" t="s">
        <v>106</v>
      </c>
      <c r="E57" s="151" t="str">
        <f>'EP IS Restatements'!E57</f>
        <v>Employee Pensions and Benefits</v>
      </c>
      <c r="F57" s="22">
        <f>'EP IS Restatements'!M57</f>
        <v>0</v>
      </c>
      <c r="G57" s="22">
        <f>VLOOKUP($C57,'WP PF1'!$C$10:$F$127,4,FALSE)</f>
        <v>0</v>
      </c>
      <c r="H57" s="22">
        <v>0</v>
      </c>
      <c r="I57" s="22">
        <v>0</v>
      </c>
      <c r="J57" s="22">
        <f t="shared" si="7"/>
        <v>0</v>
      </c>
      <c r="K57" s="22">
        <v>0</v>
      </c>
      <c r="L57" s="22">
        <v>0</v>
      </c>
      <c r="M57" s="23"/>
      <c r="N57" s="22">
        <v>0</v>
      </c>
      <c r="O57" s="22">
        <f t="shared" si="4"/>
        <v>0</v>
      </c>
      <c r="P57" s="22">
        <v>0</v>
      </c>
      <c r="Q57" s="22">
        <v>0</v>
      </c>
      <c r="R57" s="22">
        <f t="shared" si="5"/>
        <v>0</v>
      </c>
      <c r="S57" s="22">
        <f t="shared" si="6"/>
        <v>0</v>
      </c>
    </row>
    <row r="58" spans="2:19" x14ac:dyDescent="0.25">
      <c r="B58" s="78">
        <f>MAX($B$8:B57)+1</f>
        <v>47</v>
      </c>
      <c r="C58" s="78" t="s">
        <v>67</v>
      </c>
      <c r="D58" s="23" t="s">
        <v>107</v>
      </c>
      <c r="E58" s="151" t="str">
        <f>'EP IS Restatements'!E58</f>
        <v>Employee Pensions and Benefits</v>
      </c>
      <c r="F58" s="22">
        <f>'EP IS Restatements'!M58</f>
        <v>0</v>
      </c>
      <c r="G58" s="22">
        <f>VLOOKUP($C58,'WP PF1'!$C$10:$F$127,4,FALSE)</f>
        <v>0</v>
      </c>
      <c r="H58" s="22">
        <v>0</v>
      </c>
      <c r="I58" s="22">
        <v>0</v>
      </c>
      <c r="J58" s="22">
        <f t="shared" si="7"/>
        <v>0</v>
      </c>
      <c r="K58" s="22">
        <v>0</v>
      </c>
      <c r="L58" s="22">
        <v>0</v>
      </c>
      <c r="M58" s="23"/>
      <c r="N58" s="22">
        <v>0</v>
      </c>
      <c r="O58" s="22">
        <f t="shared" si="4"/>
        <v>0</v>
      </c>
      <c r="P58" s="22">
        <v>0</v>
      </c>
      <c r="Q58" s="22">
        <v>0</v>
      </c>
      <c r="R58" s="22">
        <f t="shared" si="5"/>
        <v>0</v>
      </c>
      <c r="S58" s="22">
        <f t="shared" si="6"/>
        <v>0</v>
      </c>
    </row>
    <row r="59" spans="2:19" x14ac:dyDescent="0.25">
      <c r="B59" s="78">
        <f>MAX($B$8:B58)+1</f>
        <v>48</v>
      </c>
      <c r="C59" s="78" t="s">
        <v>68</v>
      </c>
      <c r="D59" s="23" t="s">
        <v>108</v>
      </c>
      <c r="E59" s="151" t="str">
        <f>'EP IS Restatements'!E59</f>
        <v>Employee Pensions and Benefits</v>
      </c>
      <c r="F59" s="22">
        <f>'EP IS Restatements'!M59</f>
        <v>689810.07</v>
      </c>
      <c r="G59" s="22">
        <f>VLOOKUP($C59,'WP PF1'!$C$10:$F$127,4,FALSE)</f>
        <v>492721.47857142857</v>
      </c>
      <c r="H59" s="22">
        <v>0</v>
      </c>
      <c r="I59" s="22">
        <v>0</v>
      </c>
      <c r="J59" s="22">
        <f>SUM(F59:I59)*0.032</f>
        <v>37841.009554285716</v>
      </c>
      <c r="K59" s="22">
        <f>'WP PF6'!N33</f>
        <v>190134.41820850692</v>
      </c>
      <c r="L59" s="22">
        <v>0</v>
      </c>
      <c r="M59" s="23"/>
      <c r="N59" s="22">
        <v>0</v>
      </c>
      <c r="O59" s="22">
        <f t="shared" si="4"/>
        <v>0</v>
      </c>
      <c r="P59" s="22">
        <v>0</v>
      </c>
      <c r="Q59" s="22">
        <v>0</v>
      </c>
      <c r="R59" s="22">
        <f t="shared" si="5"/>
        <v>720696.90633422113</v>
      </c>
      <c r="S59" s="22">
        <f t="shared" si="6"/>
        <v>1410506.9763342212</v>
      </c>
    </row>
    <row r="60" spans="2:19" x14ac:dyDescent="0.25">
      <c r="B60" s="78">
        <f>MAX($B$8:B59)+1</f>
        <v>49</v>
      </c>
      <c r="C60" s="78" t="s">
        <v>69</v>
      </c>
      <c r="D60" s="23" t="s">
        <v>109</v>
      </c>
      <c r="E60" s="151" t="str">
        <f>'EP IS Restatements'!E60</f>
        <v>Salary and Wages - Employees</v>
      </c>
      <c r="F60" s="22">
        <f>'EP IS Restatements'!M60</f>
        <v>0</v>
      </c>
      <c r="G60" s="22">
        <f>VLOOKUP($C60,'WP PF1'!$C$10:$F$127,4,FALSE)</f>
        <v>0</v>
      </c>
      <c r="H60" s="22">
        <v>0</v>
      </c>
      <c r="I60" s="22">
        <v>0</v>
      </c>
      <c r="J60" s="23"/>
      <c r="K60" s="22">
        <v>0</v>
      </c>
      <c r="L60" s="22">
        <v>0</v>
      </c>
      <c r="M60" s="23"/>
      <c r="N60" s="22">
        <v>0</v>
      </c>
      <c r="O60" s="22">
        <f t="shared" si="4"/>
        <v>0</v>
      </c>
      <c r="P60" s="22">
        <v>0</v>
      </c>
      <c r="Q60" s="22">
        <v>0</v>
      </c>
      <c r="R60" s="22">
        <f t="shared" si="5"/>
        <v>0</v>
      </c>
      <c r="S60" s="22">
        <f t="shared" si="6"/>
        <v>0</v>
      </c>
    </row>
    <row r="61" spans="2:19" x14ac:dyDescent="0.25">
      <c r="B61" s="78">
        <f>MAX($B$8:B60)+1</f>
        <v>50</v>
      </c>
      <c r="C61" s="78" t="s">
        <v>70</v>
      </c>
      <c r="D61" s="23" t="s">
        <v>110</v>
      </c>
      <c r="E61" s="151" t="str">
        <f>'EP IS Restatements'!E61</f>
        <v>Salary and Wages - Employees</v>
      </c>
      <c r="F61" s="22">
        <f>'EP IS Restatements'!M61</f>
        <v>0</v>
      </c>
      <c r="G61" s="22">
        <f>VLOOKUP($C61,'WP PF1'!$C$10:$F$127,4,FALSE)</f>
        <v>0</v>
      </c>
      <c r="H61" s="22">
        <v>0</v>
      </c>
      <c r="I61" s="22">
        <v>0</v>
      </c>
      <c r="J61" s="23"/>
      <c r="K61" s="22">
        <v>0</v>
      </c>
      <c r="L61" s="22">
        <v>0</v>
      </c>
      <c r="M61" s="23"/>
      <c r="N61" s="22">
        <v>0</v>
      </c>
      <c r="O61" s="22">
        <f t="shared" si="4"/>
        <v>0</v>
      </c>
      <c r="P61" s="22">
        <v>0</v>
      </c>
      <c r="Q61" s="22">
        <v>0</v>
      </c>
      <c r="R61" s="22">
        <f t="shared" si="5"/>
        <v>0</v>
      </c>
      <c r="S61" s="22">
        <f t="shared" si="6"/>
        <v>0</v>
      </c>
    </row>
    <row r="62" spans="2:19" x14ac:dyDescent="0.25">
      <c r="B62" s="78">
        <f>MAX($B$8:B61)+1</f>
        <v>51</v>
      </c>
      <c r="C62" s="78" t="s">
        <v>71</v>
      </c>
      <c r="D62" s="23" t="s">
        <v>111</v>
      </c>
      <c r="E62" s="151" t="str">
        <f>'EP IS Restatements'!E62</f>
        <v>Regulatory Commission Expenses - Fees</v>
      </c>
      <c r="F62" s="22">
        <f>'EP IS Restatements'!M62</f>
        <v>0</v>
      </c>
      <c r="G62" s="22">
        <f>VLOOKUP($C62,'WP PF1'!$C$10:$F$127,4,FALSE)</f>
        <v>0</v>
      </c>
      <c r="H62" s="22">
        <v>0</v>
      </c>
      <c r="I62" s="22">
        <v>0</v>
      </c>
      <c r="J62" s="23"/>
      <c r="K62" s="22">
        <v>0</v>
      </c>
      <c r="L62" s="22">
        <v>0</v>
      </c>
      <c r="M62" s="23"/>
      <c r="N62" s="22">
        <v>0</v>
      </c>
      <c r="O62" s="22">
        <f t="shared" si="4"/>
        <v>0</v>
      </c>
      <c r="P62" s="22">
        <v>0</v>
      </c>
      <c r="Q62" s="22">
        <v>0</v>
      </c>
      <c r="R62" s="22">
        <f t="shared" si="5"/>
        <v>0</v>
      </c>
      <c r="S62" s="22">
        <f t="shared" si="6"/>
        <v>0</v>
      </c>
    </row>
    <row r="63" spans="2:19" x14ac:dyDescent="0.25">
      <c r="B63" s="78">
        <f>MAX($B$8:B62)+1</f>
        <v>52</v>
      </c>
      <c r="C63" s="78" t="s">
        <v>71</v>
      </c>
      <c r="D63" s="23" t="s">
        <v>530</v>
      </c>
      <c r="E63" s="151" t="str">
        <f>'EP IS Restatements'!E63</f>
        <v>Regulatory Commission Expenses - Fees</v>
      </c>
      <c r="F63" s="22">
        <f>'EP IS Restatements'!M63</f>
        <v>0</v>
      </c>
      <c r="G63" s="22">
        <f>VLOOKUP($C63,'WP PF1'!$C$10:$F$127,4,FALSE)</f>
        <v>0</v>
      </c>
      <c r="H63" s="22">
        <v>0</v>
      </c>
      <c r="I63" s="22">
        <v>0</v>
      </c>
      <c r="J63" s="23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f>'WP PF12'!D16</f>
        <v>18902.166666666668</v>
      </c>
      <c r="R63" s="22">
        <f t="shared" si="5"/>
        <v>18902.166666666668</v>
      </c>
      <c r="S63" s="22">
        <f t="shared" si="6"/>
        <v>18902.166666666668</v>
      </c>
    </row>
    <row r="64" spans="2:19" x14ac:dyDescent="0.25">
      <c r="B64" s="78">
        <f>MAX($B$8:B62)+1</f>
        <v>52</v>
      </c>
      <c r="C64" s="78" t="s">
        <v>72</v>
      </c>
      <c r="D64" s="23" t="s">
        <v>112</v>
      </c>
      <c r="E64" s="151" t="str">
        <f>'EP IS Restatements'!E64</f>
        <v>Contractual Legal</v>
      </c>
      <c r="F64" s="22">
        <f>'EP IS Restatements'!M64</f>
        <v>0</v>
      </c>
      <c r="G64" s="22">
        <f>VLOOKUP($C64,'WP PF1'!$C$10:$F$127,4,FALSE)</f>
        <v>0</v>
      </c>
      <c r="H64" s="22">
        <v>0</v>
      </c>
      <c r="I64" s="22">
        <v>0</v>
      </c>
      <c r="J64" s="23"/>
      <c r="K64" s="22">
        <v>0</v>
      </c>
      <c r="L64" s="22">
        <v>0</v>
      </c>
      <c r="M64" s="23"/>
      <c r="N64" s="22">
        <v>0</v>
      </c>
      <c r="O64" s="22">
        <f t="shared" ref="O64:O95" si="8">IF(SUM(J64:M64)=0,SUM(F64:M64)*0.022,0)</f>
        <v>0</v>
      </c>
      <c r="P64" s="22">
        <v>0</v>
      </c>
      <c r="Q64" s="22">
        <v>0</v>
      </c>
      <c r="R64" s="22">
        <f t="shared" si="5"/>
        <v>0</v>
      </c>
      <c r="S64" s="22">
        <f t="shared" si="6"/>
        <v>0</v>
      </c>
    </row>
    <row r="65" spans="2:19" x14ac:dyDescent="0.25">
      <c r="B65" s="78">
        <f>MAX($B$8:B64)+1</f>
        <v>53</v>
      </c>
      <c r="C65" s="78" t="s">
        <v>73</v>
      </c>
      <c r="D65" s="23" t="s">
        <v>113</v>
      </c>
      <c r="E65" s="151" t="str">
        <f>'EP IS Restatements'!E65</f>
        <v>Contractual Operations</v>
      </c>
      <c r="F65" s="22">
        <f>'EP IS Restatements'!M65</f>
        <v>4431.9467500000028</v>
      </c>
      <c r="G65" s="22">
        <f>VLOOKUP($C65,'WP PF1'!$C$10:$F$127,4,FALSE)</f>
        <v>3165.6762500000023</v>
      </c>
      <c r="H65" s="22">
        <v>0</v>
      </c>
      <c r="I65" s="22">
        <v>0</v>
      </c>
      <c r="J65" s="23"/>
      <c r="K65" s="22">
        <v>0</v>
      </c>
      <c r="L65" s="22">
        <v>0</v>
      </c>
      <c r="M65" s="23"/>
      <c r="N65" s="22">
        <v>0</v>
      </c>
      <c r="O65" s="22">
        <f t="shared" si="8"/>
        <v>167.14770600000011</v>
      </c>
      <c r="P65" s="22">
        <v>0</v>
      </c>
      <c r="Q65" s="22">
        <v>0</v>
      </c>
      <c r="R65" s="22">
        <f t="shared" ref="R65:R96" si="9">SUM(G65:Q65)</f>
        <v>3332.8239560000025</v>
      </c>
      <c r="S65" s="22">
        <f t="shared" ref="S65:S96" si="10">F65+R65</f>
        <v>7764.7707060000048</v>
      </c>
    </row>
    <row r="66" spans="2:19" x14ac:dyDescent="0.25">
      <c r="B66" s="78">
        <f>MAX($B$8:B65)+1</f>
        <v>54</v>
      </c>
      <c r="C66" s="78" t="s">
        <v>74</v>
      </c>
      <c r="D66" s="23" t="s">
        <v>114</v>
      </c>
      <c r="E66" s="151" t="str">
        <f>'EP IS Restatements'!E66</f>
        <v>Travel, Education, CCR, and Public Relations</v>
      </c>
      <c r="F66" s="22">
        <f>'EP IS Restatements'!M66</f>
        <v>0</v>
      </c>
      <c r="G66" s="22">
        <f>VLOOKUP($C66,'WP PF1'!$C$10:$F$127,4,FALSE)</f>
        <v>0</v>
      </c>
      <c r="H66" s="22">
        <v>0</v>
      </c>
      <c r="I66" s="22">
        <v>0</v>
      </c>
      <c r="J66" s="23"/>
      <c r="K66" s="22">
        <v>0</v>
      </c>
      <c r="L66" s="22">
        <v>0</v>
      </c>
      <c r="M66" s="23"/>
      <c r="N66" s="22">
        <v>0</v>
      </c>
      <c r="O66" s="22">
        <f t="shared" si="8"/>
        <v>0</v>
      </c>
      <c r="P66" s="22">
        <v>0</v>
      </c>
      <c r="Q66" s="22">
        <v>0</v>
      </c>
      <c r="R66" s="22">
        <f t="shared" si="9"/>
        <v>0</v>
      </c>
      <c r="S66" s="22">
        <f t="shared" si="10"/>
        <v>0</v>
      </c>
    </row>
    <row r="67" spans="2:19" x14ac:dyDescent="0.25">
      <c r="B67" s="78">
        <f>MAX($B$8:B66)+1</f>
        <v>55</v>
      </c>
      <c r="C67" s="78" t="s">
        <v>75</v>
      </c>
      <c r="D67" s="23" t="s">
        <v>115</v>
      </c>
      <c r="E67" s="151" t="str">
        <f>'EP IS Restatements'!E67</f>
        <v>Travel, Education, CCR, and Public Relations</v>
      </c>
      <c r="F67" s="22">
        <f>'EP IS Restatements'!M67</f>
        <v>0</v>
      </c>
      <c r="G67" s="22">
        <f>VLOOKUP($C67,'WP PF1'!$C$10:$F$127,4,FALSE)</f>
        <v>0</v>
      </c>
      <c r="H67" s="22">
        <v>0</v>
      </c>
      <c r="I67" s="22">
        <v>0</v>
      </c>
      <c r="J67" s="23"/>
      <c r="K67" s="22">
        <v>0</v>
      </c>
      <c r="L67" s="22">
        <v>0</v>
      </c>
      <c r="M67" s="23"/>
      <c r="N67" s="22">
        <v>0</v>
      </c>
      <c r="O67" s="22">
        <f t="shared" si="8"/>
        <v>0</v>
      </c>
      <c r="P67" s="22">
        <v>0</v>
      </c>
      <c r="Q67" s="22">
        <v>0</v>
      </c>
      <c r="R67" s="22">
        <f t="shared" si="9"/>
        <v>0</v>
      </c>
      <c r="S67" s="22">
        <f t="shared" si="10"/>
        <v>0</v>
      </c>
    </row>
    <row r="68" spans="2:19" x14ac:dyDescent="0.25">
      <c r="B68" s="78">
        <f>MAX($B$8:B67)+1</f>
        <v>56</v>
      </c>
      <c r="C68" s="78" t="s">
        <v>76</v>
      </c>
      <c r="D68" s="23" t="s">
        <v>116</v>
      </c>
      <c r="E68" s="151" t="str">
        <f>'EP IS Restatements'!E68</f>
        <v>Office, Postage, Phone, and Bank Charges</v>
      </c>
      <c r="F68" s="22">
        <f>'EP IS Restatements'!M68</f>
        <v>315.13</v>
      </c>
      <c r="G68" s="22">
        <f>VLOOKUP($C68,'WP PF1'!$C$10:$F$127,4,FALSE)</f>
        <v>225.09285714285716</v>
      </c>
      <c r="H68" s="22">
        <v>0</v>
      </c>
      <c r="I68" s="22">
        <v>0</v>
      </c>
      <c r="J68" s="23"/>
      <c r="K68" s="22">
        <v>0</v>
      </c>
      <c r="L68" s="22">
        <v>0</v>
      </c>
      <c r="M68" s="23"/>
      <c r="N68" s="22">
        <v>0</v>
      </c>
      <c r="O68" s="22">
        <f t="shared" si="8"/>
        <v>11.884902857142857</v>
      </c>
      <c r="P68" s="22">
        <v>0</v>
      </c>
      <c r="Q68" s="22">
        <v>0</v>
      </c>
      <c r="R68" s="22">
        <f t="shared" si="9"/>
        <v>236.97776000000002</v>
      </c>
      <c r="S68" s="22">
        <f t="shared" si="10"/>
        <v>552.10775999999998</v>
      </c>
    </row>
    <row r="69" spans="2:19" x14ac:dyDescent="0.25">
      <c r="B69" s="78">
        <f>MAX($B$8:B68)+1</f>
        <v>57</v>
      </c>
      <c r="C69" s="78" t="s">
        <v>77</v>
      </c>
      <c r="D69" s="23" t="s">
        <v>117</v>
      </c>
      <c r="E69" s="151" t="str">
        <f>'EP IS Restatements'!E69</f>
        <v>Salary and Wages - Employees</v>
      </c>
      <c r="F69" s="22">
        <f>'EP IS Restatements'!M69</f>
        <v>0</v>
      </c>
      <c r="G69" s="22">
        <f>VLOOKUP($C69,'WP PF1'!$C$10:$F$127,4,FALSE)</f>
        <v>0</v>
      </c>
      <c r="H69" s="22">
        <v>0</v>
      </c>
      <c r="I69" s="22">
        <v>0</v>
      </c>
      <c r="J69" s="22">
        <f t="shared" ref="J69" si="11">SUM(F69:I69)*0.029</f>
        <v>0</v>
      </c>
      <c r="K69" s="22">
        <v>0</v>
      </c>
      <c r="L69" s="22">
        <v>0</v>
      </c>
      <c r="M69" s="23"/>
      <c r="N69" s="22">
        <v>0</v>
      </c>
      <c r="O69" s="22">
        <f t="shared" si="8"/>
        <v>0</v>
      </c>
      <c r="P69" s="22">
        <v>0</v>
      </c>
      <c r="Q69" s="22">
        <v>0</v>
      </c>
      <c r="R69" s="22">
        <f t="shared" si="9"/>
        <v>0</v>
      </c>
      <c r="S69" s="22">
        <f t="shared" si="10"/>
        <v>0</v>
      </c>
    </row>
    <row r="70" spans="2:19" x14ac:dyDescent="0.25">
      <c r="B70" s="78">
        <f>MAX($B$8:B69)+1</f>
        <v>58</v>
      </c>
      <c r="C70" s="78" t="s">
        <v>78</v>
      </c>
      <c r="D70" s="23" t="s">
        <v>118</v>
      </c>
      <c r="E70" s="151" t="str">
        <f>'EP IS Restatements'!E70</f>
        <v>Employee Pensions and Benefits</v>
      </c>
      <c r="F70" s="22">
        <f>'EP IS Restatements'!M70</f>
        <v>0</v>
      </c>
      <c r="G70" s="22">
        <f>VLOOKUP($C70,'WP PF1'!$C$10:$F$127,4,FALSE)</f>
        <v>0</v>
      </c>
      <c r="H70" s="22">
        <v>0</v>
      </c>
      <c r="I70" s="22">
        <v>0</v>
      </c>
      <c r="J70" s="22">
        <f t="shared" ref="J70" si="12">SUM(F70:I70)*0.029</f>
        <v>0</v>
      </c>
      <c r="K70" s="22">
        <v>0</v>
      </c>
      <c r="L70" s="22">
        <v>0</v>
      </c>
      <c r="M70" s="23"/>
      <c r="N70" s="22">
        <v>0</v>
      </c>
      <c r="O70" s="22">
        <f t="shared" si="8"/>
        <v>0</v>
      </c>
      <c r="P70" s="22">
        <v>0</v>
      </c>
      <c r="Q70" s="22">
        <v>0</v>
      </c>
      <c r="R70" s="22">
        <f t="shared" si="9"/>
        <v>0</v>
      </c>
      <c r="S70" s="22">
        <f t="shared" si="10"/>
        <v>0</v>
      </c>
    </row>
    <row r="71" spans="2:19" x14ac:dyDescent="0.25">
      <c r="B71" s="78">
        <f>MAX($B$8:B70)+1</f>
        <v>59</v>
      </c>
      <c r="C71" s="78" t="s">
        <v>79</v>
      </c>
      <c r="D71" s="23" t="s">
        <v>119</v>
      </c>
      <c r="E71" s="151" t="str">
        <f>'EP IS Restatements'!E71</f>
        <v>Office, Postage, Phone, and Bank Charges</v>
      </c>
      <c r="F71" s="22">
        <f>'EP IS Restatements'!M71</f>
        <v>1372.97</v>
      </c>
      <c r="G71" s="22">
        <f>VLOOKUP($C71,'WP PF1'!$C$10:$F$127,4,FALSE)</f>
        <v>980.69285714285684</v>
      </c>
      <c r="H71" s="22">
        <v>0</v>
      </c>
      <c r="I71" s="22">
        <v>0</v>
      </c>
      <c r="J71" s="23"/>
      <c r="K71" s="22">
        <v>0</v>
      </c>
      <c r="L71" s="22">
        <v>0</v>
      </c>
      <c r="M71" s="23"/>
      <c r="N71" s="22">
        <v>0</v>
      </c>
      <c r="O71" s="22">
        <f t="shared" si="8"/>
        <v>51.780582857142846</v>
      </c>
      <c r="P71" s="22">
        <v>0</v>
      </c>
      <c r="Q71" s="22">
        <v>0</v>
      </c>
      <c r="R71" s="22">
        <f t="shared" si="9"/>
        <v>1032.4734399999998</v>
      </c>
      <c r="S71" s="22">
        <f t="shared" si="10"/>
        <v>2405.44344</v>
      </c>
    </row>
    <row r="72" spans="2:19" x14ac:dyDescent="0.25">
      <c r="B72" s="78">
        <f>MAX($B$8:B71)+1</f>
        <v>60</v>
      </c>
      <c r="C72" s="78" t="s">
        <v>80</v>
      </c>
      <c r="D72" s="23" t="s">
        <v>120</v>
      </c>
      <c r="E72" s="151" t="str">
        <f>'EP IS Restatements'!E72</f>
        <v>Material &amp; Supplies</v>
      </c>
      <c r="F72" s="22">
        <f>'EP IS Restatements'!M72</f>
        <v>0</v>
      </c>
      <c r="G72" s="22">
        <f>VLOOKUP($C72,'WP PF1'!$C$10:$F$127,4,FALSE)</f>
        <v>0</v>
      </c>
      <c r="H72" s="22">
        <v>0</v>
      </c>
      <c r="I72" s="22">
        <v>0</v>
      </c>
      <c r="J72" s="23"/>
      <c r="K72" s="22">
        <v>0</v>
      </c>
      <c r="L72" s="22">
        <v>0</v>
      </c>
      <c r="M72" s="23"/>
      <c r="N72" s="22">
        <v>0</v>
      </c>
      <c r="O72" s="22">
        <f t="shared" si="8"/>
        <v>0</v>
      </c>
      <c r="P72" s="22">
        <v>0</v>
      </c>
      <c r="Q72" s="22">
        <v>0</v>
      </c>
      <c r="R72" s="22">
        <f t="shared" si="9"/>
        <v>0</v>
      </c>
      <c r="S72" s="22">
        <f t="shared" si="10"/>
        <v>0</v>
      </c>
    </row>
    <row r="73" spans="2:19" x14ac:dyDescent="0.25">
      <c r="B73" s="78">
        <f>MAX($B$8:B72)+1</f>
        <v>61</v>
      </c>
      <c r="C73" s="78" t="s">
        <v>81</v>
      </c>
      <c r="D73" s="23" t="s">
        <v>121</v>
      </c>
      <c r="E73" s="151" t="str">
        <f>'EP IS Restatements'!E73</f>
        <v>Miscellaneous</v>
      </c>
      <c r="F73" s="22">
        <f>'EP IS Restatements'!M73</f>
        <v>385000</v>
      </c>
      <c r="G73" s="22">
        <f>VLOOKUP($C73,'WP PF1'!$C$10:$F$127,4,FALSE)</f>
        <v>275000</v>
      </c>
      <c r="H73" s="22">
        <v>0</v>
      </c>
      <c r="I73" s="22">
        <v>0</v>
      </c>
      <c r="J73" s="23"/>
      <c r="K73" s="22">
        <v>0</v>
      </c>
      <c r="L73" s="22">
        <v>0</v>
      </c>
      <c r="M73" s="23"/>
      <c r="N73" s="22">
        <v>0</v>
      </c>
      <c r="O73" s="22">
        <f t="shared" si="8"/>
        <v>14520</v>
      </c>
      <c r="P73" s="22">
        <v>0</v>
      </c>
      <c r="Q73" s="22">
        <v>0</v>
      </c>
      <c r="R73" s="22">
        <f t="shared" si="9"/>
        <v>289520</v>
      </c>
      <c r="S73" s="22">
        <f t="shared" si="10"/>
        <v>674520</v>
      </c>
    </row>
    <row r="74" spans="2:19" x14ac:dyDescent="0.25">
      <c r="B74" s="78">
        <f>MAX($B$8:B73)+1</f>
        <v>62</v>
      </c>
      <c r="C74" s="78" t="s">
        <v>124</v>
      </c>
      <c r="D74" s="23" t="s">
        <v>122</v>
      </c>
      <c r="E74" s="151" t="str">
        <f>'EP IS Restatements'!E74</f>
        <v>Miscellaneous</v>
      </c>
      <c r="F74" s="22">
        <f>'EP IS Restatements'!M74</f>
        <v>219972.35</v>
      </c>
      <c r="G74" s="22">
        <f>VLOOKUP($C74,'WP PF1'!$C$10:$F$127,4,FALSE)</f>
        <v>157123.10714285719</v>
      </c>
      <c r="H74" s="22">
        <v>0</v>
      </c>
      <c r="I74" s="22">
        <v>0</v>
      </c>
      <c r="J74" s="23"/>
      <c r="K74" s="22">
        <v>0</v>
      </c>
      <c r="L74" s="22">
        <f ca="1">'WP PF7'!G57</f>
        <v>-15043.974348483021</v>
      </c>
      <c r="M74" s="23"/>
      <c r="N74" s="22">
        <v>0</v>
      </c>
      <c r="O74" s="22">
        <f t="shared" ca="1" si="8"/>
        <v>0</v>
      </c>
      <c r="P74" s="22">
        <v>0</v>
      </c>
      <c r="Q74" s="22">
        <v>0</v>
      </c>
      <c r="R74" s="22">
        <f t="shared" ca="1" si="9"/>
        <v>142079.13279437416</v>
      </c>
      <c r="S74" s="22">
        <f t="shared" ca="1" si="10"/>
        <v>362051.48279437417</v>
      </c>
    </row>
    <row r="75" spans="2:19" x14ac:dyDescent="0.25">
      <c r="B75" s="78">
        <f>MAX($B$8:B74)+1</f>
        <v>63</v>
      </c>
      <c r="C75" s="78" t="s">
        <v>125</v>
      </c>
      <c r="D75" s="23" t="s">
        <v>123</v>
      </c>
      <c r="E75" s="151"/>
      <c r="F75" s="22">
        <f>'EP IS Restatements'!M75</f>
        <v>0</v>
      </c>
      <c r="G75" s="22">
        <f>VLOOKUP($C75,'WP PF1'!$C$10:$F$127,4,FALSE)</f>
        <v>0</v>
      </c>
      <c r="H75" s="22">
        <v>0</v>
      </c>
      <c r="I75" s="22">
        <v>0</v>
      </c>
      <c r="J75" s="23"/>
      <c r="K75" s="22">
        <v>0</v>
      </c>
      <c r="L75" s="22">
        <v>0</v>
      </c>
      <c r="M75" s="23"/>
      <c r="N75" s="22">
        <v>0</v>
      </c>
      <c r="O75" s="22">
        <f t="shared" si="8"/>
        <v>0</v>
      </c>
      <c r="P75" s="22">
        <v>0</v>
      </c>
      <c r="Q75" s="22">
        <v>0</v>
      </c>
      <c r="R75" s="22">
        <f t="shared" si="9"/>
        <v>0</v>
      </c>
      <c r="S75" s="22">
        <f t="shared" si="10"/>
        <v>0</v>
      </c>
    </row>
    <row r="76" spans="2:19" x14ac:dyDescent="0.25">
      <c r="B76" s="78">
        <f>MAX($B$8:B75)+1</f>
        <v>64</v>
      </c>
      <c r="C76" s="78" t="s">
        <v>126</v>
      </c>
      <c r="D76" s="23" t="s">
        <v>179</v>
      </c>
      <c r="E76" s="151" t="str">
        <f>'EP IS Restatements'!E76</f>
        <v>Salary and Wages - Employees</v>
      </c>
      <c r="F76" s="22">
        <f>'EP IS Restatements'!M76</f>
        <v>127630.45</v>
      </c>
      <c r="G76" s="22">
        <f>VLOOKUP($C76,'WP PF1'!$C$10:$F$127,4,FALSE)</f>
        <v>91164.607142857145</v>
      </c>
      <c r="H76" s="22">
        <v>0</v>
      </c>
      <c r="I76" s="22">
        <v>0</v>
      </c>
      <c r="J76" s="22">
        <f>SUM(F76:I76)*0.032</f>
        <v>7001.4418285714291</v>
      </c>
      <c r="K76" s="22">
        <v>0</v>
      </c>
      <c r="L76" s="22">
        <v>0</v>
      </c>
      <c r="M76" s="23"/>
      <c r="N76" s="22">
        <v>0</v>
      </c>
      <c r="O76" s="22">
        <f t="shared" si="8"/>
        <v>0</v>
      </c>
      <c r="P76" s="22">
        <v>0</v>
      </c>
      <c r="Q76" s="22">
        <v>0</v>
      </c>
      <c r="R76" s="22">
        <f t="shared" si="9"/>
        <v>98166.04897142858</v>
      </c>
      <c r="S76" s="22">
        <f t="shared" si="10"/>
        <v>225796.49897142858</v>
      </c>
    </row>
    <row r="77" spans="2:19" x14ac:dyDescent="0.25">
      <c r="B77" s="78">
        <f>MAX($B$8:B76)+1</f>
        <v>65</v>
      </c>
      <c r="C77" s="78" t="s">
        <v>127</v>
      </c>
      <c r="D77" s="23" t="s">
        <v>180</v>
      </c>
      <c r="E77" s="151" t="str">
        <f>'EP IS Restatements'!E77</f>
        <v>Material &amp; Supplies</v>
      </c>
      <c r="F77" s="22">
        <f>'EP IS Restatements'!M77</f>
        <v>0</v>
      </c>
      <c r="G77" s="22">
        <f>VLOOKUP($C77,'WP PF1'!$C$10:$F$127,4,FALSE)</f>
        <v>0</v>
      </c>
      <c r="H77" s="22">
        <v>0</v>
      </c>
      <c r="I77" s="22">
        <v>0</v>
      </c>
      <c r="J77" s="23"/>
      <c r="K77" s="22">
        <v>0</v>
      </c>
      <c r="L77" s="22">
        <v>0</v>
      </c>
      <c r="M77" s="23"/>
      <c r="N77" s="22">
        <v>0</v>
      </c>
      <c r="O77" s="22">
        <f t="shared" si="8"/>
        <v>0</v>
      </c>
      <c r="P77" s="22">
        <v>0</v>
      </c>
      <c r="Q77" s="22">
        <v>0</v>
      </c>
      <c r="R77" s="22">
        <f t="shared" si="9"/>
        <v>0</v>
      </c>
      <c r="S77" s="22">
        <f t="shared" si="10"/>
        <v>0</v>
      </c>
    </row>
    <row r="78" spans="2:19" x14ac:dyDescent="0.25">
      <c r="B78" s="78">
        <f>MAX($B$8:B77)+1</f>
        <v>66</v>
      </c>
      <c r="C78" s="78" t="s">
        <v>128</v>
      </c>
      <c r="D78" s="23" t="s">
        <v>181</v>
      </c>
      <c r="E78" s="151" t="str">
        <f>'EP IS Restatements'!E78</f>
        <v>Contractual Engineer</v>
      </c>
      <c r="F78" s="22">
        <f>'EP IS Restatements'!M78</f>
        <v>0</v>
      </c>
      <c r="G78" s="22">
        <f>VLOOKUP($C78,'WP PF1'!$C$10:$F$127,4,FALSE)</f>
        <v>0</v>
      </c>
      <c r="H78" s="22">
        <v>0</v>
      </c>
      <c r="I78" s="22">
        <v>0</v>
      </c>
      <c r="J78" s="23"/>
      <c r="K78" s="22">
        <v>0</v>
      </c>
      <c r="L78" s="22">
        <v>0</v>
      </c>
      <c r="M78" s="23"/>
      <c r="N78" s="22">
        <v>0</v>
      </c>
      <c r="O78" s="22">
        <f t="shared" si="8"/>
        <v>0</v>
      </c>
      <c r="P78" s="22">
        <v>0</v>
      </c>
      <c r="Q78" s="22">
        <v>0</v>
      </c>
      <c r="R78" s="22">
        <f t="shared" si="9"/>
        <v>0</v>
      </c>
      <c r="S78" s="22">
        <f t="shared" si="10"/>
        <v>0</v>
      </c>
    </row>
    <row r="79" spans="2:19" x14ac:dyDescent="0.25">
      <c r="B79" s="78">
        <f>MAX($B$8:B78)+1</f>
        <v>67</v>
      </c>
      <c r="C79" s="78" t="s">
        <v>129</v>
      </c>
      <c r="D79" s="23" t="s">
        <v>182</v>
      </c>
      <c r="E79" s="151" t="str">
        <f>'EP IS Restatements'!E79</f>
        <v>Other Taxes &amp; Licenses (DOH/DOE)</v>
      </c>
      <c r="F79" s="22">
        <f>'EP IS Restatements'!M79</f>
        <v>14723.52</v>
      </c>
      <c r="G79" s="22">
        <f>VLOOKUP($C79,'WP PF1'!$C$10:$F$127,4,FALSE)</f>
        <v>10516.8</v>
      </c>
      <c r="H79" s="22">
        <v>0</v>
      </c>
      <c r="I79" s="22">
        <v>0</v>
      </c>
      <c r="J79" s="23"/>
      <c r="K79" s="22">
        <v>0</v>
      </c>
      <c r="L79" s="22">
        <v>0</v>
      </c>
      <c r="M79" s="23"/>
      <c r="N79" s="22">
        <v>0</v>
      </c>
      <c r="O79" s="22">
        <f t="shared" si="8"/>
        <v>555.28703999999993</v>
      </c>
      <c r="P79" s="22">
        <v>0</v>
      </c>
      <c r="Q79" s="22">
        <v>0</v>
      </c>
      <c r="R79" s="22">
        <f t="shared" si="9"/>
        <v>11072.087039999999</v>
      </c>
      <c r="S79" s="22">
        <f t="shared" si="10"/>
        <v>25795.607039999999</v>
      </c>
    </row>
    <row r="80" spans="2:19" x14ac:dyDescent="0.25">
      <c r="B80" s="78">
        <f>MAX($B$8:B79)+1</f>
        <v>68</v>
      </c>
      <c r="C80" s="78" t="s">
        <v>130</v>
      </c>
      <c r="D80" s="23" t="s">
        <v>183</v>
      </c>
      <c r="E80" s="151"/>
      <c r="F80" s="22">
        <f>'EP IS Restatements'!M80</f>
        <v>0</v>
      </c>
      <c r="G80" s="22">
        <f>VLOOKUP($C80,'WP PF1'!$C$10:$F$127,4,FALSE)</f>
        <v>0</v>
      </c>
      <c r="H80" s="22">
        <v>0</v>
      </c>
      <c r="I80" s="22">
        <v>0</v>
      </c>
      <c r="J80" s="23"/>
      <c r="K80" s="22">
        <v>0</v>
      </c>
      <c r="L80" s="22">
        <v>0</v>
      </c>
      <c r="M80" s="23"/>
      <c r="N80" s="22">
        <v>0</v>
      </c>
      <c r="O80" s="22">
        <f t="shared" si="8"/>
        <v>0</v>
      </c>
      <c r="P80" s="22">
        <v>0</v>
      </c>
      <c r="Q80" s="22">
        <v>0</v>
      </c>
      <c r="R80" s="22">
        <f t="shared" si="9"/>
        <v>0</v>
      </c>
      <c r="S80" s="22">
        <f t="shared" si="10"/>
        <v>0</v>
      </c>
    </row>
    <row r="81" spans="2:19" x14ac:dyDescent="0.25">
      <c r="B81" s="78">
        <f>MAX($B$8:B80)+1</f>
        <v>69</v>
      </c>
      <c r="C81" s="78" t="s">
        <v>131</v>
      </c>
      <c r="D81" s="23" t="s">
        <v>184</v>
      </c>
      <c r="E81" s="151" t="str">
        <f>'EP IS Restatements'!E81</f>
        <v>Salary and Wages - Employees</v>
      </c>
      <c r="F81" s="22">
        <f>'EP IS Restatements'!M81</f>
        <v>0</v>
      </c>
      <c r="G81" s="22">
        <f>VLOOKUP($C81,'WP PF1'!$C$10:$F$127,4,FALSE)</f>
        <v>0</v>
      </c>
      <c r="H81" s="22">
        <v>0</v>
      </c>
      <c r="I81" s="22">
        <v>0</v>
      </c>
      <c r="J81" s="22">
        <f t="shared" ref="J81" si="13">SUM(F81:I81)*0.029</f>
        <v>0</v>
      </c>
      <c r="K81" s="22">
        <v>0</v>
      </c>
      <c r="L81" s="22">
        <v>0</v>
      </c>
      <c r="M81" s="23"/>
      <c r="N81" s="22">
        <v>0</v>
      </c>
      <c r="O81" s="22">
        <f t="shared" si="8"/>
        <v>0</v>
      </c>
      <c r="P81" s="22">
        <v>0</v>
      </c>
      <c r="Q81" s="22">
        <v>0</v>
      </c>
      <c r="R81" s="22">
        <f t="shared" si="9"/>
        <v>0</v>
      </c>
      <c r="S81" s="22">
        <f t="shared" si="10"/>
        <v>0</v>
      </c>
    </row>
    <row r="82" spans="2:19" x14ac:dyDescent="0.25">
      <c r="B82" s="78">
        <f>MAX($B$8:B81)+1</f>
        <v>70</v>
      </c>
      <c r="C82" s="78" t="s">
        <v>132</v>
      </c>
      <c r="D82" s="23" t="s">
        <v>185</v>
      </c>
      <c r="E82" s="151" t="str">
        <f>'EP IS Restatements'!E82</f>
        <v>Miscellaneous</v>
      </c>
      <c r="F82" s="22">
        <f>'EP IS Restatements'!M82</f>
        <v>0</v>
      </c>
      <c r="G82" s="22">
        <f>VLOOKUP($C82,'WP PF1'!$C$10:$F$127,4,FALSE)</f>
        <v>0</v>
      </c>
      <c r="H82" s="22">
        <v>0</v>
      </c>
      <c r="I82" s="22">
        <v>0</v>
      </c>
      <c r="J82" s="23"/>
      <c r="K82" s="22">
        <v>0</v>
      </c>
      <c r="L82" s="22">
        <v>0</v>
      </c>
      <c r="M82" s="23"/>
      <c r="N82" s="22">
        <v>0</v>
      </c>
      <c r="O82" s="22">
        <f t="shared" si="8"/>
        <v>0</v>
      </c>
      <c r="P82" s="22">
        <v>0</v>
      </c>
      <c r="Q82" s="22">
        <v>0</v>
      </c>
      <c r="R82" s="22">
        <f t="shared" si="9"/>
        <v>0</v>
      </c>
      <c r="S82" s="22">
        <f t="shared" si="10"/>
        <v>0</v>
      </c>
    </row>
    <row r="83" spans="2:19" x14ac:dyDescent="0.25">
      <c r="B83" s="78">
        <f>MAX($B$8:B82)+1</f>
        <v>71</v>
      </c>
      <c r="C83" s="78" t="s">
        <v>133</v>
      </c>
      <c r="D83" s="23" t="s">
        <v>186</v>
      </c>
      <c r="E83" s="151" t="str">
        <f>'EP IS Restatements'!E83</f>
        <v>Salary and Wages - Employees</v>
      </c>
      <c r="F83" s="22">
        <f>'EP IS Restatements'!M83</f>
        <v>304.98</v>
      </c>
      <c r="G83" s="22">
        <f>VLOOKUP($C83,'WP PF1'!$C$10:$F$127,4,FALSE)</f>
        <v>217.84285714285716</v>
      </c>
      <c r="H83" s="22">
        <v>0</v>
      </c>
      <c r="I83" s="22">
        <v>0</v>
      </c>
      <c r="J83" s="22">
        <f>SUM(F83:I83)*0.032</f>
        <v>16.730331428571429</v>
      </c>
      <c r="K83" s="22">
        <v>0</v>
      </c>
      <c r="L83" s="22">
        <v>0</v>
      </c>
      <c r="M83" s="23"/>
      <c r="N83" s="22">
        <v>0</v>
      </c>
      <c r="O83" s="22">
        <f t="shared" si="8"/>
        <v>0</v>
      </c>
      <c r="P83" s="22">
        <v>0</v>
      </c>
      <c r="Q83" s="22">
        <v>0</v>
      </c>
      <c r="R83" s="22">
        <f t="shared" si="9"/>
        <v>234.57318857142857</v>
      </c>
      <c r="S83" s="22">
        <f t="shared" si="10"/>
        <v>539.55318857142856</v>
      </c>
    </row>
    <row r="84" spans="2:19" x14ac:dyDescent="0.25">
      <c r="B84" s="78">
        <f>MAX($B$8:B83)+1</f>
        <v>72</v>
      </c>
      <c r="C84" s="78" t="s">
        <v>134</v>
      </c>
      <c r="D84" s="23" t="s">
        <v>187</v>
      </c>
      <c r="E84" s="151" t="str">
        <f>'EP IS Restatements'!E84</f>
        <v>Material &amp; Supplies</v>
      </c>
      <c r="F84" s="22">
        <f>'EP IS Restatements'!M84</f>
        <v>0</v>
      </c>
      <c r="G84" s="22">
        <f>VLOOKUP($C84,'WP PF1'!$C$10:$F$127,4,FALSE)</f>
        <v>0</v>
      </c>
      <c r="H84" s="22">
        <v>0</v>
      </c>
      <c r="I84" s="22">
        <v>0</v>
      </c>
      <c r="J84" s="23"/>
      <c r="K84" s="22">
        <v>0</v>
      </c>
      <c r="L84" s="22">
        <v>0</v>
      </c>
      <c r="M84" s="23"/>
      <c r="N84" s="22">
        <v>0</v>
      </c>
      <c r="O84" s="22">
        <f t="shared" si="8"/>
        <v>0</v>
      </c>
      <c r="P84" s="22">
        <v>0</v>
      </c>
      <c r="Q84" s="22">
        <v>0</v>
      </c>
      <c r="R84" s="22">
        <f t="shared" si="9"/>
        <v>0</v>
      </c>
      <c r="S84" s="22">
        <f t="shared" si="10"/>
        <v>0</v>
      </c>
    </row>
    <row r="85" spans="2:19" x14ac:dyDescent="0.25">
      <c r="B85" s="78">
        <f>MAX($B$8:B84)+1</f>
        <v>73</v>
      </c>
      <c r="C85" s="78" t="s">
        <v>135</v>
      </c>
      <c r="D85" s="23" t="s">
        <v>188</v>
      </c>
      <c r="E85" s="151" t="str">
        <f>'EP IS Restatements'!E85</f>
        <v>Material &amp; Supplies</v>
      </c>
      <c r="F85" s="22">
        <f>'EP IS Restatements'!M85</f>
        <v>3937.5</v>
      </c>
      <c r="G85" s="22">
        <f>VLOOKUP($C85,'WP PF1'!$C$10:$F$127,4,FALSE)</f>
        <v>2812.5</v>
      </c>
      <c r="H85" s="22">
        <v>0</v>
      </c>
      <c r="I85" s="22">
        <v>0</v>
      </c>
      <c r="J85" s="23"/>
      <c r="K85" s="22">
        <v>0</v>
      </c>
      <c r="L85" s="22">
        <v>0</v>
      </c>
      <c r="M85" s="23"/>
      <c r="N85" s="22">
        <v>0</v>
      </c>
      <c r="O85" s="22">
        <f t="shared" si="8"/>
        <v>148.5</v>
      </c>
      <c r="P85" s="22">
        <v>0</v>
      </c>
      <c r="Q85" s="22">
        <v>0</v>
      </c>
      <c r="R85" s="22">
        <f t="shared" si="9"/>
        <v>2961</v>
      </c>
      <c r="S85" s="22">
        <f t="shared" si="10"/>
        <v>6898.5</v>
      </c>
    </row>
    <row r="86" spans="2:19" x14ac:dyDescent="0.25">
      <c r="B86" s="78">
        <f>MAX($B$8:B85)+1</f>
        <v>74</v>
      </c>
      <c r="C86" s="78" t="s">
        <v>136</v>
      </c>
      <c r="D86" s="23" t="s">
        <v>189</v>
      </c>
      <c r="E86" s="151" t="str">
        <f>'EP IS Restatements'!E86</f>
        <v>Material &amp; Supplies</v>
      </c>
      <c r="F86" s="22">
        <f>'EP IS Restatements'!M86</f>
        <v>14764.76</v>
      </c>
      <c r="G86" s="22">
        <f>VLOOKUP($C86,'WP PF1'!$C$10:$F$127,4,FALSE)</f>
        <v>10546.257142857141</v>
      </c>
      <c r="H86" s="22">
        <v>0</v>
      </c>
      <c r="I86" s="22">
        <v>0</v>
      </c>
      <c r="J86" s="23"/>
      <c r="K86" s="22">
        <v>0</v>
      </c>
      <c r="L86" s="22">
        <v>0</v>
      </c>
      <c r="M86" s="23"/>
      <c r="N86" s="22">
        <v>0</v>
      </c>
      <c r="O86" s="22">
        <f t="shared" si="8"/>
        <v>556.84237714285712</v>
      </c>
      <c r="P86" s="22">
        <v>0</v>
      </c>
      <c r="Q86" s="22">
        <v>0</v>
      </c>
      <c r="R86" s="22">
        <f t="shared" si="9"/>
        <v>11103.099519999998</v>
      </c>
      <c r="S86" s="22">
        <f t="shared" si="10"/>
        <v>25867.859519999998</v>
      </c>
    </row>
    <row r="87" spans="2:19" x14ac:dyDescent="0.25">
      <c r="B87" s="78">
        <f>MAX($B$8:B86)+1</f>
        <v>75</v>
      </c>
      <c r="C87" s="78" t="s">
        <v>137</v>
      </c>
      <c r="D87" s="23" t="s">
        <v>190</v>
      </c>
      <c r="E87" s="151" t="str">
        <f>'EP IS Restatements'!E87</f>
        <v>Contractual Operations</v>
      </c>
      <c r="F87" s="22">
        <f>'EP IS Restatements'!M87</f>
        <v>-1291.6400000000001</v>
      </c>
      <c r="G87" s="22">
        <f>VLOOKUP($C87,'WP PF1'!$C$10:$F$127,4,FALSE)</f>
        <v>-922.60000000000014</v>
      </c>
      <c r="H87" s="22">
        <v>0</v>
      </c>
      <c r="I87" s="22">
        <v>0</v>
      </c>
      <c r="J87" s="23"/>
      <c r="K87" s="22">
        <v>0</v>
      </c>
      <c r="L87" s="22">
        <v>0</v>
      </c>
      <c r="M87" s="22">
        <v>0</v>
      </c>
      <c r="N87" s="22">
        <v>0</v>
      </c>
      <c r="O87" s="22">
        <f t="shared" si="8"/>
        <v>-48.713280000000005</v>
      </c>
      <c r="P87" s="22">
        <v>0</v>
      </c>
      <c r="Q87" s="22">
        <v>0</v>
      </c>
      <c r="R87" s="22">
        <f t="shared" si="9"/>
        <v>-971.31328000000019</v>
      </c>
      <c r="S87" s="22">
        <f t="shared" si="10"/>
        <v>-2262.9532800000002</v>
      </c>
    </row>
    <row r="88" spans="2:19" x14ac:dyDescent="0.25">
      <c r="B88" s="78">
        <f>MAX($B$8:B87)+1</f>
        <v>76</v>
      </c>
      <c r="C88" s="78" t="s">
        <v>138</v>
      </c>
      <c r="D88" s="23" t="s">
        <v>191</v>
      </c>
      <c r="E88" s="151" t="str">
        <f>'EP IS Restatements'!E88</f>
        <v>Salary and Wages - Employees</v>
      </c>
      <c r="F88" s="22">
        <f>'EP IS Restatements'!M88</f>
        <v>0</v>
      </c>
      <c r="G88" s="22">
        <f>VLOOKUP($C88,'WP PF1'!$C$10:$F$127,4,FALSE)</f>
        <v>0</v>
      </c>
      <c r="H88" s="22">
        <v>0</v>
      </c>
      <c r="I88" s="22">
        <v>0</v>
      </c>
      <c r="J88" s="22">
        <f t="shared" ref="J88" si="14">SUM(F88:I88)*0.029</f>
        <v>0</v>
      </c>
      <c r="K88" s="22">
        <v>0</v>
      </c>
      <c r="L88" s="22">
        <v>0</v>
      </c>
      <c r="M88" s="23"/>
      <c r="N88" s="22">
        <v>0</v>
      </c>
      <c r="O88" s="22">
        <f t="shared" si="8"/>
        <v>0</v>
      </c>
      <c r="P88" s="22">
        <v>0</v>
      </c>
      <c r="Q88" s="22">
        <v>0</v>
      </c>
      <c r="R88" s="22">
        <f t="shared" si="9"/>
        <v>0</v>
      </c>
      <c r="S88" s="22">
        <f t="shared" si="10"/>
        <v>0</v>
      </c>
    </row>
    <row r="89" spans="2:19" x14ac:dyDescent="0.25">
      <c r="B89" s="78">
        <f>MAX($B$8:B88)+1</f>
        <v>77</v>
      </c>
      <c r="C89" s="78" t="s">
        <v>139</v>
      </c>
      <c r="D89" s="23" t="s">
        <v>192</v>
      </c>
      <c r="E89" s="151" t="str">
        <f>'EP IS Restatements'!E89</f>
        <v>Rental of Building, Property, and Equipment</v>
      </c>
      <c r="F89" s="22">
        <f>'EP IS Restatements'!M89</f>
        <v>3799</v>
      </c>
      <c r="G89" s="22">
        <f>VLOOKUP($C89,'WP PF1'!$C$10:$F$127,4,FALSE)</f>
        <v>2713.5714285714284</v>
      </c>
      <c r="H89" s="22">
        <v>0</v>
      </c>
      <c r="I89" s="22">
        <v>0</v>
      </c>
      <c r="J89" s="23"/>
      <c r="K89" s="22">
        <v>0</v>
      </c>
      <c r="L89" s="22">
        <v>0</v>
      </c>
      <c r="M89" s="23"/>
      <c r="N89" s="22">
        <v>0</v>
      </c>
      <c r="O89" s="22">
        <f t="shared" si="8"/>
        <v>143.27657142857143</v>
      </c>
      <c r="P89" s="22">
        <v>0</v>
      </c>
      <c r="Q89" s="22">
        <v>0</v>
      </c>
      <c r="R89" s="22">
        <f t="shared" si="9"/>
        <v>2856.848</v>
      </c>
      <c r="S89" s="22">
        <f t="shared" si="10"/>
        <v>6655.848</v>
      </c>
    </row>
    <row r="90" spans="2:19" x14ac:dyDescent="0.25">
      <c r="B90" s="78">
        <f>MAX($B$8:B89)+1</f>
        <v>78</v>
      </c>
      <c r="C90" s="78" t="s">
        <v>140</v>
      </c>
      <c r="D90" s="23" t="s">
        <v>193</v>
      </c>
      <c r="E90" s="151"/>
      <c r="F90" s="22">
        <f>'EP IS Restatements'!M90</f>
        <v>0</v>
      </c>
      <c r="G90" s="22">
        <f>VLOOKUP($C90,'WP PF1'!$C$10:$F$127,4,FALSE)</f>
        <v>0</v>
      </c>
      <c r="H90" s="22">
        <v>0</v>
      </c>
      <c r="I90" s="22">
        <v>0</v>
      </c>
      <c r="J90" s="23"/>
      <c r="K90" s="22">
        <v>0</v>
      </c>
      <c r="L90" s="22">
        <v>0</v>
      </c>
      <c r="M90" s="23"/>
      <c r="N90" s="22">
        <v>0</v>
      </c>
      <c r="O90" s="22">
        <f t="shared" si="8"/>
        <v>0</v>
      </c>
      <c r="P90" s="22">
        <v>0</v>
      </c>
      <c r="Q90" s="22">
        <v>0</v>
      </c>
      <c r="R90" s="22">
        <f t="shared" si="9"/>
        <v>0</v>
      </c>
      <c r="S90" s="22">
        <f t="shared" si="10"/>
        <v>0</v>
      </c>
    </row>
    <row r="91" spans="2:19" x14ac:dyDescent="0.25">
      <c r="B91" s="78">
        <f>MAX($B$8:B90)+1</f>
        <v>79</v>
      </c>
      <c r="C91" s="78" t="s">
        <v>141</v>
      </c>
      <c r="D91" s="23" t="s">
        <v>194</v>
      </c>
      <c r="E91" s="151" t="str">
        <f>'EP IS Restatements'!E91</f>
        <v>Salary and Wages - Employees</v>
      </c>
      <c r="F91" s="22">
        <f>'EP IS Restatements'!M91</f>
        <v>211233.85</v>
      </c>
      <c r="G91" s="22">
        <f>VLOOKUP($C91,'WP PF1'!$C$10:$F$127,4,FALSE)</f>
        <v>150881.32142857145</v>
      </c>
      <c r="H91" s="22">
        <v>0</v>
      </c>
      <c r="I91" s="22">
        <v>0</v>
      </c>
      <c r="J91" s="22">
        <f>SUM(F91:I91)*0.032</f>
        <v>11587.685485714286</v>
      </c>
      <c r="K91" s="22">
        <v>0</v>
      </c>
      <c r="L91" s="22">
        <v>0</v>
      </c>
      <c r="M91" s="23"/>
      <c r="N91" s="22">
        <v>0</v>
      </c>
      <c r="O91" s="22">
        <f t="shared" si="8"/>
        <v>0</v>
      </c>
      <c r="P91" s="22">
        <v>0</v>
      </c>
      <c r="Q91" s="22">
        <v>0</v>
      </c>
      <c r="R91" s="22">
        <f t="shared" si="9"/>
        <v>162469.00691428574</v>
      </c>
      <c r="S91" s="22">
        <f t="shared" si="10"/>
        <v>373702.85691428575</v>
      </c>
    </row>
    <row r="92" spans="2:19" x14ac:dyDescent="0.25">
      <c r="B92" s="78">
        <f>MAX($B$8:B91)+1</f>
        <v>80</v>
      </c>
      <c r="C92" s="78" t="s">
        <v>142</v>
      </c>
      <c r="D92" s="23" t="s">
        <v>195</v>
      </c>
      <c r="E92" s="151" t="str">
        <f>'EP IS Restatements'!E92</f>
        <v>Chemicals &amp; Testing</v>
      </c>
      <c r="F92" s="22">
        <f>'EP IS Restatements'!M92</f>
        <v>97464.63</v>
      </c>
      <c r="G92" s="22">
        <f>VLOOKUP($C92,'WP PF1'!$C$10:$F$127,4,FALSE)</f>
        <v>69617.592857142852</v>
      </c>
      <c r="H92" s="22">
        <v>0</v>
      </c>
      <c r="I92" s="22">
        <v>0</v>
      </c>
      <c r="J92" s="23"/>
      <c r="K92" s="22">
        <v>0</v>
      </c>
      <c r="L92" s="22">
        <v>0</v>
      </c>
      <c r="M92" s="23"/>
      <c r="N92" s="22">
        <v>0</v>
      </c>
      <c r="O92" s="22">
        <f t="shared" si="8"/>
        <v>3675.8089028571426</v>
      </c>
      <c r="P92" s="22">
        <v>0</v>
      </c>
      <c r="Q92" s="22">
        <v>0</v>
      </c>
      <c r="R92" s="22">
        <f t="shared" si="9"/>
        <v>73293.401759999993</v>
      </c>
      <c r="S92" s="22">
        <f t="shared" si="10"/>
        <v>170758.03175999998</v>
      </c>
    </row>
    <row r="93" spans="2:19" x14ac:dyDescent="0.25">
      <c r="B93" s="78">
        <f>MAX($B$8:B92)+1</f>
        <v>81</v>
      </c>
      <c r="C93" s="78" t="s">
        <v>143</v>
      </c>
      <c r="D93" s="23" t="s">
        <v>196</v>
      </c>
      <c r="E93" s="151" t="str">
        <f>'EP IS Restatements'!E93</f>
        <v>Chemicals &amp; Testing</v>
      </c>
      <c r="F93" s="22">
        <f>'EP IS Restatements'!M93</f>
        <v>0</v>
      </c>
      <c r="G93" s="22">
        <f>VLOOKUP($C93,'WP PF1'!$C$10:$F$127,4,FALSE)</f>
        <v>0</v>
      </c>
      <c r="H93" s="22">
        <v>0</v>
      </c>
      <c r="I93" s="22">
        <v>0</v>
      </c>
      <c r="J93" s="23"/>
      <c r="K93" s="22">
        <v>0</v>
      </c>
      <c r="L93" s="22">
        <v>0</v>
      </c>
      <c r="M93" s="23"/>
      <c r="N93" s="22">
        <v>0</v>
      </c>
      <c r="O93" s="22">
        <f t="shared" si="8"/>
        <v>0</v>
      </c>
      <c r="P93" s="22">
        <v>0</v>
      </c>
      <c r="Q93" s="22">
        <v>0</v>
      </c>
      <c r="R93" s="22">
        <f t="shared" si="9"/>
        <v>0</v>
      </c>
      <c r="S93" s="22">
        <f t="shared" si="10"/>
        <v>0</v>
      </c>
    </row>
    <row r="94" spans="2:19" x14ac:dyDescent="0.25">
      <c r="B94" s="78">
        <f>MAX($B$8:B93)+1</f>
        <v>82</v>
      </c>
      <c r="C94" s="78" t="s">
        <v>144</v>
      </c>
      <c r="D94" s="23" t="s">
        <v>197</v>
      </c>
      <c r="E94" s="151" t="str">
        <f>'EP IS Restatements'!E94</f>
        <v>Chemicals &amp; Testing</v>
      </c>
      <c r="F94" s="22">
        <f>'EP IS Restatements'!M94</f>
        <v>17.45</v>
      </c>
      <c r="G94" s="22">
        <f>VLOOKUP($C94,'WP PF1'!$C$10:$F$127,4,FALSE)</f>
        <v>12.464285714285712</v>
      </c>
      <c r="H94" s="22">
        <v>0</v>
      </c>
      <c r="I94" s="22">
        <v>0</v>
      </c>
      <c r="J94" s="23"/>
      <c r="K94" s="22">
        <v>0</v>
      </c>
      <c r="L94" s="22">
        <v>0</v>
      </c>
      <c r="M94" s="23"/>
      <c r="N94" s="22">
        <v>0</v>
      </c>
      <c r="O94" s="22">
        <f t="shared" si="8"/>
        <v>0.65811428571428565</v>
      </c>
      <c r="P94" s="22">
        <v>0</v>
      </c>
      <c r="Q94" s="22">
        <v>0</v>
      </c>
      <c r="R94" s="22">
        <f t="shared" si="9"/>
        <v>13.122399999999997</v>
      </c>
      <c r="S94" s="22">
        <f t="shared" si="10"/>
        <v>30.572399999999995</v>
      </c>
    </row>
    <row r="95" spans="2:19" x14ac:dyDescent="0.25">
      <c r="B95" s="78">
        <f>MAX($B$8:B94)+1</f>
        <v>83</v>
      </c>
      <c r="C95" s="78" t="s">
        <v>145</v>
      </c>
      <c r="D95" s="23" t="s">
        <v>198</v>
      </c>
      <c r="E95" s="151" t="str">
        <f>'EP IS Restatements'!E95</f>
        <v>Contractual Operations</v>
      </c>
      <c r="F95" s="22">
        <f>'EP IS Restatements'!M95</f>
        <v>-2493.2219000000005</v>
      </c>
      <c r="G95" s="22">
        <f>VLOOKUP($C95,'WP PF1'!$C$10:$F$127,4,FALSE)</f>
        <v>-1780.8727857142858</v>
      </c>
      <c r="H95" s="22">
        <v>0</v>
      </c>
      <c r="I95" s="22">
        <v>0</v>
      </c>
      <c r="J95" s="23"/>
      <c r="K95" s="22">
        <v>0</v>
      </c>
      <c r="L95" s="22">
        <v>0</v>
      </c>
      <c r="M95" s="22">
        <f>'WP PF8'!J12+'WP PF8'!K13</f>
        <v>69000</v>
      </c>
      <c r="N95" s="22">
        <v>0</v>
      </c>
      <c r="O95" s="22">
        <f t="shared" si="8"/>
        <v>0</v>
      </c>
      <c r="P95" s="22">
        <v>0</v>
      </c>
      <c r="Q95" s="22">
        <v>0</v>
      </c>
      <c r="R95" s="22">
        <f t="shared" si="9"/>
        <v>67219.12721428572</v>
      </c>
      <c r="S95" s="22">
        <f t="shared" si="10"/>
        <v>64725.905314285716</v>
      </c>
    </row>
    <row r="96" spans="2:19" x14ac:dyDescent="0.25">
      <c r="B96" s="78">
        <f>MAX($B$8:B95)+1</f>
        <v>84</v>
      </c>
      <c r="C96" s="78" t="s">
        <v>146</v>
      </c>
      <c r="D96" s="23" t="s">
        <v>199</v>
      </c>
      <c r="E96" s="151" t="str">
        <f>'EP IS Restatements'!E96</f>
        <v>Miscellaneous</v>
      </c>
      <c r="F96" s="22">
        <f>'EP IS Restatements'!M96</f>
        <v>1267.42</v>
      </c>
      <c r="G96" s="22">
        <f>VLOOKUP($C96,'WP PF1'!$C$10:$F$127,4,FALSE)</f>
        <v>905.30000000000018</v>
      </c>
      <c r="H96" s="22">
        <v>0</v>
      </c>
      <c r="I96" s="22">
        <v>0</v>
      </c>
      <c r="J96" s="23"/>
      <c r="K96" s="22">
        <v>0</v>
      </c>
      <c r="L96" s="22">
        <v>0</v>
      </c>
      <c r="M96" s="23"/>
      <c r="N96" s="22">
        <v>0</v>
      </c>
      <c r="O96" s="22">
        <f t="shared" ref="O96:O127" si="15">IF(SUM(J96:M96)=0,SUM(F96:M96)*0.022,0)</f>
        <v>47.799840000000003</v>
      </c>
      <c r="P96" s="22">
        <v>0</v>
      </c>
      <c r="Q96" s="22">
        <v>0</v>
      </c>
      <c r="R96" s="22">
        <f t="shared" si="9"/>
        <v>953.0998400000002</v>
      </c>
      <c r="S96" s="22">
        <f t="shared" si="10"/>
        <v>2220.5198400000004</v>
      </c>
    </row>
    <row r="97" spans="2:19" x14ac:dyDescent="0.25">
      <c r="B97" s="78">
        <f>MAX($B$8:B96)+1</f>
        <v>85</v>
      </c>
      <c r="C97" s="78" t="s">
        <v>147</v>
      </c>
      <c r="D97" s="23" t="s">
        <v>200</v>
      </c>
      <c r="E97" s="151"/>
      <c r="F97" s="22">
        <f>'EP IS Restatements'!M97</f>
        <v>0</v>
      </c>
      <c r="G97" s="22">
        <f>VLOOKUP($C97,'WP PF1'!$C$10:$F$127,4,FALSE)</f>
        <v>0</v>
      </c>
      <c r="H97" s="22">
        <v>0</v>
      </c>
      <c r="I97" s="22">
        <v>0</v>
      </c>
      <c r="J97" s="23"/>
      <c r="K97" s="22">
        <v>0</v>
      </c>
      <c r="L97" s="22">
        <v>0</v>
      </c>
      <c r="M97" s="23"/>
      <c r="N97" s="22">
        <v>0</v>
      </c>
      <c r="O97" s="22">
        <f t="shared" si="15"/>
        <v>0</v>
      </c>
      <c r="P97" s="22">
        <v>0</v>
      </c>
      <c r="Q97" s="22">
        <v>0</v>
      </c>
      <c r="R97" s="22">
        <f t="shared" ref="R97:R128" si="16">SUM(G97:Q97)</f>
        <v>0</v>
      </c>
      <c r="S97" s="22">
        <f t="shared" ref="S97:S128" si="17">F97+R97</f>
        <v>0</v>
      </c>
    </row>
    <row r="98" spans="2:19" x14ac:dyDescent="0.25">
      <c r="B98" s="78">
        <f>MAX($B$8:B97)+1</f>
        <v>86</v>
      </c>
      <c r="C98" s="78" t="s">
        <v>148</v>
      </c>
      <c r="D98" s="23" t="s">
        <v>201</v>
      </c>
      <c r="E98" s="151" t="str">
        <f>'EP IS Restatements'!E98</f>
        <v>Chemicals &amp; Testing</v>
      </c>
      <c r="F98" s="22">
        <f>'EP IS Restatements'!M98</f>
        <v>0</v>
      </c>
      <c r="G98" s="22">
        <f>VLOOKUP($C98,'WP PF1'!$C$10:$F$127,4,FALSE)</f>
        <v>0</v>
      </c>
      <c r="H98" s="22">
        <v>0</v>
      </c>
      <c r="I98" s="22">
        <v>0</v>
      </c>
      <c r="J98" s="23"/>
      <c r="K98" s="22">
        <v>0</v>
      </c>
      <c r="L98" s="22">
        <v>0</v>
      </c>
      <c r="M98" s="23"/>
      <c r="N98" s="22">
        <v>0</v>
      </c>
      <c r="O98" s="22">
        <f t="shared" si="15"/>
        <v>0</v>
      </c>
      <c r="P98" s="22">
        <v>0</v>
      </c>
      <c r="Q98" s="22">
        <v>0</v>
      </c>
      <c r="R98" s="22">
        <f t="shared" si="16"/>
        <v>0</v>
      </c>
      <c r="S98" s="22">
        <f t="shared" si="17"/>
        <v>0</v>
      </c>
    </row>
    <row r="99" spans="2:19" x14ac:dyDescent="0.25">
      <c r="B99" s="78">
        <f>MAX($B$8:B98)+1</f>
        <v>87</v>
      </c>
      <c r="C99" s="78" t="s">
        <v>149</v>
      </c>
      <c r="D99" s="23" t="s">
        <v>202</v>
      </c>
      <c r="E99" s="151" t="str">
        <f>'EP IS Restatements'!E99</f>
        <v>Purchased Power/Water</v>
      </c>
      <c r="F99" s="22">
        <f>'EP IS Restatements'!M99</f>
        <v>104119.87</v>
      </c>
      <c r="G99" s="22">
        <f>VLOOKUP($C99,'WP PF1'!$C$10:$F$127,4,FALSE)</f>
        <v>74371.335714285698</v>
      </c>
      <c r="H99" s="22">
        <v>0</v>
      </c>
      <c r="I99" s="22">
        <v>0</v>
      </c>
      <c r="J99" s="23"/>
      <c r="K99" s="22">
        <v>0</v>
      </c>
      <c r="L99" s="22">
        <v>0</v>
      </c>
      <c r="M99" s="23"/>
      <c r="N99" s="22">
        <v>0</v>
      </c>
      <c r="O99" s="22">
        <f t="shared" si="15"/>
        <v>3926.8065257142848</v>
      </c>
      <c r="P99" s="22">
        <v>0</v>
      </c>
      <c r="Q99" s="22">
        <v>0</v>
      </c>
      <c r="R99" s="22">
        <f t="shared" si="16"/>
        <v>78298.142239999986</v>
      </c>
      <c r="S99" s="22">
        <f t="shared" si="17"/>
        <v>182418.01223999998</v>
      </c>
    </row>
    <row r="100" spans="2:19" x14ac:dyDescent="0.25">
      <c r="B100" s="78">
        <f>MAX($B$8:B99)+1</f>
        <v>88</v>
      </c>
      <c r="C100" s="78" t="s">
        <v>150</v>
      </c>
      <c r="D100" s="23" t="s">
        <v>203</v>
      </c>
      <c r="E100" s="151" t="str">
        <f>'EP IS Restatements'!E100</f>
        <v>Chemicals &amp; Testing</v>
      </c>
      <c r="F100" s="22">
        <f>'EP IS Restatements'!M100</f>
        <v>0</v>
      </c>
      <c r="G100" s="22">
        <f>VLOOKUP($C100,'WP PF1'!$C$10:$F$127,4,FALSE)</f>
        <v>0</v>
      </c>
      <c r="H100" s="22">
        <v>0</v>
      </c>
      <c r="I100" s="22">
        <v>0</v>
      </c>
      <c r="J100" s="23"/>
      <c r="K100" s="22">
        <v>0</v>
      </c>
      <c r="L100" s="22">
        <v>0</v>
      </c>
      <c r="M100" s="23"/>
      <c r="N100" s="22">
        <v>0</v>
      </c>
      <c r="O100" s="22">
        <f t="shared" si="15"/>
        <v>0</v>
      </c>
      <c r="P100" s="22">
        <v>0</v>
      </c>
      <c r="Q100" s="22">
        <v>0</v>
      </c>
      <c r="R100" s="22">
        <f t="shared" si="16"/>
        <v>0</v>
      </c>
      <c r="S100" s="22">
        <f t="shared" si="17"/>
        <v>0</v>
      </c>
    </row>
    <row r="101" spans="2:19" x14ac:dyDescent="0.25">
      <c r="B101" s="78">
        <f>MAX($B$8:B100)+1</f>
        <v>89</v>
      </c>
      <c r="C101" s="78" t="s">
        <v>151</v>
      </c>
      <c r="D101" s="23" t="s">
        <v>190</v>
      </c>
      <c r="E101" s="151" t="str">
        <f>'EP IS Restatements'!E101</f>
        <v>Miscellaneous</v>
      </c>
      <c r="F101" s="22">
        <f>'EP IS Restatements'!M101</f>
        <v>0</v>
      </c>
      <c r="G101" s="22">
        <f>VLOOKUP($C101,'WP PF1'!$C$10:$F$127,4,FALSE)</f>
        <v>0</v>
      </c>
      <c r="H101" s="22">
        <v>0</v>
      </c>
      <c r="I101" s="22">
        <v>0</v>
      </c>
      <c r="J101" s="23"/>
      <c r="K101" s="22">
        <v>0</v>
      </c>
      <c r="L101" s="22">
        <v>0</v>
      </c>
      <c r="M101" s="23"/>
      <c r="N101" s="22">
        <v>0</v>
      </c>
      <c r="O101" s="22">
        <f t="shared" si="15"/>
        <v>0</v>
      </c>
      <c r="P101" s="22">
        <v>0</v>
      </c>
      <c r="Q101" s="22">
        <v>0</v>
      </c>
      <c r="R101" s="22">
        <f t="shared" si="16"/>
        <v>0</v>
      </c>
      <c r="S101" s="22">
        <f t="shared" si="17"/>
        <v>0</v>
      </c>
    </row>
    <row r="102" spans="2:19" x14ac:dyDescent="0.25">
      <c r="B102" s="78">
        <f>MAX($B$8:B101)+1</f>
        <v>90</v>
      </c>
      <c r="C102" s="78" t="s">
        <v>152</v>
      </c>
      <c r="D102" s="23" t="s">
        <v>193</v>
      </c>
      <c r="E102" s="151"/>
      <c r="F102" s="22">
        <f>'EP IS Restatements'!M102</f>
        <v>0</v>
      </c>
      <c r="G102" s="22">
        <f>VLOOKUP($C102,'WP PF1'!$C$10:$F$127,4,FALSE)</f>
        <v>0</v>
      </c>
      <c r="H102" s="22">
        <v>0</v>
      </c>
      <c r="I102" s="22">
        <v>0</v>
      </c>
      <c r="J102" s="23"/>
      <c r="K102" s="22">
        <v>0</v>
      </c>
      <c r="L102" s="22">
        <v>0</v>
      </c>
      <c r="M102" s="23"/>
      <c r="N102" s="22">
        <v>0</v>
      </c>
      <c r="O102" s="22">
        <f t="shared" si="15"/>
        <v>0</v>
      </c>
      <c r="P102" s="22">
        <v>0</v>
      </c>
      <c r="Q102" s="22">
        <v>0</v>
      </c>
      <c r="R102" s="22">
        <f t="shared" si="16"/>
        <v>0</v>
      </c>
      <c r="S102" s="22">
        <f t="shared" si="17"/>
        <v>0</v>
      </c>
    </row>
    <row r="103" spans="2:19" x14ac:dyDescent="0.25">
      <c r="B103" s="78">
        <f>MAX($B$8:B102)+1</f>
        <v>91</v>
      </c>
      <c r="C103" s="78" t="s">
        <v>153</v>
      </c>
      <c r="D103" s="23" t="s">
        <v>204</v>
      </c>
      <c r="E103" s="151" t="str">
        <f>'EP IS Restatements'!E103</f>
        <v>Salary and Wages - Employees</v>
      </c>
      <c r="F103" s="22">
        <f>'EP IS Restatements'!M103</f>
        <v>118015.66</v>
      </c>
      <c r="G103" s="22">
        <f>VLOOKUP($C103,'WP PF1'!$C$10:$F$127,4,FALSE)</f>
        <v>84296.9</v>
      </c>
      <c r="H103" s="22">
        <v>0</v>
      </c>
      <c r="I103" s="22">
        <v>0</v>
      </c>
      <c r="J103" s="22">
        <f>SUM(F103:I103)*0.032</f>
        <v>6474.0019199999997</v>
      </c>
      <c r="K103" s="22">
        <v>0</v>
      </c>
      <c r="L103" s="22">
        <v>0</v>
      </c>
      <c r="M103" s="23"/>
      <c r="N103" s="22">
        <v>0</v>
      </c>
      <c r="O103" s="22">
        <f t="shared" si="15"/>
        <v>0</v>
      </c>
      <c r="P103" s="22">
        <v>0</v>
      </c>
      <c r="Q103" s="22">
        <v>0</v>
      </c>
      <c r="R103" s="22">
        <f t="shared" si="16"/>
        <v>90770.901919999989</v>
      </c>
      <c r="S103" s="22">
        <f t="shared" si="17"/>
        <v>208786.56192000001</v>
      </c>
    </row>
    <row r="104" spans="2:19" x14ac:dyDescent="0.25">
      <c r="B104" s="78">
        <f>MAX($B$8:B103)+1</f>
        <v>92</v>
      </c>
      <c r="C104" s="78" t="s">
        <v>154</v>
      </c>
      <c r="D104" s="23" t="s">
        <v>205</v>
      </c>
      <c r="E104" s="151"/>
      <c r="F104" s="22">
        <f>'EP IS Restatements'!M104</f>
        <v>0</v>
      </c>
      <c r="G104" s="22">
        <f>VLOOKUP($C104,'WP PF1'!$C$10:$F$127,4,FALSE)</f>
        <v>0</v>
      </c>
      <c r="H104" s="22">
        <v>0</v>
      </c>
      <c r="I104" s="22">
        <v>0</v>
      </c>
      <c r="J104" s="23"/>
      <c r="K104" s="22">
        <v>0</v>
      </c>
      <c r="L104" s="22">
        <v>0</v>
      </c>
      <c r="M104" s="23"/>
      <c r="N104" s="22">
        <v>0</v>
      </c>
      <c r="O104" s="22">
        <f t="shared" si="15"/>
        <v>0</v>
      </c>
      <c r="P104" s="22">
        <v>0</v>
      </c>
      <c r="Q104" s="22">
        <v>0</v>
      </c>
      <c r="R104" s="22">
        <f t="shared" si="16"/>
        <v>0</v>
      </c>
      <c r="S104" s="22">
        <f t="shared" si="17"/>
        <v>0</v>
      </c>
    </row>
    <row r="105" spans="2:19" x14ac:dyDescent="0.25">
      <c r="B105" s="78">
        <f>MAX($B$8:B104)+1</f>
        <v>93</v>
      </c>
      <c r="C105" s="78" t="s">
        <v>155</v>
      </c>
      <c r="D105" s="23" t="s">
        <v>206</v>
      </c>
      <c r="E105" s="151" t="str">
        <f>'EP IS Restatements'!E105</f>
        <v>Material &amp; Supplies</v>
      </c>
      <c r="F105" s="22">
        <f>'EP IS Restatements'!M105</f>
        <v>2343.0500000000002</v>
      </c>
      <c r="G105" s="22">
        <f>VLOOKUP($C105,'WP PF1'!$C$10:$F$127,4,FALSE)</f>
        <v>1673.6071428571431</v>
      </c>
      <c r="H105" s="22">
        <v>0</v>
      </c>
      <c r="I105" s="22">
        <v>0</v>
      </c>
      <c r="J105" s="23"/>
      <c r="K105" s="22">
        <v>0</v>
      </c>
      <c r="L105" s="22">
        <v>0</v>
      </c>
      <c r="M105" s="23"/>
      <c r="N105" s="22">
        <v>0</v>
      </c>
      <c r="O105" s="22">
        <f t="shared" si="15"/>
        <v>88.366457142857143</v>
      </c>
      <c r="P105" s="22">
        <v>0</v>
      </c>
      <c r="Q105" s="22">
        <v>0</v>
      </c>
      <c r="R105" s="22">
        <f t="shared" si="16"/>
        <v>1761.9736000000003</v>
      </c>
      <c r="S105" s="22">
        <f t="shared" si="17"/>
        <v>4105.0236000000004</v>
      </c>
    </row>
    <row r="106" spans="2:19" x14ac:dyDescent="0.25">
      <c r="B106" s="78">
        <f>MAX($B$8:B105)+1</f>
        <v>94</v>
      </c>
      <c r="C106" s="78" t="s">
        <v>156</v>
      </c>
      <c r="D106" s="23" t="s">
        <v>206</v>
      </c>
      <c r="E106" s="151" t="str">
        <f>'EP IS Restatements'!E106</f>
        <v>Transportation</v>
      </c>
      <c r="F106" s="22">
        <f>'EP IS Restatements'!M106</f>
        <v>73263.03</v>
      </c>
      <c r="G106" s="22">
        <f>VLOOKUP($C106,'WP PF1'!$C$10:$F$127,4,FALSE)</f>
        <v>52330.735714285707</v>
      </c>
      <c r="H106" s="22">
        <v>0</v>
      </c>
      <c r="I106" s="22">
        <v>0</v>
      </c>
      <c r="J106" s="23"/>
      <c r="K106" s="22">
        <v>0</v>
      </c>
      <c r="L106" s="22">
        <v>0</v>
      </c>
      <c r="M106" s="23"/>
      <c r="N106" s="22">
        <v>0</v>
      </c>
      <c r="O106" s="22">
        <f t="shared" si="15"/>
        <v>2763.0628457142852</v>
      </c>
      <c r="P106" s="22">
        <v>0</v>
      </c>
      <c r="Q106" s="22">
        <v>0</v>
      </c>
      <c r="R106" s="22">
        <f t="shared" si="16"/>
        <v>55093.798559999996</v>
      </c>
      <c r="S106" s="22">
        <f t="shared" si="17"/>
        <v>128356.82855999999</v>
      </c>
    </row>
    <row r="107" spans="2:19" x14ac:dyDescent="0.25">
      <c r="B107" s="78">
        <f>MAX($B$8:B106)+1</f>
        <v>95</v>
      </c>
      <c r="C107" s="78" t="s">
        <v>157</v>
      </c>
      <c r="D107" s="23" t="s">
        <v>207</v>
      </c>
      <c r="E107" s="151" t="str">
        <f>'EP IS Restatements'!E107</f>
        <v>Salary and Wages - Employees</v>
      </c>
      <c r="F107" s="22">
        <f>'EP IS Restatements'!M107</f>
        <v>41908.050000000003</v>
      </c>
      <c r="G107" s="22">
        <f>VLOOKUP($C107,'WP PF1'!$C$10:$F$127,4,FALSE)</f>
        <v>29934.321428571435</v>
      </c>
      <c r="H107" s="22">
        <v>0</v>
      </c>
      <c r="I107" s="22">
        <v>0</v>
      </c>
      <c r="J107" s="22">
        <f>SUM(F107:I107)*0.032</f>
        <v>2298.9558857142861</v>
      </c>
      <c r="K107" s="22">
        <v>0</v>
      </c>
      <c r="L107" s="22">
        <v>0</v>
      </c>
      <c r="M107" s="23"/>
      <c r="N107" s="22">
        <v>0</v>
      </c>
      <c r="O107" s="22">
        <f t="shared" si="15"/>
        <v>0</v>
      </c>
      <c r="P107" s="22">
        <v>0</v>
      </c>
      <c r="Q107" s="22">
        <v>0</v>
      </c>
      <c r="R107" s="22">
        <f t="shared" si="16"/>
        <v>32233.277314285722</v>
      </c>
      <c r="S107" s="22">
        <f t="shared" si="17"/>
        <v>74141.327314285722</v>
      </c>
    </row>
    <row r="108" spans="2:19" x14ac:dyDescent="0.25">
      <c r="B108" s="78">
        <f>MAX($B$8:B107)+1</f>
        <v>96</v>
      </c>
      <c r="C108" s="78" t="s">
        <v>158</v>
      </c>
      <c r="D108" s="23" t="s">
        <v>190</v>
      </c>
      <c r="E108" s="151" t="str">
        <f>'EP IS Restatements'!E108</f>
        <v>Material &amp; Supplies</v>
      </c>
      <c r="F108" s="22">
        <f>'EP IS Restatements'!M108</f>
        <v>68256.100000000006</v>
      </c>
      <c r="G108" s="22">
        <f>VLOOKUP($C108,'WP PF1'!$C$10:$F$127,4,FALSE)</f>
        <v>48754.357142857145</v>
      </c>
      <c r="H108" s="22">
        <v>0</v>
      </c>
      <c r="I108" s="22">
        <v>0</v>
      </c>
      <c r="J108" s="23"/>
      <c r="K108" s="22">
        <v>0</v>
      </c>
      <c r="L108" s="22">
        <v>0</v>
      </c>
      <c r="M108" s="23"/>
      <c r="N108" s="22">
        <v>0</v>
      </c>
      <c r="O108" s="22">
        <f t="shared" si="15"/>
        <v>2574.2300571428573</v>
      </c>
      <c r="P108" s="22">
        <v>0</v>
      </c>
      <c r="Q108" s="22">
        <v>0</v>
      </c>
      <c r="R108" s="22">
        <f t="shared" si="16"/>
        <v>51328.587200000002</v>
      </c>
      <c r="S108" s="22">
        <f t="shared" si="17"/>
        <v>119584.68720000001</v>
      </c>
    </row>
    <row r="109" spans="2:19" x14ac:dyDescent="0.25">
      <c r="B109" s="78">
        <f>MAX($B$8:B108)+1</f>
        <v>97</v>
      </c>
      <c r="C109" s="78" t="s">
        <v>159</v>
      </c>
      <c r="D109" s="23" t="s">
        <v>208</v>
      </c>
      <c r="E109" s="151" t="str">
        <f>'EP IS Restatements'!E109</f>
        <v>Rental of Building, Property, and Equipment</v>
      </c>
      <c r="F109" s="22">
        <f>'EP IS Restatements'!M109</f>
        <v>0</v>
      </c>
      <c r="G109" s="22">
        <f>VLOOKUP($C109,'WP PF1'!$C$10:$F$127,4,FALSE)</f>
        <v>0</v>
      </c>
      <c r="H109" s="22">
        <v>0</v>
      </c>
      <c r="I109" s="22">
        <v>0</v>
      </c>
      <c r="J109" s="23"/>
      <c r="K109" s="22">
        <v>0</v>
      </c>
      <c r="L109" s="22">
        <v>0</v>
      </c>
      <c r="M109" s="23"/>
      <c r="N109" s="22">
        <v>0</v>
      </c>
      <c r="O109" s="22">
        <f t="shared" si="15"/>
        <v>0</v>
      </c>
      <c r="P109" s="22">
        <v>0</v>
      </c>
      <c r="Q109" s="22">
        <v>0</v>
      </c>
      <c r="R109" s="22">
        <f t="shared" si="16"/>
        <v>0</v>
      </c>
      <c r="S109" s="22">
        <f t="shared" si="17"/>
        <v>0</v>
      </c>
    </row>
    <row r="110" spans="2:19" x14ac:dyDescent="0.25">
      <c r="B110" s="78">
        <f>MAX($B$8:B109)+1</f>
        <v>98</v>
      </c>
      <c r="C110" s="78" t="s">
        <v>160</v>
      </c>
      <c r="D110" s="23" t="s">
        <v>209</v>
      </c>
      <c r="E110" s="151" t="str">
        <f>'EP IS Restatements'!E110</f>
        <v>Transportation</v>
      </c>
      <c r="F110" s="22">
        <f>'EP IS Restatements'!M110</f>
        <v>0</v>
      </c>
      <c r="G110" s="22">
        <f>VLOOKUP($C110,'WP PF1'!$C$10:$F$127,4,FALSE)</f>
        <v>0</v>
      </c>
      <c r="H110" s="22">
        <v>0</v>
      </c>
      <c r="I110" s="22">
        <v>0</v>
      </c>
      <c r="J110" s="23"/>
      <c r="K110" s="22">
        <v>0</v>
      </c>
      <c r="L110" s="22">
        <v>0</v>
      </c>
      <c r="M110" s="23"/>
      <c r="N110" s="22">
        <v>0</v>
      </c>
      <c r="O110" s="22">
        <f t="shared" si="15"/>
        <v>0</v>
      </c>
      <c r="P110" s="22">
        <v>0</v>
      </c>
      <c r="Q110" s="22">
        <v>0</v>
      </c>
      <c r="R110" s="22">
        <f t="shared" si="16"/>
        <v>0</v>
      </c>
      <c r="S110" s="22">
        <f t="shared" si="17"/>
        <v>0</v>
      </c>
    </row>
    <row r="111" spans="2:19" x14ac:dyDescent="0.25">
      <c r="B111" s="78">
        <f>MAX($B$8:B110)+1</f>
        <v>99</v>
      </c>
      <c r="C111" s="78" t="s">
        <v>161</v>
      </c>
      <c r="D111" s="23" t="s">
        <v>210</v>
      </c>
      <c r="E111" s="151" t="str">
        <f>'EP IS Restatements'!E111</f>
        <v>Salary and Wages - Employees</v>
      </c>
      <c r="F111" s="22">
        <f>'EP IS Restatements'!M111</f>
        <v>220081.7</v>
      </c>
      <c r="G111" s="22">
        <f>VLOOKUP($C111,'WP PF1'!$C$10:$F$127,4,FALSE)</f>
        <v>157201.21428571432</v>
      </c>
      <c r="H111" s="22">
        <v>0</v>
      </c>
      <c r="I111" s="22">
        <v>0</v>
      </c>
      <c r="J111" s="22">
        <f>SUM(F111:I111)*0.032</f>
        <v>12073.053257142859</v>
      </c>
      <c r="K111" s="22">
        <v>0</v>
      </c>
      <c r="L111" s="22">
        <v>0</v>
      </c>
      <c r="M111" s="23"/>
      <c r="N111" s="22">
        <v>0</v>
      </c>
      <c r="O111" s="22">
        <f t="shared" si="15"/>
        <v>0</v>
      </c>
      <c r="P111" s="22">
        <v>0</v>
      </c>
      <c r="Q111" s="22">
        <v>0</v>
      </c>
      <c r="R111" s="22">
        <f t="shared" si="16"/>
        <v>169274.26754285718</v>
      </c>
      <c r="S111" s="22">
        <f t="shared" si="17"/>
        <v>389355.96754285716</v>
      </c>
    </row>
    <row r="112" spans="2:19" x14ac:dyDescent="0.25">
      <c r="B112" s="78">
        <f>MAX($B$8:B111)+1</f>
        <v>100</v>
      </c>
      <c r="C112" s="78" t="s">
        <v>162</v>
      </c>
      <c r="D112" s="23" t="s">
        <v>211</v>
      </c>
      <c r="E112" s="151" t="str">
        <f>'EP IS Restatements'!E112</f>
        <v>Miscellaneous</v>
      </c>
      <c r="F112" s="22">
        <f>'EP IS Restatements'!M112</f>
        <v>3555.62</v>
      </c>
      <c r="G112" s="22">
        <f>VLOOKUP($C112,'WP PF1'!$C$10:$F$127,4,FALSE)</f>
        <v>2539.7285714285717</v>
      </c>
      <c r="H112" s="22">
        <v>0</v>
      </c>
      <c r="I112" s="22">
        <v>0</v>
      </c>
      <c r="J112" s="23"/>
      <c r="K112" s="22">
        <v>0</v>
      </c>
      <c r="L112" s="22">
        <v>0</v>
      </c>
      <c r="M112" s="23"/>
      <c r="N112" s="22">
        <v>0</v>
      </c>
      <c r="O112" s="22">
        <f t="shared" si="15"/>
        <v>134.09766857142856</v>
      </c>
      <c r="P112" s="22">
        <v>0</v>
      </c>
      <c r="Q112" s="22">
        <v>0</v>
      </c>
      <c r="R112" s="22">
        <f t="shared" si="16"/>
        <v>2673.8262400000003</v>
      </c>
      <c r="S112" s="22">
        <f t="shared" si="17"/>
        <v>6229.4462400000002</v>
      </c>
    </row>
    <row r="113" spans="2:19" x14ac:dyDescent="0.25">
      <c r="B113" s="78">
        <f>MAX($B$8:B112)+1</f>
        <v>101</v>
      </c>
      <c r="C113" s="78" t="s">
        <v>163</v>
      </c>
      <c r="D113" s="23" t="s">
        <v>212</v>
      </c>
      <c r="E113" s="151" t="str">
        <f>'EP IS Restatements'!E113</f>
        <v>Office, Postage, Phone, and Bank Charges</v>
      </c>
      <c r="F113" s="22">
        <f>'EP IS Restatements'!M113</f>
        <v>0</v>
      </c>
      <c r="G113" s="22">
        <f>VLOOKUP($C113,'WP PF1'!$C$10:$F$127,4,FALSE)</f>
        <v>0</v>
      </c>
      <c r="H113" s="22">
        <v>0</v>
      </c>
      <c r="I113" s="22">
        <v>0</v>
      </c>
      <c r="J113" s="23"/>
      <c r="K113" s="22">
        <v>0</v>
      </c>
      <c r="L113" s="22">
        <v>0</v>
      </c>
      <c r="M113" s="23"/>
      <c r="N113" s="22">
        <v>0</v>
      </c>
      <c r="O113" s="22">
        <f t="shared" si="15"/>
        <v>0</v>
      </c>
      <c r="P113" s="22">
        <v>0</v>
      </c>
      <c r="Q113" s="22">
        <v>0</v>
      </c>
      <c r="R113" s="22">
        <f t="shared" si="16"/>
        <v>0</v>
      </c>
      <c r="S113" s="22">
        <f t="shared" si="17"/>
        <v>0</v>
      </c>
    </row>
    <row r="114" spans="2:19" x14ac:dyDescent="0.25">
      <c r="B114" s="78">
        <f>MAX($B$8:B113)+1</f>
        <v>102</v>
      </c>
      <c r="C114" s="78" t="s">
        <v>164</v>
      </c>
      <c r="D114" s="23" t="s">
        <v>213</v>
      </c>
      <c r="E114" s="151" t="str">
        <f>'EP IS Restatements'!E114</f>
        <v>Office, Postage, Phone, and Bank Charges</v>
      </c>
      <c r="F114" s="22">
        <f>'EP IS Restatements'!M114</f>
        <v>49000</v>
      </c>
      <c r="G114" s="22">
        <f>VLOOKUP($C114,'WP PF1'!$C$10:$F$127,4,FALSE)</f>
        <v>35000</v>
      </c>
      <c r="H114" s="22">
        <v>0</v>
      </c>
      <c r="I114" s="22">
        <v>0</v>
      </c>
      <c r="J114" s="23"/>
      <c r="K114" s="22">
        <v>0</v>
      </c>
      <c r="L114" s="22">
        <v>0</v>
      </c>
      <c r="M114" s="23"/>
      <c r="N114" s="22">
        <v>0</v>
      </c>
      <c r="O114" s="22">
        <f t="shared" si="15"/>
        <v>1848</v>
      </c>
      <c r="P114" s="22">
        <v>0</v>
      </c>
      <c r="Q114" s="22">
        <v>0</v>
      </c>
      <c r="R114" s="22">
        <f t="shared" si="16"/>
        <v>36848</v>
      </c>
      <c r="S114" s="22">
        <f t="shared" si="17"/>
        <v>85848</v>
      </c>
    </row>
    <row r="115" spans="2:19" x14ac:dyDescent="0.25">
      <c r="B115" s="78">
        <f>MAX($B$8:B114)+1</f>
        <v>103</v>
      </c>
      <c r="C115" s="78" t="s">
        <v>165</v>
      </c>
      <c r="D115" s="23" t="s">
        <v>214</v>
      </c>
      <c r="E115" s="151" t="str">
        <f>'EP IS Restatements'!E115</f>
        <v>Material &amp; Supplies</v>
      </c>
      <c r="F115" s="22">
        <f>'EP IS Restatements'!M115</f>
        <v>11174.97</v>
      </c>
      <c r="G115" s="22">
        <f>VLOOKUP($C115,'WP PF1'!$C$10:$F$127,4,FALSE)</f>
        <v>7982.1214285714286</v>
      </c>
      <c r="H115" s="22">
        <v>0</v>
      </c>
      <c r="I115" s="22">
        <v>0</v>
      </c>
      <c r="J115" s="23"/>
      <c r="K115" s="22">
        <v>0</v>
      </c>
      <c r="L115" s="22">
        <v>0</v>
      </c>
      <c r="M115" s="23"/>
      <c r="N115" s="22">
        <v>0</v>
      </c>
      <c r="O115" s="22">
        <f t="shared" si="15"/>
        <v>421.4560114285714</v>
      </c>
      <c r="P115" s="22">
        <v>0</v>
      </c>
      <c r="Q115" s="22">
        <v>0</v>
      </c>
      <c r="R115" s="22">
        <f t="shared" si="16"/>
        <v>8403.5774400000009</v>
      </c>
      <c r="S115" s="22">
        <f t="shared" si="17"/>
        <v>19578.547440000002</v>
      </c>
    </row>
    <row r="116" spans="2:19" x14ac:dyDescent="0.25">
      <c r="B116" s="78">
        <f>MAX($B$8:B115)+1</f>
        <v>104</v>
      </c>
      <c r="C116" s="78" t="s">
        <v>166</v>
      </c>
      <c r="D116" s="23" t="s">
        <v>215</v>
      </c>
      <c r="E116" s="151" t="str">
        <f>'EP IS Restatements'!E116</f>
        <v>Rental of Building, Property, and Equipment</v>
      </c>
      <c r="F116" s="22">
        <f>'EP IS Restatements'!M116</f>
        <v>0</v>
      </c>
      <c r="G116" s="22">
        <f>VLOOKUP($C116,'WP PF1'!$C$10:$F$127,4,FALSE)</f>
        <v>0</v>
      </c>
      <c r="H116" s="22">
        <v>0</v>
      </c>
      <c r="I116" s="22">
        <v>0</v>
      </c>
      <c r="J116" s="23"/>
      <c r="K116" s="22">
        <v>0</v>
      </c>
      <c r="L116" s="22">
        <v>0</v>
      </c>
      <c r="M116" s="23"/>
      <c r="N116" s="22">
        <v>0</v>
      </c>
      <c r="O116" s="22">
        <f t="shared" si="15"/>
        <v>0</v>
      </c>
      <c r="P116" s="22">
        <v>0</v>
      </c>
      <c r="Q116" s="22">
        <v>0</v>
      </c>
      <c r="R116" s="22">
        <f t="shared" si="16"/>
        <v>0</v>
      </c>
      <c r="S116" s="22">
        <f t="shared" si="17"/>
        <v>0</v>
      </c>
    </row>
    <row r="117" spans="2:19" x14ac:dyDescent="0.25">
      <c r="B117" s="78">
        <f>MAX($B$8:B116)+1</f>
        <v>105</v>
      </c>
      <c r="C117" s="78" t="s">
        <v>167</v>
      </c>
      <c r="D117" s="23" t="s">
        <v>216</v>
      </c>
      <c r="E117" s="151" t="str">
        <f>'EP IS Restatements'!E117</f>
        <v>Office, Postage, Phone, and Bank Charges</v>
      </c>
      <c r="F117" s="22">
        <f>'EP IS Restatements'!M117</f>
        <v>0</v>
      </c>
      <c r="G117" s="22">
        <f>VLOOKUP($C117,'WP PF1'!$C$10:$F$127,4,FALSE)</f>
        <v>0</v>
      </c>
      <c r="H117" s="22">
        <v>0</v>
      </c>
      <c r="I117" s="22">
        <v>0</v>
      </c>
      <c r="J117" s="23"/>
      <c r="K117" s="22">
        <v>0</v>
      </c>
      <c r="L117" s="22">
        <v>0</v>
      </c>
      <c r="M117" s="23"/>
      <c r="N117" s="22">
        <v>0</v>
      </c>
      <c r="O117" s="22">
        <f t="shared" si="15"/>
        <v>0</v>
      </c>
      <c r="P117" s="22">
        <v>0</v>
      </c>
      <c r="Q117" s="22">
        <v>0</v>
      </c>
      <c r="R117" s="22">
        <f t="shared" si="16"/>
        <v>0</v>
      </c>
      <c r="S117" s="22">
        <f t="shared" si="17"/>
        <v>0</v>
      </c>
    </row>
    <row r="118" spans="2:19" x14ac:dyDescent="0.25">
      <c r="B118" s="78">
        <f>MAX($B$8:B117)+1</f>
        <v>106</v>
      </c>
      <c r="C118" s="78" t="s">
        <v>168</v>
      </c>
      <c r="D118" s="23" t="s">
        <v>217</v>
      </c>
      <c r="E118" s="151" t="str">
        <f>'EP IS Restatements'!E118</f>
        <v>Office, Postage, Phone, and Bank Charges</v>
      </c>
      <c r="F118" s="22">
        <f>'EP IS Restatements'!M118</f>
        <v>11433.239999999998</v>
      </c>
      <c r="G118" s="22">
        <f>VLOOKUP($C118,'WP PF1'!$C$10:$F$127,4,FALSE)</f>
        <v>8166.5999999999985</v>
      </c>
      <c r="H118" s="22">
        <v>0</v>
      </c>
      <c r="I118" s="22">
        <v>0</v>
      </c>
      <c r="J118" s="23"/>
      <c r="K118" s="22">
        <v>0</v>
      </c>
      <c r="L118" s="22">
        <v>0</v>
      </c>
      <c r="M118" s="23"/>
      <c r="N118" s="22">
        <v>0</v>
      </c>
      <c r="O118" s="22">
        <f t="shared" si="15"/>
        <v>431.19647999999989</v>
      </c>
      <c r="P118" s="22">
        <v>0</v>
      </c>
      <c r="Q118" s="22">
        <v>0</v>
      </c>
      <c r="R118" s="22">
        <f t="shared" si="16"/>
        <v>8597.7964799999991</v>
      </c>
      <c r="S118" s="22">
        <f t="shared" si="17"/>
        <v>20031.036479999995</v>
      </c>
    </row>
    <row r="119" spans="2:19" x14ac:dyDescent="0.25">
      <c r="B119" s="78">
        <f>MAX($B$8:B118)+1</f>
        <v>107</v>
      </c>
      <c r="C119" s="78" t="s">
        <v>169</v>
      </c>
      <c r="D119" s="23" t="s">
        <v>87</v>
      </c>
      <c r="E119" s="151" t="str">
        <f>'EP IS Restatements'!E119</f>
        <v>Office, Postage, Phone, and Bank Charges</v>
      </c>
      <c r="F119" s="22">
        <f>'EP IS Restatements'!M119</f>
        <v>0</v>
      </c>
      <c r="G119" s="22">
        <f>VLOOKUP($C119,'WP PF1'!$C$10:$F$127,4,FALSE)</f>
        <v>0</v>
      </c>
      <c r="H119" s="22">
        <v>0</v>
      </c>
      <c r="I119" s="22">
        <v>0</v>
      </c>
      <c r="J119" s="23"/>
      <c r="K119" s="22">
        <v>0</v>
      </c>
      <c r="L119" s="22">
        <v>0</v>
      </c>
      <c r="M119" s="23"/>
      <c r="N119" s="22">
        <v>0</v>
      </c>
      <c r="O119" s="22">
        <f t="shared" si="15"/>
        <v>0</v>
      </c>
      <c r="P119" s="22">
        <v>0</v>
      </c>
      <c r="Q119" s="22">
        <v>0</v>
      </c>
      <c r="R119" s="22">
        <f t="shared" si="16"/>
        <v>0</v>
      </c>
      <c r="S119" s="22">
        <f t="shared" si="17"/>
        <v>0</v>
      </c>
    </row>
    <row r="120" spans="2:19" x14ac:dyDescent="0.25">
      <c r="B120" s="78">
        <f>MAX($B$8:B119)+1</f>
        <v>108</v>
      </c>
      <c r="C120" s="78" t="s">
        <v>170</v>
      </c>
      <c r="D120" s="23" t="s">
        <v>88</v>
      </c>
      <c r="E120" s="151" t="str">
        <f>'EP IS Restatements'!E120</f>
        <v>Office, Postage, Phone, and Bank Charges</v>
      </c>
      <c r="F120" s="22">
        <f>'EP IS Restatements'!M120</f>
        <v>56513.8</v>
      </c>
      <c r="G120" s="22">
        <f>VLOOKUP($C120,'WP PF1'!$C$10:$F$127,4,FALSE)</f>
        <v>40367.000000000015</v>
      </c>
      <c r="H120" s="22">
        <v>0</v>
      </c>
      <c r="I120" s="22">
        <v>0</v>
      </c>
      <c r="J120" s="23"/>
      <c r="K120" s="22">
        <v>0</v>
      </c>
      <c r="L120" s="22">
        <v>0</v>
      </c>
      <c r="M120" s="23"/>
      <c r="N120" s="22">
        <v>0</v>
      </c>
      <c r="O120" s="22">
        <f t="shared" si="15"/>
        <v>2131.3776000000003</v>
      </c>
      <c r="P120" s="22">
        <v>0</v>
      </c>
      <c r="Q120" s="22">
        <v>0</v>
      </c>
      <c r="R120" s="22">
        <f t="shared" si="16"/>
        <v>42498.377600000014</v>
      </c>
      <c r="S120" s="22">
        <f t="shared" si="17"/>
        <v>99012.177600000025</v>
      </c>
    </row>
    <row r="121" spans="2:19" x14ac:dyDescent="0.25">
      <c r="B121" s="78">
        <f>MAX($B$8:B120)+1</f>
        <v>109</v>
      </c>
      <c r="C121" s="78" t="s">
        <v>171</v>
      </c>
      <c r="D121" s="23" t="s">
        <v>218</v>
      </c>
      <c r="E121" s="151" t="str">
        <f>'EP IS Restatements'!E121</f>
        <v>Office, Postage, Phone, and Bank Charges</v>
      </c>
      <c r="F121" s="22">
        <f>'EP IS Restatements'!M121</f>
        <v>0</v>
      </c>
      <c r="G121" s="22">
        <f>VLOOKUP($C121,'WP PF1'!$C$10:$F$127,4,FALSE)</f>
        <v>0</v>
      </c>
      <c r="H121" s="22">
        <v>0</v>
      </c>
      <c r="I121" s="22">
        <v>0</v>
      </c>
      <c r="J121" s="23"/>
      <c r="K121" s="22">
        <v>0</v>
      </c>
      <c r="L121" s="22">
        <v>0</v>
      </c>
      <c r="M121" s="23"/>
      <c r="N121" s="22">
        <v>0</v>
      </c>
      <c r="O121" s="22">
        <f t="shared" si="15"/>
        <v>0</v>
      </c>
      <c r="P121" s="22">
        <v>0</v>
      </c>
      <c r="Q121" s="22">
        <v>0</v>
      </c>
      <c r="R121" s="22">
        <f t="shared" si="16"/>
        <v>0</v>
      </c>
      <c r="S121" s="22">
        <f t="shared" si="17"/>
        <v>0</v>
      </c>
    </row>
    <row r="122" spans="2:19" x14ac:dyDescent="0.25">
      <c r="B122" s="78">
        <f>MAX($B$8:B121)+1</f>
        <v>110</v>
      </c>
      <c r="C122" s="78" t="s">
        <v>172</v>
      </c>
      <c r="D122" s="23" t="s">
        <v>219</v>
      </c>
      <c r="E122" s="151" t="str">
        <f>'EP IS Restatements'!E122</f>
        <v>Office, Postage, Phone, and Bank Charges</v>
      </c>
      <c r="F122" s="22">
        <f>'EP IS Restatements'!M122</f>
        <v>0</v>
      </c>
      <c r="G122" s="22">
        <f>VLOOKUP($C122,'WP PF1'!$C$10:$F$127,4,FALSE)</f>
        <v>0</v>
      </c>
      <c r="H122" s="22">
        <v>0</v>
      </c>
      <c r="I122" s="22">
        <v>0</v>
      </c>
      <c r="J122" s="23"/>
      <c r="K122" s="22">
        <v>0</v>
      </c>
      <c r="L122" s="22">
        <v>0</v>
      </c>
      <c r="M122" s="23"/>
      <c r="N122" s="22">
        <v>0</v>
      </c>
      <c r="O122" s="22">
        <f t="shared" si="15"/>
        <v>0</v>
      </c>
      <c r="P122" s="22">
        <v>0</v>
      </c>
      <c r="Q122" s="22">
        <v>0</v>
      </c>
      <c r="R122" s="22">
        <f t="shared" si="16"/>
        <v>0</v>
      </c>
      <c r="S122" s="22">
        <f t="shared" si="17"/>
        <v>0</v>
      </c>
    </row>
    <row r="123" spans="2:19" x14ac:dyDescent="0.25">
      <c r="B123" s="78">
        <f>MAX($B$8:B122)+1</f>
        <v>111</v>
      </c>
      <c r="C123" s="78" t="s">
        <v>173</v>
      </c>
      <c r="D123" s="23" t="s">
        <v>220</v>
      </c>
      <c r="E123" s="151" t="str">
        <f>'EP IS Restatements'!E123</f>
        <v>Contractual Operations</v>
      </c>
      <c r="F123" s="22">
        <f>'EP IS Restatements'!M123</f>
        <v>1045.69</v>
      </c>
      <c r="G123" s="22">
        <f>VLOOKUP($C123,'WP PF1'!$C$10:$F$127,4,FALSE)</f>
        <v>746.92142857142858</v>
      </c>
      <c r="H123" s="22">
        <v>0</v>
      </c>
      <c r="I123" s="22">
        <v>0</v>
      </c>
      <c r="J123" s="23"/>
      <c r="K123" s="22">
        <v>0</v>
      </c>
      <c r="L123" s="22">
        <v>0</v>
      </c>
      <c r="M123" s="23"/>
      <c r="N123" s="22">
        <v>0</v>
      </c>
      <c r="O123" s="22">
        <f t="shared" si="15"/>
        <v>39.437451428571428</v>
      </c>
      <c r="P123" s="22">
        <v>0</v>
      </c>
      <c r="Q123" s="22">
        <v>0</v>
      </c>
      <c r="R123" s="22">
        <f t="shared" si="16"/>
        <v>786.35888</v>
      </c>
      <c r="S123" s="22">
        <f t="shared" si="17"/>
        <v>1832.0488800000001</v>
      </c>
    </row>
    <row r="124" spans="2:19" x14ac:dyDescent="0.25">
      <c r="B124" s="78">
        <f>MAX($B$8:B123)+1</f>
        <v>112</v>
      </c>
      <c r="C124" s="78" t="s">
        <v>174</v>
      </c>
      <c r="D124" s="23" t="s">
        <v>221</v>
      </c>
      <c r="E124" s="151" t="str">
        <f>'EP IS Restatements'!E124</f>
        <v>Miscellaneous</v>
      </c>
      <c r="F124" s="22">
        <f>'EP IS Restatements'!M124</f>
        <v>0</v>
      </c>
      <c r="G124" s="22">
        <f>VLOOKUP($C124,'WP PF1'!$C$10:$F$127,4,FALSE)</f>
        <v>0</v>
      </c>
      <c r="H124" s="22">
        <v>0</v>
      </c>
      <c r="I124" s="22">
        <v>0</v>
      </c>
      <c r="J124" s="23"/>
      <c r="K124" s="22">
        <v>0</v>
      </c>
      <c r="L124" s="22">
        <v>0</v>
      </c>
      <c r="M124" s="23"/>
      <c r="N124" s="22">
        <v>0</v>
      </c>
      <c r="O124" s="22">
        <f t="shared" si="15"/>
        <v>0</v>
      </c>
      <c r="P124" s="22">
        <v>0</v>
      </c>
      <c r="Q124" s="22">
        <v>0</v>
      </c>
      <c r="R124" s="22">
        <f t="shared" si="16"/>
        <v>0</v>
      </c>
      <c r="S124" s="22">
        <f t="shared" si="17"/>
        <v>0</v>
      </c>
    </row>
    <row r="125" spans="2:19" x14ac:dyDescent="0.25">
      <c r="B125" s="78">
        <f>MAX($B$8:B124)+1</f>
        <v>113</v>
      </c>
      <c r="C125" s="78" t="s">
        <v>175</v>
      </c>
      <c r="D125" s="23" t="s">
        <v>222</v>
      </c>
      <c r="E125" s="151" t="str">
        <f>'EP IS Restatements'!E125</f>
        <v>Bad Debt</v>
      </c>
      <c r="F125" s="22">
        <f>'EP IS Restatements'!M125</f>
        <v>24003.367700000006</v>
      </c>
      <c r="G125" s="22"/>
      <c r="H125" s="22">
        <v>0</v>
      </c>
      <c r="I125" s="22">
        <v>0</v>
      </c>
      <c r="J125" s="23"/>
      <c r="K125" s="22">
        <v>0</v>
      </c>
      <c r="L125" s="22">
        <v>0</v>
      </c>
      <c r="M125" s="23"/>
      <c r="N125" s="22">
        <v>0</v>
      </c>
      <c r="O125" s="22"/>
      <c r="P125" s="22">
        <v>0</v>
      </c>
      <c r="Q125" s="22">
        <v>0</v>
      </c>
      <c r="R125" s="22">
        <f t="shared" si="16"/>
        <v>0</v>
      </c>
      <c r="S125" s="22">
        <f t="shared" si="17"/>
        <v>24003.367700000006</v>
      </c>
    </row>
    <row r="126" spans="2:19" x14ac:dyDescent="0.25">
      <c r="B126" s="78">
        <f>MAX($B$8:B125)+1</f>
        <v>114</v>
      </c>
      <c r="C126" s="78" t="s">
        <v>176</v>
      </c>
      <c r="D126" s="23" t="s">
        <v>223</v>
      </c>
      <c r="E126" s="151" t="str">
        <f>'EP IS Restatements'!E127</f>
        <v>Rental of Building, Property, and Equipment</v>
      </c>
      <c r="F126" s="22">
        <f>'EP IS Restatements'!M127</f>
        <v>0</v>
      </c>
      <c r="G126" s="22">
        <f>VLOOKUP($C126,'WP PF1'!$C$10:$F$127,4,FALSE)</f>
        <v>0</v>
      </c>
      <c r="H126" s="22">
        <v>0</v>
      </c>
      <c r="I126" s="22">
        <v>0</v>
      </c>
      <c r="J126" s="23"/>
      <c r="K126" s="22">
        <v>0</v>
      </c>
      <c r="L126" s="22">
        <v>0</v>
      </c>
      <c r="M126" s="23"/>
      <c r="N126" s="22">
        <v>0</v>
      </c>
      <c r="O126" s="22">
        <f t="shared" si="15"/>
        <v>0</v>
      </c>
      <c r="P126" s="22">
        <v>0</v>
      </c>
      <c r="Q126" s="22">
        <v>0</v>
      </c>
      <c r="R126" s="22">
        <f t="shared" si="16"/>
        <v>0</v>
      </c>
      <c r="S126" s="22">
        <f t="shared" si="17"/>
        <v>0</v>
      </c>
    </row>
    <row r="127" spans="2:19" x14ac:dyDescent="0.25">
      <c r="B127" s="78">
        <f>MAX($B$8:B126)+1</f>
        <v>115</v>
      </c>
      <c r="C127" s="78" t="s">
        <v>177</v>
      </c>
      <c r="D127" s="23" t="s">
        <v>224</v>
      </c>
      <c r="E127" s="151" t="str">
        <f>'EP IS Restatements'!E128</f>
        <v>Rental of Building, Property, and Equipment</v>
      </c>
      <c r="F127" s="22">
        <f>'EP IS Restatements'!M128</f>
        <v>162036.63</v>
      </c>
      <c r="G127" s="22">
        <f>VLOOKUP($C127,'WP PF1'!$C$10:$F$127,4,FALSE)</f>
        <v>115740.45000000001</v>
      </c>
      <c r="H127" s="22">
        <v>0</v>
      </c>
      <c r="I127" s="22">
        <v>0</v>
      </c>
      <c r="J127" s="23"/>
      <c r="K127" s="22">
        <v>0</v>
      </c>
      <c r="L127" s="22">
        <v>0</v>
      </c>
      <c r="M127" s="23"/>
      <c r="N127" s="22">
        <v>0</v>
      </c>
      <c r="O127" s="22">
        <f t="shared" si="15"/>
        <v>6111.0957600000002</v>
      </c>
      <c r="P127" s="22">
        <v>0</v>
      </c>
      <c r="Q127" s="22">
        <v>0</v>
      </c>
      <c r="R127" s="22">
        <f t="shared" si="16"/>
        <v>121851.54576000001</v>
      </c>
      <c r="S127" s="22">
        <f t="shared" si="17"/>
        <v>283888.17576000001</v>
      </c>
    </row>
    <row r="128" spans="2:19" x14ac:dyDescent="0.25">
      <c r="B128" s="78">
        <f>MAX($B$8:B127)+1</f>
        <v>116</v>
      </c>
      <c r="C128" s="78" t="s">
        <v>178</v>
      </c>
      <c r="D128" s="23" t="s">
        <v>225</v>
      </c>
      <c r="E128" s="151" t="str">
        <f>'EP IS Restatements'!E129</f>
        <v>Office, Postage, Phone, and Bank Charges</v>
      </c>
      <c r="F128" s="22">
        <f>'EP IS Restatements'!M129</f>
        <v>-11900</v>
      </c>
      <c r="G128" s="22">
        <f>VLOOKUP($C128,'WP PF1'!$C$10:$F$127,4,FALSE)</f>
        <v>-8500</v>
      </c>
      <c r="H128" s="22">
        <v>0</v>
      </c>
      <c r="I128" s="22">
        <v>0</v>
      </c>
      <c r="J128" s="23"/>
      <c r="K128" s="22">
        <v>0</v>
      </c>
      <c r="L128" s="22">
        <v>0</v>
      </c>
      <c r="M128" s="23"/>
      <c r="N128" s="22">
        <v>0</v>
      </c>
      <c r="O128" s="22">
        <f t="shared" ref="O128:O140" si="18">IF(SUM(J128:M128)=0,SUM(F128:M128)*0.022,0)</f>
        <v>-448.79999999999995</v>
      </c>
      <c r="P128" s="22">
        <v>0</v>
      </c>
      <c r="Q128" s="22">
        <v>0</v>
      </c>
      <c r="R128" s="22">
        <f t="shared" si="16"/>
        <v>-8948.7999999999993</v>
      </c>
      <c r="S128" s="22">
        <f t="shared" si="17"/>
        <v>-20848.8</v>
      </c>
    </row>
    <row r="129" spans="2:19" x14ac:dyDescent="0.25">
      <c r="B129" s="78">
        <f>MAX($B$8:B128)+1</f>
        <v>117</v>
      </c>
      <c r="C129" s="78" t="s">
        <v>226</v>
      </c>
      <c r="D129" s="23" t="s">
        <v>238</v>
      </c>
      <c r="E129" s="151" t="str">
        <f>'EP IS Restatements'!E130</f>
        <v>Salary and Wages - Employees</v>
      </c>
      <c r="F129" s="22">
        <f>'EP IS Restatements'!M130</f>
        <v>1090.9000000000001</v>
      </c>
      <c r="G129" s="22">
        <f>VLOOKUP($C129,'WP PF1'!$C$10:$F$127,4,FALSE)</f>
        <v>779.21428571428578</v>
      </c>
      <c r="H129" s="22">
        <v>0</v>
      </c>
      <c r="I129" s="22">
        <v>0</v>
      </c>
      <c r="J129" s="22">
        <f>SUM(F129:I129)*0.032</f>
        <v>59.843657142857147</v>
      </c>
      <c r="K129" s="22">
        <v>0</v>
      </c>
      <c r="L129" s="22">
        <v>0</v>
      </c>
      <c r="M129" s="23"/>
      <c r="N129" s="22">
        <v>0</v>
      </c>
      <c r="O129" s="22">
        <f t="shared" si="18"/>
        <v>0</v>
      </c>
      <c r="P129" s="22">
        <v>0</v>
      </c>
      <c r="Q129" s="22">
        <v>0</v>
      </c>
      <c r="R129" s="22">
        <f t="shared" ref="R129:R140" si="19">SUM(G129:Q129)</f>
        <v>839.05794285714296</v>
      </c>
      <c r="S129" s="22">
        <f t="shared" ref="S129:S140" si="20">F129+R129</f>
        <v>1929.9579428571431</v>
      </c>
    </row>
    <row r="130" spans="2:19" x14ac:dyDescent="0.25">
      <c r="B130" s="78">
        <f>MAX($B$8:B129)+1</f>
        <v>118</v>
      </c>
      <c r="C130" s="78" t="s">
        <v>227</v>
      </c>
      <c r="D130" s="23" t="s">
        <v>239</v>
      </c>
      <c r="E130" s="151" t="str">
        <f>'EP IS Restatements'!E131</f>
        <v>Material &amp; Supplies</v>
      </c>
      <c r="F130" s="22">
        <f>'EP IS Restatements'!M131</f>
        <v>0</v>
      </c>
      <c r="G130" s="22">
        <f>VLOOKUP($C130,'WP PF1'!$C$10:$F$127,4,FALSE)</f>
        <v>0</v>
      </c>
      <c r="H130" s="22">
        <v>0</v>
      </c>
      <c r="I130" s="22">
        <v>0</v>
      </c>
      <c r="J130" s="23"/>
      <c r="K130" s="22">
        <v>0</v>
      </c>
      <c r="L130" s="22">
        <v>0</v>
      </c>
      <c r="M130" s="23"/>
      <c r="N130" s="22">
        <v>0</v>
      </c>
      <c r="O130" s="22">
        <f t="shared" si="18"/>
        <v>0</v>
      </c>
      <c r="P130" s="22">
        <v>0</v>
      </c>
      <c r="Q130" s="22">
        <v>0</v>
      </c>
      <c r="R130" s="22">
        <f t="shared" si="19"/>
        <v>0</v>
      </c>
      <c r="S130" s="22">
        <f t="shared" si="20"/>
        <v>0</v>
      </c>
    </row>
    <row r="131" spans="2:19" x14ac:dyDescent="0.25">
      <c r="B131" s="78">
        <f>MAX($B$8:B130)+1</f>
        <v>119</v>
      </c>
      <c r="C131" s="78" t="s">
        <v>228</v>
      </c>
      <c r="D131" s="23" t="s">
        <v>240</v>
      </c>
      <c r="E131" s="151" t="str">
        <f>'EP IS Restatements'!E132</f>
        <v>Material &amp; Supplies</v>
      </c>
      <c r="F131" s="22">
        <f>'EP IS Restatements'!M132</f>
        <v>0</v>
      </c>
      <c r="G131" s="22">
        <f>VLOOKUP($C131,'WP PF1'!$C$10:$F$127,4,FALSE)</f>
        <v>0</v>
      </c>
      <c r="H131" s="22">
        <v>0</v>
      </c>
      <c r="I131" s="22">
        <v>0</v>
      </c>
      <c r="J131" s="23"/>
      <c r="K131" s="22">
        <v>0</v>
      </c>
      <c r="L131" s="22">
        <v>0</v>
      </c>
      <c r="M131" s="23"/>
      <c r="N131" s="22">
        <v>0</v>
      </c>
      <c r="O131" s="22">
        <f t="shared" si="18"/>
        <v>0</v>
      </c>
      <c r="P131" s="22">
        <v>0</v>
      </c>
      <c r="Q131" s="22">
        <v>0</v>
      </c>
      <c r="R131" s="22">
        <f t="shared" si="19"/>
        <v>0</v>
      </c>
      <c r="S131" s="22">
        <f t="shared" si="20"/>
        <v>0</v>
      </c>
    </row>
    <row r="132" spans="2:19" x14ac:dyDescent="0.25">
      <c r="B132" s="78">
        <f>MAX($B$8:B131)+1</f>
        <v>120</v>
      </c>
      <c r="C132" s="78" t="s">
        <v>229</v>
      </c>
      <c r="D132" s="23" t="s">
        <v>241</v>
      </c>
      <c r="E132" s="151" t="str">
        <f>'EP IS Restatements'!E133</f>
        <v>Material &amp; Supplies</v>
      </c>
      <c r="F132" s="22">
        <f>'EP IS Restatements'!M133</f>
        <v>43.93</v>
      </c>
      <c r="G132" s="22">
        <f>VLOOKUP($C132,'WP PF1'!$C$10:$F$127,4,FALSE)</f>
        <v>31.378571428571426</v>
      </c>
      <c r="H132" s="22">
        <v>0</v>
      </c>
      <c r="I132" s="22">
        <v>0</v>
      </c>
      <c r="J132" s="23"/>
      <c r="K132" s="22">
        <v>0</v>
      </c>
      <c r="L132" s="22">
        <v>0</v>
      </c>
      <c r="M132" s="23"/>
      <c r="N132" s="22">
        <v>0</v>
      </c>
      <c r="O132" s="22">
        <f t="shared" si="18"/>
        <v>1.6567885714285713</v>
      </c>
      <c r="P132" s="22">
        <v>0</v>
      </c>
      <c r="Q132" s="22">
        <v>0</v>
      </c>
      <c r="R132" s="22">
        <f t="shared" si="19"/>
        <v>33.035359999999997</v>
      </c>
      <c r="S132" s="22">
        <f t="shared" si="20"/>
        <v>76.965360000000004</v>
      </c>
    </row>
    <row r="133" spans="2:19" x14ac:dyDescent="0.25">
      <c r="B133" s="78">
        <f>MAX($B$8:B132)+1</f>
        <v>121</v>
      </c>
      <c r="C133" s="78" t="s">
        <v>230</v>
      </c>
      <c r="D133" s="23" t="s">
        <v>239</v>
      </c>
      <c r="E133" s="151" t="str">
        <f>'EP IS Restatements'!E134</f>
        <v>Material &amp; Supplies</v>
      </c>
      <c r="F133" s="22">
        <f>'EP IS Restatements'!M134</f>
        <v>0</v>
      </c>
      <c r="G133" s="22">
        <f>VLOOKUP($C133,'WP PF1'!$C$10:$F$127,4,FALSE)</f>
        <v>0</v>
      </c>
      <c r="H133" s="22">
        <v>0</v>
      </c>
      <c r="I133" s="22">
        <v>0</v>
      </c>
      <c r="J133" s="23"/>
      <c r="K133" s="22">
        <v>0</v>
      </c>
      <c r="L133" s="22">
        <v>0</v>
      </c>
      <c r="M133" s="23"/>
      <c r="N133" s="22">
        <v>0</v>
      </c>
      <c r="O133" s="22">
        <f t="shared" si="18"/>
        <v>0</v>
      </c>
      <c r="P133" s="22">
        <v>0</v>
      </c>
      <c r="Q133" s="22">
        <v>0</v>
      </c>
      <c r="R133" s="22">
        <f t="shared" si="19"/>
        <v>0</v>
      </c>
      <c r="S133" s="22">
        <f t="shared" si="20"/>
        <v>0</v>
      </c>
    </row>
    <row r="134" spans="2:19" x14ac:dyDescent="0.25">
      <c r="B134" s="78">
        <f>MAX($B$8:B133)+1</f>
        <v>122</v>
      </c>
      <c r="C134" s="78" t="s">
        <v>231</v>
      </c>
      <c r="D134" s="23" t="s">
        <v>242</v>
      </c>
      <c r="E134" s="151" t="str">
        <f>'EP IS Restatements'!E135</f>
        <v>Salary and Wages - Employees</v>
      </c>
      <c r="F134" s="22">
        <f>'EP IS Restatements'!M135</f>
        <v>306.31</v>
      </c>
      <c r="G134" s="22">
        <f>VLOOKUP($C134,'WP PF1'!$C$10:$F$127,4,FALSE)</f>
        <v>218.79285714285714</v>
      </c>
      <c r="H134" s="22">
        <v>0</v>
      </c>
      <c r="I134" s="22">
        <v>0</v>
      </c>
      <c r="J134" s="22">
        <f>SUM(F134:I134)*0.032</f>
        <v>16.803291428571431</v>
      </c>
      <c r="K134" s="22">
        <v>0</v>
      </c>
      <c r="L134" s="22">
        <v>0</v>
      </c>
      <c r="M134" s="23"/>
      <c r="N134" s="22">
        <v>0</v>
      </c>
      <c r="O134" s="22">
        <f t="shared" si="18"/>
        <v>0</v>
      </c>
      <c r="P134" s="22">
        <v>0</v>
      </c>
      <c r="Q134" s="22">
        <v>0</v>
      </c>
      <c r="R134" s="22">
        <f t="shared" si="19"/>
        <v>235.59614857142859</v>
      </c>
      <c r="S134" s="22">
        <f t="shared" si="20"/>
        <v>541.90614857142862</v>
      </c>
    </row>
    <row r="135" spans="2:19" x14ac:dyDescent="0.25">
      <c r="B135" s="78">
        <f>MAX($B$8:B134)+1</f>
        <v>123</v>
      </c>
      <c r="C135" s="78" t="s">
        <v>232</v>
      </c>
      <c r="D135" s="23" t="s">
        <v>243</v>
      </c>
      <c r="E135" s="151" t="str">
        <f>'EP IS Restatements'!E136</f>
        <v>Material &amp; Supplies</v>
      </c>
      <c r="F135" s="22">
        <f>'EP IS Restatements'!M136</f>
        <v>0</v>
      </c>
      <c r="G135" s="22">
        <f>VLOOKUP($C135,'WP PF1'!$C$10:$F$127,4,FALSE)</f>
        <v>0</v>
      </c>
      <c r="H135" s="22">
        <v>0</v>
      </c>
      <c r="I135" s="22">
        <v>0</v>
      </c>
      <c r="J135" s="23"/>
      <c r="K135" s="22">
        <v>0</v>
      </c>
      <c r="L135" s="22">
        <v>0</v>
      </c>
      <c r="M135" s="23"/>
      <c r="N135" s="22">
        <v>0</v>
      </c>
      <c r="O135" s="22">
        <f t="shared" si="18"/>
        <v>0</v>
      </c>
      <c r="P135" s="22">
        <v>0</v>
      </c>
      <c r="Q135" s="22">
        <v>0</v>
      </c>
      <c r="R135" s="22">
        <f t="shared" si="19"/>
        <v>0</v>
      </c>
      <c r="S135" s="22">
        <f t="shared" si="20"/>
        <v>0</v>
      </c>
    </row>
    <row r="136" spans="2:19" x14ac:dyDescent="0.25">
      <c r="B136" s="78">
        <f>MAX($B$8:B135)+1</f>
        <v>124</v>
      </c>
      <c r="C136" s="78" t="s">
        <v>233</v>
      </c>
      <c r="D136" s="23" t="s">
        <v>244</v>
      </c>
      <c r="E136" s="151" t="str">
        <f>'EP IS Restatements'!E137</f>
        <v>Material &amp; Supplies</v>
      </c>
      <c r="F136" s="22">
        <f>'EP IS Restatements'!M137</f>
        <v>14631.33</v>
      </c>
      <c r="G136" s="22">
        <f>VLOOKUP($C136,'WP PF1'!$C$10:$F$127,4,FALSE)</f>
        <v>10450.949999999999</v>
      </c>
      <c r="H136" s="22">
        <v>0</v>
      </c>
      <c r="I136" s="22">
        <v>0</v>
      </c>
      <c r="J136" s="23"/>
      <c r="K136" s="22">
        <v>0</v>
      </c>
      <c r="L136" s="22">
        <v>0</v>
      </c>
      <c r="M136" s="23"/>
      <c r="N136" s="22">
        <v>0</v>
      </c>
      <c r="O136" s="22">
        <f t="shared" si="18"/>
        <v>551.81016</v>
      </c>
      <c r="P136" s="22">
        <v>0</v>
      </c>
      <c r="Q136" s="22">
        <v>0</v>
      </c>
      <c r="R136" s="22">
        <f t="shared" si="19"/>
        <v>11002.760159999998</v>
      </c>
      <c r="S136" s="22">
        <f t="shared" si="20"/>
        <v>25634.09016</v>
      </c>
    </row>
    <row r="137" spans="2:19" x14ac:dyDescent="0.25">
      <c r="B137" s="78">
        <f>MAX($B$8:B136)+1</f>
        <v>125</v>
      </c>
      <c r="C137" s="78" t="s">
        <v>234</v>
      </c>
      <c r="D137" s="23" t="s">
        <v>245</v>
      </c>
      <c r="E137" s="151" t="str">
        <f>'EP IS Restatements'!E138</f>
        <v>Material &amp; Supplies</v>
      </c>
      <c r="F137" s="22">
        <f>'EP IS Restatements'!M138</f>
        <v>1285.51</v>
      </c>
      <c r="G137" s="22">
        <f>VLOOKUP($C137,'WP PF1'!$C$10:$F$127,4,FALSE)</f>
        <v>918.22142857142831</v>
      </c>
      <c r="H137" s="22">
        <v>0</v>
      </c>
      <c r="I137" s="22">
        <v>0</v>
      </c>
      <c r="J137" s="23"/>
      <c r="K137" s="22">
        <v>0</v>
      </c>
      <c r="L137" s="22">
        <v>0</v>
      </c>
      <c r="M137" s="23"/>
      <c r="N137" s="22">
        <v>0</v>
      </c>
      <c r="O137" s="22">
        <f t="shared" si="18"/>
        <v>48.482091428571422</v>
      </c>
      <c r="P137" s="22">
        <v>0</v>
      </c>
      <c r="Q137" s="22">
        <v>0</v>
      </c>
      <c r="R137" s="22">
        <f t="shared" si="19"/>
        <v>966.70351999999968</v>
      </c>
      <c r="S137" s="22">
        <f t="shared" si="20"/>
        <v>2252.2135199999998</v>
      </c>
    </row>
    <row r="138" spans="2:19" x14ac:dyDescent="0.25">
      <c r="B138" s="78">
        <f>MAX($B$8:B137)+1</f>
        <v>126</v>
      </c>
      <c r="C138" s="78" t="s">
        <v>235</v>
      </c>
      <c r="D138" s="23" t="s">
        <v>246</v>
      </c>
      <c r="E138" s="151" t="str">
        <f>'EP IS Restatements'!E139</f>
        <v>Material &amp; Supplies</v>
      </c>
      <c r="F138" s="22">
        <f>'EP IS Restatements'!M139</f>
        <v>3672.48</v>
      </c>
      <c r="G138" s="22">
        <f>VLOOKUP($C138,'WP PF1'!$C$10:$F$127,4,FALSE)</f>
        <v>2623.2000000000003</v>
      </c>
      <c r="H138" s="22">
        <v>0</v>
      </c>
      <c r="I138" s="22">
        <v>0</v>
      </c>
      <c r="J138" s="23"/>
      <c r="K138" s="22">
        <v>0</v>
      </c>
      <c r="L138" s="22">
        <v>0</v>
      </c>
      <c r="M138" s="23"/>
      <c r="N138" s="22">
        <v>0</v>
      </c>
      <c r="O138" s="22">
        <f t="shared" si="18"/>
        <v>138.50496000000001</v>
      </c>
      <c r="P138" s="22">
        <v>0</v>
      </c>
      <c r="Q138" s="22">
        <v>0</v>
      </c>
      <c r="R138" s="22">
        <f t="shared" si="19"/>
        <v>2761.7049600000005</v>
      </c>
      <c r="S138" s="22">
        <f t="shared" si="20"/>
        <v>6434.1849600000005</v>
      </c>
    </row>
    <row r="139" spans="2:19" x14ac:dyDescent="0.25">
      <c r="B139" s="78">
        <f>MAX($B$8:B138)+1</f>
        <v>127</v>
      </c>
      <c r="C139" s="78" t="s">
        <v>236</v>
      </c>
      <c r="D139" s="23" t="s">
        <v>247</v>
      </c>
      <c r="E139" s="151" t="str">
        <f>'EP IS Restatements'!E140</f>
        <v>Material &amp; Supplies</v>
      </c>
      <c r="F139" s="22">
        <f>'EP IS Restatements'!M140</f>
        <v>738.85</v>
      </c>
      <c r="G139" s="22">
        <f>VLOOKUP($C139,'WP PF1'!$C$10:$F$127,4,FALSE)</f>
        <v>527.75000000000011</v>
      </c>
      <c r="H139" s="22">
        <v>0</v>
      </c>
      <c r="I139" s="22">
        <v>0</v>
      </c>
      <c r="J139" s="23"/>
      <c r="K139" s="22">
        <v>0</v>
      </c>
      <c r="L139" s="22">
        <v>0</v>
      </c>
      <c r="M139" s="23"/>
      <c r="N139" s="22">
        <v>0</v>
      </c>
      <c r="O139" s="22">
        <f t="shared" si="18"/>
        <v>27.865200000000002</v>
      </c>
      <c r="P139" s="22">
        <v>0</v>
      </c>
      <c r="Q139" s="22">
        <v>0</v>
      </c>
      <c r="R139" s="22">
        <f t="shared" si="19"/>
        <v>555.61520000000007</v>
      </c>
      <c r="S139" s="22">
        <f t="shared" si="20"/>
        <v>1294.4652000000001</v>
      </c>
    </row>
    <row r="140" spans="2:19" x14ac:dyDescent="0.25">
      <c r="B140" s="78">
        <f>MAX($B$8:B139)+1</f>
        <v>128</v>
      </c>
      <c r="C140" s="78" t="s">
        <v>237</v>
      </c>
      <c r="D140" s="23" t="s">
        <v>248</v>
      </c>
      <c r="E140" s="151" t="str">
        <f>'EP IS Restatements'!E141</f>
        <v>Material &amp; Supplies</v>
      </c>
      <c r="F140" s="22">
        <f>'EP IS Restatements'!M141</f>
        <v>0</v>
      </c>
      <c r="G140" s="22">
        <f>VLOOKUP($C140,'WP PF1'!$C$10:$F$127,4,FALSE)</f>
        <v>0</v>
      </c>
      <c r="H140" s="22">
        <v>0</v>
      </c>
      <c r="I140" s="22">
        <v>0</v>
      </c>
      <c r="J140" s="23"/>
      <c r="K140" s="22">
        <v>0</v>
      </c>
      <c r="L140" s="22">
        <v>0</v>
      </c>
      <c r="M140" s="23"/>
      <c r="N140" s="22">
        <v>0</v>
      </c>
      <c r="O140" s="22">
        <f t="shared" si="18"/>
        <v>0</v>
      </c>
      <c r="P140" s="22">
        <v>0</v>
      </c>
      <c r="Q140" s="22">
        <v>0</v>
      </c>
      <c r="R140" s="22">
        <f t="shared" si="19"/>
        <v>0</v>
      </c>
      <c r="S140" s="22">
        <f t="shared" si="20"/>
        <v>0</v>
      </c>
    </row>
    <row r="141" spans="2:19" ht="3.75" customHeight="1" x14ac:dyDescent="0.25">
      <c r="B141" s="78"/>
      <c r="C141" s="78"/>
      <c r="D141" s="23"/>
      <c r="E141" s="151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2:19" x14ac:dyDescent="0.25">
      <c r="B142" s="78">
        <f>MAX($B$8:B141)+1</f>
        <v>129</v>
      </c>
      <c r="C142" s="78"/>
      <c r="D142" s="146" t="s">
        <v>253</v>
      </c>
      <c r="E142" s="152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2:19" x14ac:dyDescent="0.25">
      <c r="B143" s="78">
        <f>MAX($B$8:B142)+1</f>
        <v>130</v>
      </c>
      <c r="C143" s="78" t="s">
        <v>249</v>
      </c>
      <c r="D143" s="23" t="s">
        <v>251</v>
      </c>
      <c r="E143" s="151" t="str">
        <f>'EP IS Restatements'!E144</f>
        <v>Net Depreciation/Amortization</v>
      </c>
      <c r="F143" s="22">
        <f>'EP IS Restatements'!M144</f>
        <v>298852.34999999998</v>
      </c>
      <c r="G143" s="22">
        <f>VLOOKUP($C143,'WP PF1'!$C$10:$F$127,4,FALSE)</f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/>
      <c r="O143" s="22">
        <v>0</v>
      </c>
      <c r="P143" s="22">
        <v>0</v>
      </c>
      <c r="Q143" s="22">
        <v>0</v>
      </c>
      <c r="R143" s="22">
        <f>SUM(G143:Q143)</f>
        <v>0</v>
      </c>
      <c r="S143" s="22">
        <f>F143+R143</f>
        <v>298852.34999999998</v>
      </c>
    </row>
    <row r="144" spans="2:19" x14ac:dyDescent="0.25">
      <c r="B144" s="78">
        <f>MAX($B$8:B143)+1</f>
        <v>131</v>
      </c>
      <c r="C144" s="78" t="s">
        <v>250</v>
      </c>
      <c r="D144" s="23" t="s">
        <v>252</v>
      </c>
      <c r="E144" s="151" t="str">
        <f>'EP IS Restatements'!E145</f>
        <v>Net Depreciation/Amortization</v>
      </c>
      <c r="F144" s="22">
        <f>'EP IS Restatements'!M145</f>
        <v>49314.400000000001</v>
      </c>
      <c r="G144" s="22">
        <f>VLOOKUP($C144,'WP PF1'!$C$10:$F$127,4,FALSE)</f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/>
      <c r="O144" s="22">
        <v>0</v>
      </c>
      <c r="P144" s="22">
        <v>0</v>
      </c>
      <c r="Q144" s="22">
        <v>0</v>
      </c>
      <c r="R144" s="22">
        <f>SUM(G144:Q144)</f>
        <v>0</v>
      </c>
      <c r="S144" s="22">
        <f>F144+R144</f>
        <v>49314.400000000001</v>
      </c>
    </row>
    <row r="145" spans="2:19" ht="3.75" customHeight="1" x14ac:dyDescent="0.25">
      <c r="B145" s="78"/>
      <c r="C145" s="78"/>
      <c r="D145" s="23"/>
      <c r="E145" s="151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2:19" x14ac:dyDescent="0.25">
      <c r="B146" s="78">
        <f>MAX($B$8:B145)+1</f>
        <v>132</v>
      </c>
      <c r="C146" s="78"/>
      <c r="D146" s="146" t="s">
        <v>254</v>
      </c>
      <c r="E146" s="152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2:19" x14ac:dyDescent="0.25">
      <c r="B147" s="78">
        <f>MAX($B$8:B146)+1</f>
        <v>133</v>
      </c>
      <c r="C147" s="78" t="s">
        <v>255</v>
      </c>
      <c r="D147" s="23" t="s">
        <v>256</v>
      </c>
      <c r="E147" s="151" t="str">
        <f>'EP IS Restatements'!E148</f>
        <v>Federal Income Tax (FIT)</v>
      </c>
      <c r="F147" s="22">
        <f>'EP IS Restatements'!M148</f>
        <v>-226237.33</v>
      </c>
      <c r="G147" s="22">
        <f>VLOOKUP($C147,'WP PF1'!$C$10:$F$127,4,FALSE)</f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/>
      <c r="O147" s="22">
        <v>0</v>
      </c>
      <c r="P147" s="22">
        <v>0</v>
      </c>
      <c r="Q147" s="22">
        <v>0</v>
      </c>
      <c r="R147" s="22">
        <f>SUM(G147:Q147)</f>
        <v>0</v>
      </c>
      <c r="S147" s="22">
        <f>F147+R147</f>
        <v>-226237.33</v>
      </c>
    </row>
    <row r="148" spans="2:19" ht="3.75" customHeight="1" x14ac:dyDescent="0.25">
      <c r="B148" s="78"/>
      <c r="C148" s="78"/>
      <c r="D148" s="23"/>
      <c r="E148" s="151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 spans="2:19" x14ac:dyDescent="0.25">
      <c r="B149" s="78">
        <f>MAX($B$8:B148)+1</f>
        <v>134</v>
      </c>
      <c r="C149" s="78"/>
      <c r="D149" s="146" t="s">
        <v>257</v>
      </c>
      <c r="E149" s="152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 spans="2:19" x14ac:dyDescent="0.25">
      <c r="B150" s="78">
        <f>MAX($B$8:B149)+1</f>
        <v>135</v>
      </c>
      <c r="C150" s="78" t="s">
        <v>266</v>
      </c>
      <c r="D150" s="23" t="s">
        <v>258</v>
      </c>
      <c r="E150" s="151" t="str">
        <f>'EP IS Restatements'!E151</f>
        <v>Other Taxes &amp; Licenses (DOH/DOE)</v>
      </c>
      <c r="F150" s="22">
        <f>'EP IS Restatements'!M151</f>
        <v>439.5</v>
      </c>
      <c r="G150" s="22">
        <f>VLOOKUP($C150,'WP PF1'!$C$10:$F$127,4,FALSE)</f>
        <v>313.92857142857144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/>
      <c r="O150" s="22">
        <v>0</v>
      </c>
      <c r="P150" s="22">
        <v>0</v>
      </c>
      <c r="Q150" s="22">
        <v>0</v>
      </c>
      <c r="R150" s="22">
        <f t="shared" ref="R150:R157" si="21">SUM(G150:Q150)</f>
        <v>313.92857142857144</v>
      </c>
      <c r="S150" s="22">
        <f t="shared" ref="S150:S157" si="22">F150+R150</f>
        <v>753.42857142857144</v>
      </c>
    </row>
    <row r="151" spans="2:19" x14ac:dyDescent="0.25">
      <c r="B151" s="78">
        <f>MAX($B$8:B150)+1</f>
        <v>136</v>
      </c>
      <c r="C151" s="78" t="s">
        <v>267</v>
      </c>
      <c r="D151" s="23" t="s">
        <v>259</v>
      </c>
      <c r="E151" s="151" t="str">
        <f>'EP IS Restatements'!E152</f>
        <v>Payroll Tax (ESD, L&amp;I)</v>
      </c>
      <c r="F151" s="22">
        <f>'EP IS Restatements'!M152</f>
        <v>0</v>
      </c>
      <c r="G151" s="22">
        <f>VLOOKUP($C151,'WP PF1'!$C$10:$F$127,4,FALSE)</f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/>
      <c r="O151" s="22">
        <v>0</v>
      </c>
      <c r="P151" s="22">
        <v>0</v>
      </c>
      <c r="Q151" s="22">
        <v>0</v>
      </c>
      <c r="R151" s="22">
        <f t="shared" si="21"/>
        <v>0</v>
      </c>
      <c r="S151" s="22">
        <f t="shared" si="22"/>
        <v>0</v>
      </c>
    </row>
    <row r="152" spans="2:19" x14ac:dyDescent="0.25">
      <c r="B152" s="78">
        <f>MAX($B$8:B151)+1</f>
        <v>137</v>
      </c>
      <c r="C152" s="78" t="s">
        <v>268</v>
      </c>
      <c r="D152" s="23" t="s">
        <v>260</v>
      </c>
      <c r="E152" s="151" t="str">
        <f>'EP IS Restatements'!E153</f>
        <v>Payroll Tax (ESD, L&amp;I)</v>
      </c>
      <c r="F152" s="22">
        <f>'EP IS Restatements'!M153</f>
        <v>0</v>
      </c>
      <c r="G152" s="22">
        <f>VLOOKUP($C152,'WP PF1'!$C$10:$F$127,4,FALSE)</f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/>
      <c r="O152" s="22">
        <v>0</v>
      </c>
      <c r="P152" s="22">
        <v>0</v>
      </c>
      <c r="Q152" s="22">
        <v>0</v>
      </c>
      <c r="R152" s="22">
        <f t="shared" si="21"/>
        <v>0</v>
      </c>
      <c r="S152" s="22">
        <f t="shared" si="22"/>
        <v>0</v>
      </c>
    </row>
    <row r="153" spans="2:19" x14ac:dyDescent="0.25">
      <c r="B153" s="78">
        <f>MAX($B$8:B152)+1</f>
        <v>138</v>
      </c>
      <c r="C153" s="78" t="s">
        <v>269</v>
      </c>
      <c r="D153" s="23" t="s">
        <v>261</v>
      </c>
      <c r="E153" s="151" t="str">
        <f>'EP IS Restatements'!E154</f>
        <v>Payroll Tax (ESD, L&amp;I)</v>
      </c>
      <c r="F153" s="22">
        <f>'EP IS Restatements'!M154</f>
        <v>0</v>
      </c>
      <c r="G153" s="22">
        <f>VLOOKUP($C153,'WP PF1'!$C$10:$F$127,4,FALSE)</f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/>
      <c r="O153" s="22">
        <v>0</v>
      </c>
      <c r="P153" s="22">
        <v>0</v>
      </c>
      <c r="Q153" s="22">
        <v>0</v>
      </c>
      <c r="R153" s="22">
        <f t="shared" si="21"/>
        <v>0</v>
      </c>
      <c r="S153" s="22">
        <f t="shared" si="22"/>
        <v>0</v>
      </c>
    </row>
    <row r="154" spans="2:19" x14ac:dyDescent="0.25">
      <c r="B154" s="78">
        <f>MAX($B$8:B153)+1</f>
        <v>139</v>
      </c>
      <c r="C154" s="78" t="s">
        <v>270</v>
      </c>
      <c r="D154" s="23" t="s">
        <v>262</v>
      </c>
      <c r="E154" s="151" t="str">
        <f>'EP IS Restatements'!E155</f>
        <v>Property Tax</v>
      </c>
      <c r="F154" s="22">
        <f>'EP IS Restatements'!M155</f>
        <v>144401.5</v>
      </c>
      <c r="G154" s="22">
        <f>VLOOKUP($C154,'WP PF1'!$C$10:$F$127,4,FALSE)</f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/>
      <c r="O154" s="22">
        <v>0</v>
      </c>
      <c r="P154" s="22">
        <f>'WP PF11'!G9</f>
        <v>91443.70000000007</v>
      </c>
      <c r="Q154" s="22">
        <v>0</v>
      </c>
      <c r="R154" s="22">
        <f t="shared" si="21"/>
        <v>91443.70000000007</v>
      </c>
      <c r="S154" s="22">
        <f t="shared" si="22"/>
        <v>235845.20000000007</v>
      </c>
    </row>
    <row r="155" spans="2:19" x14ac:dyDescent="0.25">
      <c r="B155" s="78">
        <f>MAX($B$8:B154)+1</f>
        <v>140</v>
      </c>
      <c r="C155" s="78" t="s">
        <v>271</v>
      </c>
      <c r="D155" s="23" t="s">
        <v>263</v>
      </c>
      <c r="E155" s="151" t="str">
        <f>'EP IS Restatements'!E156</f>
        <v>Utility Excise Tax</v>
      </c>
      <c r="F155" s="22">
        <f>'EP IS Restatements'!M156</f>
        <v>208800.2</v>
      </c>
      <c r="G155" s="22">
        <f>VLOOKUP($C155,'WP PF1'!$C$10:$F$127,4,FALSE)</f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/>
      <c r="O155" s="22">
        <v>0</v>
      </c>
      <c r="P155" s="22">
        <v>0</v>
      </c>
      <c r="Q155" s="22">
        <v>0</v>
      </c>
      <c r="R155" s="22">
        <f t="shared" si="21"/>
        <v>0</v>
      </c>
      <c r="S155" s="22">
        <f t="shared" si="22"/>
        <v>208800.2</v>
      </c>
    </row>
    <row r="156" spans="2:19" x14ac:dyDescent="0.25">
      <c r="B156" s="78">
        <f>MAX($B$8:B155)+1</f>
        <v>141</v>
      </c>
      <c r="C156" s="78" t="s">
        <v>272</v>
      </c>
      <c r="D156" s="23" t="s">
        <v>264</v>
      </c>
      <c r="E156" s="151" t="str">
        <f>'EP IS Restatements'!E157</f>
        <v>Utility Excise Tax</v>
      </c>
      <c r="F156" s="22">
        <f>'EP IS Restatements'!M157</f>
        <v>557.85</v>
      </c>
      <c r="G156" s="22">
        <f>VLOOKUP($C156,'WP PF1'!$C$10:$F$127,4,FALSE)</f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/>
      <c r="O156" s="22">
        <v>0</v>
      </c>
      <c r="P156" s="22">
        <v>0</v>
      </c>
      <c r="Q156" s="22">
        <v>0</v>
      </c>
      <c r="R156" s="22">
        <f t="shared" si="21"/>
        <v>0</v>
      </c>
      <c r="S156" s="22">
        <f t="shared" si="22"/>
        <v>557.85</v>
      </c>
    </row>
    <row r="157" spans="2:19" x14ac:dyDescent="0.25">
      <c r="B157" s="78">
        <f>MAX($B$8:B156)+1</f>
        <v>142</v>
      </c>
      <c r="C157" s="78" t="s">
        <v>273</v>
      </c>
      <c r="D157" s="23" t="s">
        <v>265</v>
      </c>
      <c r="E157" s="151" t="str">
        <f>'EP IS Restatements'!E158</f>
        <v>Payroll Tax (ESD, L&amp;I)</v>
      </c>
      <c r="F157" s="22">
        <f>'EP IS Restatements'!M158</f>
        <v>75441.990000000005</v>
      </c>
      <c r="G157" s="22">
        <f>VLOOKUP($C157,'WP PF1'!$C$10:$F$127,4,FALSE)</f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/>
      <c r="O157" s="22">
        <v>0</v>
      </c>
      <c r="P157" s="22">
        <v>0</v>
      </c>
      <c r="Q157" s="22">
        <v>0</v>
      </c>
      <c r="R157" s="22">
        <f t="shared" si="21"/>
        <v>0</v>
      </c>
      <c r="S157" s="22">
        <f t="shared" si="22"/>
        <v>75441.990000000005</v>
      </c>
    </row>
    <row r="158" spans="2:19" ht="3.75" customHeight="1" x14ac:dyDescent="0.25">
      <c r="B158" s="78"/>
      <c r="C158" s="78"/>
      <c r="D158" s="23"/>
      <c r="E158" s="151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2:19" x14ac:dyDescent="0.25">
      <c r="B159" s="78">
        <f>MAX($B$8:B158)+1</f>
        <v>143</v>
      </c>
      <c r="C159" s="78"/>
      <c r="D159" s="146" t="s">
        <v>274</v>
      </c>
      <c r="E159" s="152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2:19" x14ac:dyDescent="0.25">
      <c r="B160" s="78">
        <f>MAX($B$8:B159)+1</f>
        <v>144</v>
      </c>
      <c r="C160" s="78" t="s">
        <v>275</v>
      </c>
      <c r="D160" s="23" t="s">
        <v>303</v>
      </c>
      <c r="E160" s="151" t="str">
        <f>'EP IS Restatements'!E161</f>
        <v>Jobbing ( R )</v>
      </c>
      <c r="F160" s="22">
        <f>'EP IS Restatements'!M161</f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/>
      <c r="O160" s="22">
        <v>0</v>
      </c>
      <c r="P160" s="22">
        <v>0</v>
      </c>
      <c r="Q160" s="22">
        <v>0</v>
      </c>
      <c r="R160" s="22">
        <f t="shared" ref="R160:R187" si="23">SUM(G160:Q160)</f>
        <v>0</v>
      </c>
      <c r="S160" s="22">
        <f t="shared" ref="S160:S187" si="24">F160+R160</f>
        <v>0</v>
      </c>
    </row>
    <row r="161" spans="2:19" x14ac:dyDescent="0.25">
      <c r="B161" s="78">
        <f>MAX($B$8:B160)+1</f>
        <v>145</v>
      </c>
      <c r="C161" s="78" t="s">
        <v>276</v>
      </c>
      <c r="D161" s="23" t="s">
        <v>304</v>
      </c>
      <c r="E161" s="151" t="str">
        <f>'EP IS Restatements'!E162</f>
        <v>Jobbing ( R )</v>
      </c>
      <c r="F161" s="22">
        <f>'EP IS Restatements'!M162</f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/>
      <c r="O161" s="22">
        <v>0</v>
      </c>
      <c r="P161" s="22">
        <v>0</v>
      </c>
      <c r="Q161" s="22">
        <v>0</v>
      </c>
      <c r="R161" s="22">
        <f t="shared" si="23"/>
        <v>0</v>
      </c>
      <c r="S161" s="22">
        <f t="shared" si="24"/>
        <v>0</v>
      </c>
    </row>
    <row r="162" spans="2:19" x14ac:dyDescent="0.25">
      <c r="B162" s="78">
        <f>MAX($B$8:B161)+1</f>
        <v>146</v>
      </c>
      <c r="C162" s="78" t="s">
        <v>277</v>
      </c>
      <c r="D162" s="23" t="s">
        <v>305</v>
      </c>
      <c r="E162" s="151" t="str">
        <f>'EP IS Restatements'!E163</f>
        <v>Jobbing ( R )</v>
      </c>
      <c r="F162" s="22">
        <f>'EP IS Restatements'!M163</f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/>
      <c r="O162" s="22">
        <v>0</v>
      </c>
      <c r="P162" s="22">
        <v>0</v>
      </c>
      <c r="Q162" s="22">
        <v>0</v>
      </c>
      <c r="R162" s="22">
        <f t="shared" si="23"/>
        <v>0</v>
      </c>
      <c r="S162" s="22">
        <f t="shared" si="24"/>
        <v>0</v>
      </c>
    </row>
    <row r="163" spans="2:19" x14ac:dyDescent="0.25">
      <c r="B163" s="78">
        <f>MAX($B$8:B162)+1</f>
        <v>147</v>
      </c>
      <c r="C163" s="78" t="s">
        <v>278</v>
      </c>
      <c r="D163" s="23" t="s">
        <v>306</v>
      </c>
      <c r="E163" s="151" t="str">
        <f>'EP IS Restatements'!E164</f>
        <v>Jobbing ( R )</v>
      </c>
      <c r="F163" s="22">
        <f>'EP IS Restatements'!M164</f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/>
      <c r="O163" s="22">
        <v>0</v>
      </c>
      <c r="P163" s="22">
        <v>0</v>
      </c>
      <c r="Q163" s="22">
        <v>0</v>
      </c>
      <c r="R163" s="22">
        <f t="shared" si="23"/>
        <v>0</v>
      </c>
      <c r="S163" s="22">
        <f t="shared" si="24"/>
        <v>0</v>
      </c>
    </row>
    <row r="164" spans="2:19" x14ac:dyDescent="0.25">
      <c r="B164" s="78">
        <f>MAX($B$8:B163)+1</f>
        <v>148</v>
      </c>
      <c r="C164" s="78" t="s">
        <v>279</v>
      </c>
      <c r="D164" s="23" t="s">
        <v>307</v>
      </c>
      <c r="E164" s="151" t="str">
        <f>'EP IS Restatements'!E165</f>
        <v>Jobbing ( R )</v>
      </c>
      <c r="F164" s="22">
        <f>'EP IS Restatements'!M165</f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/>
      <c r="O164" s="22">
        <v>0</v>
      </c>
      <c r="P164" s="22">
        <v>0</v>
      </c>
      <c r="Q164" s="22">
        <v>0</v>
      </c>
      <c r="R164" s="22">
        <f t="shared" si="23"/>
        <v>0</v>
      </c>
      <c r="S164" s="22">
        <f t="shared" si="24"/>
        <v>0</v>
      </c>
    </row>
    <row r="165" spans="2:19" x14ac:dyDescent="0.25">
      <c r="B165" s="78">
        <f>MAX($B$8:B164)+1</f>
        <v>149</v>
      </c>
      <c r="C165" s="78" t="s">
        <v>280</v>
      </c>
      <c r="D165" s="23" t="s">
        <v>308</v>
      </c>
      <c r="E165" s="151" t="str">
        <f>'EP IS Restatements'!E166</f>
        <v>Jobbing ( R )</v>
      </c>
      <c r="F165" s="22">
        <f>'EP IS Restatements'!M166</f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/>
      <c r="O165" s="22">
        <v>0</v>
      </c>
      <c r="P165" s="22">
        <v>0</v>
      </c>
      <c r="Q165" s="22">
        <v>0</v>
      </c>
      <c r="R165" s="22">
        <f t="shared" si="23"/>
        <v>0</v>
      </c>
      <c r="S165" s="22">
        <f t="shared" si="24"/>
        <v>0</v>
      </c>
    </row>
    <row r="166" spans="2:19" x14ac:dyDescent="0.25">
      <c r="B166" s="78">
        <f>MAX($B$8:B165)+1</f>
        <v>150</v>
      </c>
      <c r="C166" s="78" t="s">
        <v>281</v>
      </c>
      <c r="D166" s="23" t="s">
        <v>309</v>
      </c>
      <c r="E166" s="151" t="str">
        <f>'EP IS Restatements'!E167</f>
        <v>Jobbing ( R )</v>
      </c>
      <c r="F166" s="22">
        <f>'EP IS Restatements'!M167</f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/>
      <c r="O166" s="22">
        <v>0</v>
      </c>
      <c r="P166" s="22">
        <v>0</v>
      </c>
      <c r="Q166" s="22">
        <v>0</v>
      </c>
      <c r="R166" s="22">
        <f t="shared" si="23"/>
        <v>0</v>
      </c>
      <c r="S166" s="22">
        <f t="shared" si="24"/>
        <v>0</v>
      </c>
    </row>
    <row r="167" spans="2:19" x14ac:dyDescent="0.25">
      <c r="B167" s="78">
        <f>MAX($B$8:B166)+1</f>
        <v>151</v>
      </c>
      <c r="C167" s="78" t="s">
        <v>282</v>
      </c>
      <c r="D167" s="23" t="s">
        <v>310</v>
      </c>
      <c r="E167" s="151" t="str">
        <f>'EP IS Restatements'!E168</f>
        <v>Jobbing ( E )</v>
      </c>
      <c r="F167" s="22">
        <f>'EP IS Restatements'!M168</f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/>
      <c r="O167" s="22">
        <v>0</v>
      </c>
      <c r="P167" s="22">
        <v>0</v>
      </c>
      <c r="Q167" s="22">
        <v>0</v>
      </c>
      <c r="R167" s="22">
        <f t="shared" si="23"/>
        <v>0</v>
      </c>
      <c r="S167" s="22">
        <f t="shared" si="24"/>
        <v>0</v>
      </c>
    </row>
    <row r="168" spans="2:19" x14ac:dyDescent="0.25">
      <c r="B168" s="78">
        <f>MAX($B$8:B167)+1</f>
        <v>152</v>
      </c>
      <c r="C168" s="78" t="s">
        <v>283</v>
      </c>
      <c r="D168" s="23" t="s">
        <v>311</v>
      </c>
      <c r="E168" s="151" t="str">
        <f>'EP IS Restatements'!E169</f>
        <v>Jobbing ( E )</v>
      </c>
      <c r="F168" s="22">
        <f>'EP IS Restatements'!M169</f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/>
      <c r="O168" s="22">
        <v>0</v>
      </c>
      <c r="P168" s="22">
        <v>0</v>
      </c>
      <c r="Q168" s="22">
        <v>0</v>
      </c>
      <c r="R168" s="22">
        <f t="shared" si="23"/>
        <v>0</v>
      </c>
      <c r="S168" s="22">
        <f t="shared" si="24"/>
        <v>0</v>
      </c>
    </row>
    <row r="169" spans="2:19" x14ac:dyDescent="0.25">
      <c r="B169" s="78">
        <f>MAX($B$8:B168)+1</f>
        <v>153</v>
      </c>
      <c r="C169" s="78" t="s">
        <v>284</v>
      </c>
      <c r="D169" s="23" t="s">
        <v>312</v>
      </c>
      <c r="E169" s="151" t="str">
        <f>'EP IS Restatements'!E170</f>
        <v>Jobbing ( E )</v>
      </c>
      <c r="F169" s="22">
        <f>'EP IS Restatements'!M170</f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/>
      <c r="O169" s="22">
        <v>0</v>
      </c>
      <c r="P169" s="22">
        <v>0</v>
      </c>
      <c r="Q169" s="22">
        <v>0</v>
      </c>
      <c r="R169" s="22">
        <f t="shared" si="23"/>
        <v>0</v>
      </c>
      <c r="S169" s="22">
        <f t="shared" si="24"/>
        <v>0</v>
      </c>
    </row>
    <row r="170" spans="2:19" x14ac:dyDescent="0.25">
      <c r="B170" s="78">
        <f>MAX($B$8:B169)+1</f>
        <v>154</v>
      </c>
      <c r="C170" s="78" t="s">
        <v>285</v>
      </c>
      <c r="D170" s="23" t="s">
        <v>313</v>
      </c>
      <c r="E170" s="151" t="str">
        <f>'EP IS Restatements'!E171</f>
        <v>Jobbing ( E )</v>
      </c>
      <c r="F170" s="22">
        <f>'EP IS Restatements'!M171</f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/>
      <c r="O170" s="22">
        <v>0</v>
      </c>
      <c r="P170" s="22">
        <v>0</v>
      </c>
      <c r="Q170" s="22">
        <v>0</v>
      </c>
      <c r="R170" s="22">
        <f t="shared" si="23"/>
        <v>0</v>
      </c>
      <c r="S170" s="22">
        <f t="shared" si="24"/>
        <v>0</v>
      </c>
    </row>
    <row r="171" spans="2:19" x14ac:dyDescent="0.25">
      <c r="B171" s="78">
        <f>MAX($B$8:B170)+1</f>
        <v>155</v>
      </c>
      <c r="C171" s="78" t="s">
        <v>286</v>
      </c>
      <c r="D171" s="23" t="s">
        <v>314</v>
      </c>
      <c r="E171" s="151" t="str">
        <f>'EP IS Restatements'!E172</f>
        <v>Jobbing ( E )</v>
      </c>
      <c r="F171" s="22">
        <f>'EP IS Restatements'!M172</f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/>
      <c r="O171" s="22">
        <v>0</v>
      </c>
      <c r="P171" s="22">
        <v>0</v>
      </c>
      <c r="Q171" s="22">
        <v>0</v>
      </c>
      <c r="R171" s="22">
        <f t="shared" si="23"/>
        <v>0</v>
      </c>
      <c r="S171" s="22">
        <f t="shared" si="24"/>
        <v>0</v>
      </c>
    </row>
    <row r="172" spans="2:19" x14ac:dyDescent="0.25">
      <c r="B172" s="78">
        <f>MAX($B$8:B171)+1</f>
        <v>156</v>
      </c>
      <c r="C172" s="78" t="s">
        <v>287</v>
      </c>
      <c r="D172" s="23" t="s">
        <v>315</v>
      </c>
      <c r="E172" s="151" t="str">
        <f>'EP IS Restatements'!E173</f>
        <v>Jobbing ( E )</v>
      </c>
      <c r="F172" s="22">
        <f>'EP IS Restatements'!M173</f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/>
      <c r="O172" s="22">
        <v>0</v>
      </c>
      <c r="P172" s="22">
        <v>0</v>
      </c>
      <c r="Q172" s="22">
        <v>0</v>
      </c>
      <c r="R172" s="22">
        <f t="shared" si="23"/>
        <v>0</v>
      </c>
      <c r="S172" s="22">
        <f t="shared" si="24"/>
        <v>0</v>
      </c>
    </row>
    <row r="173" spans="2:19" x14ac:dyDescent="0.25">
      <c r="B173" s="78">
        <f>MAX($B$8:B172)+1</f>
        <v>157</v>
      </c>
      <c r="C173" s="78" t="s">
        <v>288</v>
      </c>
      <c r="D173" s="23" t="s">
        <v>316</v>
      </c>
      <c r="E173" s="151" t="str">
        <f>'EP IS Restatements'!E174</f>
        <v/>
      </c>
      <c r="F173" s="22">
        <f>'EP IS Restatements'!M174</f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/>
      <c r="O173" s="22">
        <v>0</v>
      </c>
      <c r="P173" s="22">
        <v>0</v>
      </c>
      <c r="Q173" s="22">
        <v>0</v>
      </c>
      <c r="R173" s="22">
        <f t="shared" si="23"/>
        <v>0</v>
      </c>
      <c r="S173" s="22">
        <f t="shared" si="24"/>
        <v>0</v>
      </c>
    </row>
    <row r="174" spans="2:19" x14ac:dyDescent="0.25">
      <c r="B174" s="78">
        <f>MAX($B$8:B173)+1</f>
        <v>158</v>
      </c>
      <c r="C174" s="78" t="s">
        <v>289</v>
      </c>
      <c r="D174" s="23" t="s">
        <v>317</v>
      </c>
      <c r="E174" s="151" t="str">
        <f>'EP IS Restatements'!E175</f>
        <v>Jobbing ( E )</v>
      </c>
      <c r="F174" s="22">
        <f>'EP IS Restatements'!M175</f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/>
      <c r="O174" s="22">
        <v>0</v>
      </c>
      <c r="P174" s="22">
        <v>0</v>
      </c>
      <c r="Q174" s="22">
        <v>0</v>
      </c>
      <c r="R174" s="22">
        <f t="shared" si="23"/>
        <v>0</v>
      </c>
      <c r="S174" s="22">
        <f t="shared" si="24"/>
        <v>0</v>
      </c>
    </row>
    <row r="175" spans="2:19" x14ac:dyDescent="0.25">
      <c r="B175" s="78">
        <f>MAX($B$8:B174)+1</f>
        <v>159</v>
      </c>
      <c r="C175" s="78" t="s">
        <v>290</v>
      </c>
      <c r="D175" s="23" t="s">
        <v>318</v>
      </c>
      <c r="E175" s="151" t="str">
        <f>'EP IS Restatements'!E176</f>
        <v>Jobbing ( E )</v>
      </c>
      <c r="F175" s="22">
        <f>'EP IS Restatements'!M176</f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/>
      <c r="O175" s="22">
        <v>0</v>
      </c>
      <c r="P175" s="22">
        <v>0</v>
      </c>
      <c r="Q175" s="22">
        <v>0</v>
      </c>
      <c r="R175" s="22">
        <f t="shared" si="23"/>
        <v>0</v>
      </c>
      <c r="S175" s="22">
        <f t="shared" si="24"/>
        <v>0</v>
      </c>
    </row>
    <row r="176" spans="2:19" x14ac:dyDescent="0.25">
      <c r="B176" s="78">
        <f>MAX($B$8:B175)+1</f>
        <v>160</v>
      </c>
      <c r="C176" s="78" t="s">
        <v>291</v>
      </c>
      <c r="D176" s="23" t="s">
        <v>319</v>
      </c>
      <c r="E176" s="151" t="str">
        <f>'EP IS Restatements'!E177</f>
        <v>Jobbing ( E )</v>
      </c>
      <c r="F176" s="22">
        <f>'EP IS Restatements'!M177</f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/>
      <c r="O176" s="22">
        <v>0</v>
      </c>
      <c r="P176" s="22">
        <v>0</v>
      </c>
      <c r="Q176" s="22">
        <v>0</v>
      </c>
      <c r="R176" s="22">
        <f t="shared" si="23"/>
        <v>0</v>
      </c>
      <c r="S176" s="22">
        <f t="shared" si="24"/>
        <v>0</v>
      </c>
    </row>
    <row r="177" spans="2:19" x14ac:dyDescent="0.25">
      <c r="B177" s="78">
        <f>MAX($B$8:B176)+1</f>
        <v>161</v>
      </c>
      <c r="C177" s="78" t="s">
        <v>292</v>
      </c>
      <c r="D177" s="23" t="s">
        <v>320</v>
      </c>
      <c r="E177" s="151" t="str">
        <f>'EP IS Restatements'!E178</f>
        <v/>
      </c>
      <c r="F177" s="22">
        <f>'EP IS Restatements'!M178</f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/>
      <c r="O177" s="22">
        <v>0</v>
      </c>
      <c r="P177" s="22">
        <v>0</v>
      </c>
      <c r="Q177" s="22">
        <v>0</v>
      </c>
      <c r="R177" s="22">
        <f t="shared" si="23"/>
        <v>0</v>
      </c>
      <c r="S177" s="22">
        <f t="shared" si="24"/>
        <v>0</v>
      </c>
    </row>
    <row r="178" spans="2:19" x14ac:dyDescent="0.25">
      <c r="B178" s="78">
        <f>MAX($B$8:B177)+1</f>
        <v>162</v>
      </c>
      <c r="C178" s="78" t="s">
        <v>293</v>
      </c>
      <c r="D178" s="23" t="s">
        <v>321</v>
      </c>
      <c r="E178" s="151" t="str">
        <f>'EP IS Restatements'!E179</f>
        <v>Jobbing ( E )</v>
      </c>
      <c r="F178" s="22">
        <f>'EP IS Restatements'!M179</f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/>
      <c r="O178" s="22">
        <v>0</v>
      </c>
      <c r="P178" s="22">
        <v>0</v>
      </c>
      <c r="Q178" s="22">
        <v>0</v>
      </c>
      <c r="R178" s="22">
        <f t="shared" si="23"/>
        <v>0</v>
      </c>
      <c r="S178" s="22">
        <f t="shared" si="24"/>
        <v>0</v>
      </c>
    </row>
    <row r="179" spans="2:19" x14ac:dyDescent="0.25">
      <c r="B179" s="78">
        <f>MAX($B$8:B178)+1</f>
        <v>163</v>
      </c>
      <c r="C179" s="78" t="s">
        <v>294</v>
      </c>
      <c r="D179" s="23" t="s">
        <v>108</v>
      </c>
      <c r="E179" s="151" t="str">
        <f>'EP IS Restatements'!E180</f>
        <v>Jobbing ( E )</v>
      </c>
      <c r="F179" s="22">
        <f>'EP IS Restatements'!M180</f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/>
      <c r="O179" s="22">
        <v>0</v>
      </c>
      <c r="P179" s="22">
        <v>0</v>
      </c>
      <c r="Q179" s="22">
        <v>0</v>
      </c>
      <c r="R179" s="22">
        <f t="shared" si="23"/>
        <v>0</v>
      </c>
      <c r="S179" s="22">
        <f t="shared" si="24"/>
        <v>0</v>
      </c>
    </row>
    <row r="180" spans="2:19" x14ac:dyDescent="0.25">
      <c r="B180" s="78">
        <f>MAX($B$8:B179)+1</f>
        <v>164</v>
      </c>
      <c r="C180" s="78" t="s">
        <v>295</v>
      </c>
      <c r="D180" s="23" t="s">
        <v>102</v>
      </c>
      <c r="E180" s="151" t="str">
        <f>'EP IS Restatements'!E181</f>
        <v>Jobbing ( E )</v>
      </c>
      <c r="F180" s="22">
        <f>'EP IS Restatements'!M181</f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/>
      <c r="O180" s="22">
        <v>0</v>
      </c>
      <c r="P180" s="22">
        <v>0</v>
      </c>
      <c r="Q180" s="22">
        <v>0</v>
      </c>
      <c r="R180" s="22">
        <f t="shared" si="23"/>
        <v>0</v>
      </c>
      <c r="S180" s="22">
        <f t="shared" si="24"/>
        <v>0</v>
      </c>
    </row>
    <row r="181" spans="2:19" x14ac:dyDescent="0.25">
      <c r="B181" s="78">
        <f>MAX($B$8:B180)+1</f>
        <v>165</v>
      </c>
      <c r="C181" s="78" t="s">
        <v>296</v>
      </c>
      <c r="D181" s="23" t="s">
        <v>322</v>
      </c>
      <c r="E181" s="151" t="str">
        <f>'EP IS Restatements'!E182</f>
        <v>Jobbing ( E )</v>
      </c>
      <c r="F181" s="22">
        <f>'EP IS Restatements'!M182</f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/>
      <c r="O181" s="22">
        <v>0</v>
      </c>
      <c r="P181" s="22">
        <v>0</v>
      </c>
      <c r="Q181" s="22">
        <v>0</v>
      </c>
      <c r="R181" s="22">
        <f t="shared" si="23"/>
        <v>0</v>
      </c>
      <c r="S181" s="22">
        <f t="shared" si="24"/>
        <v>0</v>
      </c>
    </row>
    <row r="182" spans="2:19" x14ac:dyDescent="0.25">
      <c r="B182" s="78">
        <f>MAX($B$8:B181)+1</f>
        <v>166</v>
      </c>
      <c r="C182" s="78" t="s">
        <v>297</v>
      </c>
      <c r="D182" s="23" t="s">
        <v>323</v>
      </c>
      <c r="E182" s="151" t="str">
        <f>'EP IS Restatements'!E183</f>
        <v>Miscellaneous</v>
      </c>
      <c r="F182" s="22">
        <f>'EP IS Restatements'!M183</f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/>
      <c r="O182" s="22">
        <v>0</v>
      </c>
      <c r="P182" s="22">
        <v>0</v>
      </c>
      <c r="Q182" s="22">
        <v>0</v>
      </c>
      <c r="R182" s="22">
        <f t="shared" si="23"/>
        <v>0</v>
      </c>
      <c r="S182" s="22">
        <f t="shared" si="24"/>
        <v>0</v>
      </c>
    </row>
    <row r="183" spans="2:19" x14ac:dyDescent="0.25">
      <c r="B183" s="78">
        <f>MAX($B$8:B182)+1</f>
        <v>167</v>
      </c>
      <c r="C183" s="78" t="s">
        <v>298</v>
      </c>
      <c r="D183" s="23" t="s">
        <v>324</v>
      </c>
      <c r="E183" s="151" t="str">
        <f>'EP IS Restatements'!E184</f>
        <v>Miscellaneous</v>
      </c>
      <c r="F183" s="22">
        <f>'EP IS Restatements'!M184</f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/>
      <c r="O183" s="22">
        <v>0</v>
      </c>
      <c r="P183" s="22">
        <v>0</v>
      </c>
      <c r="Q183" s="22">
        <v>0</v>
      </c>
      <c r="R183" s="22">
        <f t="shared" si="23"/>
        <v>0</v>
      </c>
      <c r="S183" s="22">
        <f t="shared" si="24"/>
        <v>0</v>
      </c>
    </row>
    <row r="184" spans="2:19" x14ac:dyDescent="0.25">
      <c r="B184" s="78">
        <f>MAX($B$8:B183)+1</f>
        <v>168</v>
      </c>
      <c r="C184" s="78" t="s">
        <v>299</v>
      </c>
      <c r="D184" s="23" t="s">
        <v>325</v>
      </c>
      <c r="E184" s="151" t="str">
        <f>'EP IS Restatements'!E185</f>
        <v>Miscellaneous</v>
      </c>
      <c r="F184" s="22">
        <f>'EP IS Restatements'!M185</f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/>
      <c r="O184" s="22">
        <v>0</v>
      </c>
      <c r="P184" s="22">
        <v>0</v>
      </c>
      <c r="Q184" s="22">
        <v>0</v>
      </c>
      <c r="R184" s="22">
        <f t="shared" si="23"/>
        <v>0</v>
      </c>
      <c r="S184" s="22">
        <f t="shared" si="24"/>
        <v>0</v>
      </c>
    </row>
    <row r="185" spans="2:19" x14ac:dyDescent="0.25">
      <c r="B185" s="78">
        <f>MAX($B$8:B184)+1</f>
        <v>169</v>
      </c>
      <c r="C185" s="78" t="s">
        <v>300</v>
      </c>
      <c r="D185" s="23" t="s">
        <v>326</v>
      </c>
      <c r="E185" s="151" t="str">
        <f>'EP IS Restatements'!E186</f>
        <v>Miscellaneous</v>
      </c>
      <c r="F185" s="22">
        <f>'EP IS Restatements'!M186</f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/>
      <c r="O185" s="22">
        <v>0</v>
      </c>
      <c r="P185" s="22">
        <v>0</v>
      </c>
      <c r="Q185" s="22">
        <v>0</v>
      </c>
      <c r="R185" s="22">
        <f t="shared" si="23"/>
        <v>0</v>
      </c>
      <c r="S185" s="22">
        <f t="shared" si="24"/>
        <v>0</v>
      </c>
    </row>
    <row r="186" spans="2:19" x14ac:dyDescent="0.25">
      <c r="B186" s="78">
        <f>MAX($B$8:B185)+1</f>
        <v>170</v>
      </c>
      <c r="C186" s="78" t="s">
        <v>301</v>
      </c>
      <c r="D186" s="23" t="s">
        <v>327</v>
      </c>
      <c r="E186" s="151" t="str">
        <f>'EP IS Restatements'!E187</f>
        <v>Miscellaneous</v>
      </c>
      <c r="F186" s="22">
        <f>'EP IS Restatements'!M187</f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/>
      <c r="O186" s="22">
        <v>0</v>
      </c>
      <c r="P186" s="22">
        <v>0</v>
      </c>
      <c r="Q186" s="22">
        <v>0</v>
      </c>
      <c r="R186" s="22">
        <f t="shared" si="23"/>
        <v>0</v>
      </c>
      <c r="S186" s="22">
        <f t="shared" si="24"/>
        <v>0</v>
      </c>
    </row>
    <row r="187" spans="2:19" x14ac:dyDescent="0.25">
      <c r="B187" s="78">
        <f>MAX($B$8:B186)+1</f>
        <v>171</v>
      </c>
      <c r="C187" s="78" t="s">
        <v>302</v>
      </c>
      <c r="D187" s="23" t="s">
        <v>328</v>
      </c>
      <c r="E187" s="151" t="str">
        <f>'EP IS Restatements'!E188</f>
        <v>Federal Income Tax (FIT)</v>
      </c>
      <c r="F187" s="22">
        <f>'EP IS Restatements'!M188</f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/>
      <c r="O187" s="22">
        <v>0</v>
      </c>
      <c r="P187" s="22">
        <v>0</v>
      </c>
      <c r="Q187" s="22">
        <v>0</v>
      </c>
      <c r="R187" s="22">
        <f t="shared" si="23"/>
        <v>0</v>
      </c>
      <c r="S187" s="22">
        <f t="shared" si="24"/>
        <v>0</v>
      </c>
    </row>
    <row r="188" spans="2:19" ht="3.75" customHeight="1" x14ac:dyDescent="0.25">
      <c r="B188" s="78"/>
      <c r="C188" s="78"/>
      <c r="D188" s="23"/>
      <c r="E188" s="151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</row>
    <row r="189" spans="2:19" x14ac:dyDescent="0.25">
      <c r="B189" s="78">
        <f>MAX($B$8:B188)+1</f>
        <v>172</v>
      </c>
      <c r="C189" s="78"/>
      <c r="D189" s="146" t="s">
        <v>329</v>
      </c>
      <c r="E189" s="152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</row>
    <row r="190" spans="2:19" x14ac:dyDescent="0.25">
      <c r="B190" s="78">
        <f>MAX($B$8:B189)+1</f>
        <v>173</v>
      </c>
      <c r="C190" s="78" t="s">
        <v>330</v>
      </c>
      <c r="D190" s="23" t="s">
        <v>333</v>
      </c>
      <c r="E190" s="151" t="str">
        <f>'EP IS Restatements'!E191</f>
        <v>Interest Expense</v>
      </c>
      <c r="F190" s="22">
        <f>'EP IS Restatements'!M191</f>
        <v>269640.75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/>
      <c r="O190" s="22">
        <v>0</v>
      </c>
      <c r="P190" s="22">
        <v>0</v>
      </c>
      <c r="Q190" s="22">
        <v>0</v>
      </c>
      <c r="R190" s="22">
        <f>SUM(G190:Q190)</f>
        <v>0</v>
      </c>
      <c r="S190" s="22">
        <f>F190+R190</f>
        <v>269640.75</v>
      </c>
    </row>
    <row r="191" spans="2:19" x14ac:dyDescent="0.25">
      <c r="B191" s="78">
        <f>MAX($B$8:B190)+1</f>
        <v>174</v>
      </c>
      <c r="C191" s="78" t="s">
        <v>331</v>
      </c>
      <c r="D191" s="23" t="s">
        <v>334</v>
      </c>
      <c r="E191" s="151" t="str">
        <f>'EP IS Restatements'!E192</f>
        <v>Interest Expense</v>
      </c>
      <c r="F191" s="22">
        <f>'EP IS Restatements'!M192</f>
        <v>12455.64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/>
      <c r="O191" s="22">
        <v>0</v>
      </c>
      <c r="P191" s="22">
        <v>0</v>
      </c>
      <c r="Q191" s="22">
        <v>0</v>
      </c>
      <c r="R191" s="22">
        <f>SUM(G191:Q191)</f>
        <v>0</v>
      </c>
      <c r="S191" s="22">
        <f>F191+R191</f>
        <v>12455.64</v>
      </c>
    </row>
    <row r="192" spans="2:19" x14ac:dyDescent="0.25">
      <c r="B192" s="78">
        <f>MAX($B$8:B191)+1</f>
        <v>175</v>
      </c>
      <c r="C192" s="78" t="s">
        <v>332</v>
      </c>
      <c r="D192" s="23" t="s">
        <v>335</v>
      </c>
      <c r="E192" s="151" t="str">
        <f>'EP IS Restatements'!E193</f>
        <v>Interest Expense</v>
      </c>
      <c r="F192" s="22">
        <f>'EP IS Restatements'!M193</f>
        <v>-1621.73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/>
      <c r="O192" s="22">
        <v>0</v>
      </c>
      <c r="P192" s="22">
        <v>0</v>
      </c>
      <c r="Q192" s="22">
        <v>0</v>
      </c>
      <c r="R192" s="22">
        <f>SUM(G192:Q192)</f>
        <v>0</v>
      </c>
      <c r="S192" s="22">
        <f>F192+R192</f>
        <v>-1621.73</v>
      </c>
    </row>
    <row r="193" spans="2:19" ht="3.75" customHeight="1" x14ac:dyDescent="0.25">
      <c r="B193" s="78"/>
      <c r="C193" s="78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</row>
    <row r="194" spans="2:19" x14ac:dyDescent="0.25">
      <c r="B194" s="78">
        <f>MAX($B$8:B193)+1</f>
        <v>176</v>
      </c>
      <c r="C194" s="78"/>
      <c r="D194" s="146" t="s">
        <v>336</v>
      </c>
      <c r="E194" s="146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</row>
    <row r="195" spans="2:19" x14ac:dyDescent="0.25">
      <c r="B195" s="78">
        <f>MAX($B$8:B194)+1</f>
        <v>177</v>
      </c>
      <c r="C195" s="78" t="s">
        <v>337</v>
      </c>
      <c r="D195" s="23" t="s">
        <v>338</v>
      </c>
      <c r="E195" s="23"/>
      <c r="F195" s="22">
        <f>'EP IS Restatements'!M196</f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/>
      <c r="O195" s="22">
        <v>0</v>
      </c>
      <c r="P195" s="22">
        <v>0</v>
      </c>
      <c r="Q195" s="22">
        <v>0</v>
      </c>
      <c r="R195" s="22">
        <f>SUM(G195:Q195)</f>
        <v>0</v>
      </c>
      <c r="S195" s="22">
        <f>F195+R195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09AD-6042-4009-B975-09A722E66148}">
  <sheetPr>
    <tabColor rgb="FF00B050"/>
  </sheetPr>
  <dimension ref="A1:O128"/>
  <sheetViews>
    <sheetView workbookViewId="0"/>
  </sheetViews>
  <sheetFormatPr defaultColWidth="9.140625" defaultRowHeight="12.75" x14ac:dyDescent="0.2"/>
  <cols>
    <col min="1" max="1" width="1.42578125" style="29" customWidth="1"/>
    <col min="2" max="2" width="5.7109375" style="29" customWidth="1"/>
    <col min="3" max="3" width="10.7109375" style="29" customWidth="1"/>
    <col min="4" max="4" width="39.28515625" style="29" customWidth="1"/>
    <col min="5" max="5" width="48.140625" style="29" customWidth="1"/>
    <col min="6" max="12" width="14.28515625" style="29" customWidth="1"/>
    <col min="13" max="14" width="14.28515625" style="30" customWidth="1"/>
    <col min="15" max="15" width="138.5703125" style="74" customWidth="1"/>
    <col min="16" max="16" width="9.140625" style="29"/>
    <col min="17" max="17" width="50.28515625" style="29" customWidth="1"/>
    <col min="18" max="16384" width="9.140625" style="29"/>
  </cols>
  <sheetData>
    <row r="1" spans="1:15" customFormat="1" ht="7.5" customHeight="1" x14ac:dyDescent="0.25">
      <c r="A1" s="51" t="str" cm="1">
        <f t="array" aca="1" ref="A1" ca="1">MID(CELL("filename",A1),FIND("]",CELL("filename",A1))+1,255)</f>
        <v>WP RA3</v>
      </c>
      <c r="B1" s="51"/>
      <c r="D1" s="2"/>
      <c r="O1" s="57"/>
    </row>
    <row r="2" spans="1:15" customFormat="1" ht="15" x14ac:dyDescent="0.25">
      <c r="B2" s="24" t="s">
        <v>451</v>
      </c>
      <c r="C2" s="29"/>
      <c r="D2" s="46"/>
      <c r="O2" s="57"/>
    </row>
    <row r="3" spans="1:15" customFormat="1" ht="15" x14ac:dyDescent="0.25">
      <c r="B3" s="1" t="s">
        <v>547</v>
      </c>
      <c r="C3" s="29"/>
      <c r="D3" s="46"/>
      <c r="O3" s="57"/>
    </row>
    <row r="4" spans="1:15" ht="7.5" customHeight="1" x14ac:dyDescent="0.2"/>
    <row r="6" spans="1:15" ht="15" customHeight="1" x14ac:dyDescent="0.25">
      <c r="B6" s="16" t="s">
        <v>417</v>
      </c>
      <c r="F6" s="199" t="s">
        <v>479</v>
      </c>
      <c r="G6" s="199"/>
      <c r="H6" s="199"/>
      <c r="I6" s="199"/>
      <c r="J6" s="199"/>
      <c r="K6" s="199"/>
      <c r="L6" s="199"/>
      <c r="M6" s="200" t="s">
        <v>480</v>
      </c>
      <c r="N6" s="70" t="s">
        <v>424</v>
      </c>
    </row>
    <row r="7" spans="1:15" ht="15" x14ac:dyDescent="0.25">
      <c r="B7" s="17" t="s">
        <v>418</v>
      </c>
      <c r="C7" s="31" t="s">
        <v>481</v>
      </c>
      <c r="D7" s="31" t="s">
        <v>482</v>
      </c>
      <c r="E7" s="31" t="s">
        <v>1116</v>
      </c>
      <c r="F7" s="73">
        <v>44012</v>
      </c>
      <c r="G7" s="73">
        <v>44043</v>
      </c>
      <c r="H7" s="73">
        <v>44074</v>
      </c>
      <c r="I7" s="73">
        <v>44104</v>
      </c>
      <c r="J7" s="73">
        <v>44135</v>
      </c>
      <c r="K7" s="73">
        <v>44165</v>
      </c>
      <c r="L7" s="73">
        <v>44196</v>
      </c>
      <c r="M7" s="201"/>
      <c r="N7" s="32" t="s">
        <v>444</v>
      </c>
      <c r="O7" s="75" t="s">
        <v>483</v>
      </c>
    </row>
    <row r="8" spans="1:15" x14ac:dyDescent="0.2">
      <c r="C8" s="71" t="s">
        <v>419</v>
      </c>
      <c r="D8" s="72" t="s">
        <v>420</v>
      </c>
      <c r="E8" s="72" t="s">
        <v>421</v>
      </c>
      <c r="F8" s="72" t="s">
        <v>422</v>
      </c>
      <c r="G8" s="72" t="s">
        <v>430</v>
      </c>
      <c r="H8" s="72" t="s">
        <v>431</v>
      </c>
      <c r="I8" s="72" t="s">
        <v>434</v>
      </c>
      <c r="J8" s="72" t="s">
        <v>435</v>
      </c>
      <c r="K8" s="72" t="s">
        <v>436</v>
      </c>
      <c r="L8" s="72" t="s">
        <v>447</v>
      </c>
      <c r="M8" s="72" t="s">
        <v>448</v>
      </c>
      <c r="N8" s="72" t="s">
        <v>490</v>
      </c>
      <c r="O8" s="76" t="s">
        <v>491</v>
      </c>
    </row>
    <row r="9" spans="1:15" ht="4.5" customHeight="1" x14ac:dyDescent="0.2">
      <c r="C9" s="33"/>
    </row>
    <row r="10" spans="1:15" ht="15" customHeight="1" x14ac:dyDescent="0.2">
      <c r="B10" s="72">
        <f>MAX($B$8:B9)+1</f>
        <v>1</v>
      </c>
      <c r="C10" s="71" t="s">
        <v>42</v>
      </c>
      <c r="D10" s="29" t="s">
        <v>82</v>
      </c>
      <c r="E10" s="29" t="s">
        <v>389</v>
      </c>
      <c r="F10" s="34">
        <v>142644</v>
      </c>
      <c r="G10" s="34">
        <v>144842.76</v>
      </c>
      <c r="H10" s="34">
        <v>18146.940000000002</v>
      </c>
      <c r="I10" s="34">
        <v>153657.22999999998</v>
      </c>
      <c r="J10" s="34">
        <v>153372.32</v>
      </c>
      <c r="K10" s="34">
        <v>146204.84999999998</v>
      </c>
      <c r="L10" s="34">
        <v>141963.95000000007</v>
      </c>
      <c r="M10" s="35">
        <f t="shared" ref="M10:M41" si="0">SUM(F10:L10)</f>
        <v>900832.05</v>
      </c>
      <c r="N10" s="34">
        <f>AVERAGE(I10:L10,F10:G10)*7-M10</f>
        <v>128967.24500000011</v>
      </c>
      <c r="O10" s="74" t="s">
        <v>1080</v>
      </c>
    </row>
    <row r="11" spans="1:15" ht="15" customHeight="1" x14ac:dyDescent="0.2">
      <c r="B11" s="72">
        <f>MAX($B$8:B10)+1</f>
        <v>2</v>
      </c>
      <c r="C11" s="71" t="s">
        <v>43</v>
      </c>
      <c r="D11" s="29" t="s">
        <v>83</v>
      </c>
      <c r="E11" s="29" t="s">
        <v>389</v>
      </c>
      <c r="F11" s="34">
        <v>82348.11</v>
      </c>
      <c r="G11" s="34">
        <v>-35995.629999999997</v>
      </c>
      <c r="H11" s="34">
        <v>48614.189999999995</v>
      </c>
      <c r="I11" s="34">
        <v>47697.86</v>
      </c>
      <c r="J11" s="34">
        <v>34307.950000000012</v>
      </c>
      <c r="K11" s="34">
        <v>21651.799999999988</v>
      </c>
      <c r="L11" s="34">
        <v>28161.320000000007</v>
      </c>
      <c r="M11" s="35">
        <f t="shared" si="0"/>
        <v>226785.6</v>
      </c>
      <c r="N11" s="34"/>
    </row>
    <row r="12" spans="1:15" ht="15" customHeight="1" x14ac:dyDescent="0.2">
      <c r="B12" s="72">
        <f>MAX($B$8:B11)+1</f>
        <v>3</v>
      </c>
      <c r="C12" s="71" t="s">
        <v>44</v>
      </c>
      <c r="D12" s="29" t="s">
        <v>84</v>
      </c>
      <c r="E12" s="29" t="s">
        <v>390</v>
      </c>
      <c r="F12" s="34">
        <v>425.82</v>
      </c>
      <c r="G12" s="34">
        <v>1999.99</v>
      </c>
      <c r="H12" s="34">
        <v>920.04</v>
      </c>
      <c r="I12" s="34">
        <v>338.03999999999996</v>
      </c>
      <c r="J12" s="34">
        <v>3095.0400000000004</v>
      </c>
      <c r="K12" s="34">
        <v>0</v>
      </c>
      <c r="L12" s="34">
        <v>0</v>
      </c>
      <c r="M12" s="35">
        <f t="shared" si="0"/>
        <v>6778.93</v>
      </c>
      <c r="N12" s="34"/>
    </row>
    <row r="13" spans="1:15" ht="15" customHeight="1" x14ac:dyDescent="0.2">
      <c r="B13" s="72">
        <f>MAX($B$8:B12)+1</f>
        <v>4</v>
      </c>
      <c r="C13" s="71" t="s">
        <v>45</v>
      </c>
      <c r="D13" s="29" t="s">
        <v>85</v>
      </c>
      <c r="E13" s="29" t="s">
        <v>391</v>
      </c>
      <c r="F13" s="34">
        <v>26574.77</v>
      </c>
      <c r="G13" s="34">
        <v>21902.74</v>
      </c>
      <c r="H13" s="34">
        <v>16619.079999999994</v>
      </c>
      <c r="I13" s="34">
        <v>21259.73000000001</v>
      </c>
      <c r="J13" s="34">
        <v>7336.1699999999983</v>
      </c>
      <c r="K13" s="34">
        <v>14697.959999999992</v>
      </c>
      <c r="L13" s="34">
        <v>17262.419999999998</v>
      </c>
      <c r="M13" s="35">
        <f t="shared" si="0"/>
        <v>125652.87</v>
      </c>
      <c r="N13" s="34"/>
    </row>
    <row r="14" spans="1:15" ht="15" customHeight="1" x14ac:dyDescent="0.2">
      <c r="B14" s="72">
        <f>MAX($B$8:B13)+1</f>
        <v>5</v>
      </c>
      <c r="C14" s="71" t="s">
        <v>46</v>
      </c>
      <c r="D14" s="29" t="s">
        <v>86</v>
      </c>
      <c r="E14" s="29" t="s">
        <v>390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120</v>
      </c>
      <c r="L14" s="34">
        <v>0</v>
      </c>
      <c r="M14" s="35">
        <f t="shared" si="0"/>
        <v>120</v>
      </c>
      <c r="N14" s="34">
        <f>-M14</f>
        <v>-120</v>
      </c>
      <c r="O14" s="74" t="s">
        <v>1081</v>
      </c>
    </row>
    <row r="15" spans="1:15" ht="15" customHeight="1" x14ac:dyDescent="0.2">
      <c r="B15" s="72">
        <f>MAX($B$8:B14)+1</f>
        <v>6</v>
      </c>
      <c r="C15" s="71" t="s">
        <v>47</v>
      </c>
      <c r="D15" s="29" t="s">
        <v>87</v>
      </c>
      <c r="E15" s="29" t="s">
        <v>390</v>
      </c>
      <c r="F15" s="34">
        <v>248.66</v>
      </c>
      <c r="G15" s="34">
        <v>1.3900000000000148</v>
      </c>
      <c r="H15" s="34">
        <v>250.19</v>
      </c>
      <c r="I15" s="34">
        <v>250.18999999999994</v>
      </c>
      <c r="J15" s="34">
        <v>250.23000000000002</v>
      </c>
      <c r="K15" s="34">
        <v>250.23000000000013</v>
      </c>
      <c r="L15" s="34">
        <v>250.22999999999979</v>
      </c>
      <c r="M15" s="35">
        <f t="shared" si="0"/>
        <v>1501.12</v>
      </c>
      <c r="N15" s="34">
        <f>L15*7-M15</f>
        <v>250.48999999999864</v>
      </c>
      <c r="O15" s="74" t="s">
        <v>1082</v>
      </c>
    </row>
    <row r="16" spans="1:15" ht="15" hidden="1" customHeight="1" x14ac:dyDescent="0.2">
      <c r="B16" s="72">
        <f>MAX($B$8:B15)+1</f>
        <v>7</v>
      </c>
      <c r="C16" s="71" t="s">
        <v>48</v>
      </c>
      <c r="D16" s="29" t="s">
        <v>88</v>
      </c>
      <c r="E16" s="29" t="s">
        <v>390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5">
        <f t="shared" si="0"/>
        <v>0</v>
      </c>
      <c r="N16" s="34"/>
    </row>
    <row r="17" spans="2:15" ht="15" customHeight="1" x14ac:dyDescent="0.2">
      <c r="B17" s="72">
        <f>MAX($B$8:B16)+1</f>
        <v>8</v>
      </c>
      <c r="C17" s="71" t="s">
        <v>49</v>
      </c>
      <c r="D17" s="29" t="s">
        <v>89</v>
      </c>
      <c r="E17" s="29" t="s">
        <v>390</v>
      </c>
      <c r="F17" s="34">
        <v>12213.38</v>
      </c>
      <c r="G17" s="34">
        <v>15008.58</v>
      </c>
      <c r="H17" s="34">
        <v>15756.520000000004</v>
      </c>
      <c r="I17" s="34">
        <v>12423.989999999998</v>
      </c>
      <c r="J17" s="34">
        <v>3988.760000000002</v>
      </c>
      <c r="K17" s="34">
        <v>19494.120000000003</v>
      </c>
      <c r="L17" s="34">
        <v>15019.669999999998</v>
      </c>
      <c r="M17" s="35">
        <f t="shared" si="0"/>
        <v>93905.02</v>
      </c>
      <c r="N17" s="34"/>
    </row>
    <row r="18" spans="2:15" ht="15" customHeight="1" x14ac:dyDescent="0.2">
      <c r="B18" s="72">
        <f>MAX($B$8:B17)+1</f>
        <v>9</v>
      </c>
      <c r="C18" s="71" t="s">
        <v>50</v>
      </c>
      <c r="D18" s="29" t="s">
        <v>90</v>
      </c>
      <c r="E18" s="29" t="s">
        <v>390</v>
      </c>
      <c r="F18" s="34">
        <v>0</v>
      </c>
      <c r="G18" s="34">
        <v>654.70000000000005</v>
      </c>
      <c r="H18" s="34">
        <v>-158.47000000000003</v>
      </c>
      <c r="I18" s="34">
        <v>-227.8</v>
      </c>
      <c r="J18" s="34">
        <v>0</v>
      </c>
      <c r="K18" s="34">
        <v>14.279999999999973</v>
      </c>
      <c r="L18" s="34">
        <v>236.45</v>
      </c>
      <c r="M18" s="35">
        <f t="shared" si="0"/>
        <v>519.16</v>
      </c>
      <c r="N18" s="34"/>
    </row>
    <row r="19" spans="2:15" ht="15" customHeight="1" x14ac:dyDescent="0.2">
      <c r="B19" s="72">
        <f>MAX($B$8:B18)+1</f>
        <v>10</v>
      </c>
      <c r="C19" s="71" t="s">
        <v>51</v>
      </c>
      <c r="D19" s="29" t="s">
        <v>91</v>
      </c>
      <c r="E19" s="29" t="s">
        <v>392</v>
      </c>
      <c r="F19" s="34">
        <v>0</v>
      </c>
      <c r="G19" s="34">
        <v>4370.88</v>
      </c>
      <c r="H19" s="34">
        <v>14837.259999999998</v>
      </c>
      <c r="I19" s="34">
        <v>14223.54</v>
      </c>
      <c r="J19" s="34">
        <v>8998.18</v>
      </c>
      <c r="K19" s="34">
        <v>10656.370000000003</v>
      </c>
      <c r="L19" s="34">
        <v>14690.159999999996</v>
      </c>
      <c r="M19" s="35">
        <f t="shared" si="0"/>
        <v>67776.39</v>
      </c>
      <c r="N19" s="34">
        <f>AVERAGE(G19:L19)*7-M19</f>
        <v>11296.065000000002</v>
      </c>
      <c r="O19" s="74" t="s">
        <v>1083</v>
      </c>
    </row>
    <row r="20" spans="2:15" ht="15" customHeight="1" x14ac:dyDescent="0.2">
      <c r="B20" s="72">
        <f>MAX($B$8:B19)+1</f>
        <v>11</v>
      </c>
      <c r="C20" s="71" t="s">
        <v>52</v>
      </c>
      <c r="D20" s="29" t="s">
        <v>92</v>
      </c>
      <c r="E20" s="29" t="s">
        <v>390</v>
      </c>
      <c r="F20" s="34">
        <v>0</v>
      </c>
      <c r="G20" s="34">
        <v>13661.14</v>
      </c>
      <c r="H20" s="34">
        <v>4047.1700000000019</v>
      </c>
      <c r="I20" s="34">
        <v>15656.27</v>
      </c>
      <c r="J20" s="34">
        <v>30605.979999999996</v>
      </c>
      <c r="K20" s="34">
        <v>18078.740000000005</v>
      </c>
      <c r="L20" s="34">
        <v>15111.819999999992</v>
      </c>
      <c r="M20" s="35">
        <f t="shared" si="0"/>
        <v>97161.12</v>
      </c>
      <c r="N20" s="34">
        <f>16500*7-M20</f>
        <v>18338.880000000005</v>
      </c>
      <c r="O20" s="74" t="s">
        <v>1084</v>
      </c>
    </row>
    <row r="21" spans="2:15" ht="15" customHeight="1" x14ac:dyDescent="0.2">
      <c r="B21" s="72">
        <f>MAX($B$8:B20)+1</f>
        <v>12</v>
      </c>
      <c r="C21" s="71" t="s">
        <v>53</v>
      </c>
      <c r="D21" s="29" t="s">
        <v>93</v>
      </c>
      <c r="E21" s="29" t="s">
        <v>393</v>
      </c>
      <c r="F21" s="34">
        <v>6755.28</v>
      </c>
      <c r="G21" s="34">
        <v>187.75</v>
      </c>
      <c r="H21" s="34">
        <v>1128.6599999999999</v>
      </c>
      <c r="I21" s="34">
        <v>766.90000000000055</v>
      </c>
      <c r="J21" s="34">
        <v>1179.8999999999996</v>
      </c>
      <c r="K21" s="34">
        <v>227.70000000000073</v>
      </c>
      <c r="L21" s="34">
        <v>0</v>
      </c>
      <c r="M21" s="35">
        <f t="shared" si="0"/>
        <v>10246.19</v>
      </c>
      <c r="N21" s="34"/>
    </row>
    <row r="22" spans="2:15" ht="15" customHeight="1" x14ac:dyDescent="0.2">
      <c r="B22" s="72">
        <f>MAX($B$8:B21)+1</f>
        <v>13</v>
      </c>
      <c r="C22" s="71" t="s">
        <v>54</v>
      </c>
      <c r="D22" s="29" t="s">
        <v>94</v>
      </c>
      <c r="E22" s="29" t="s">
        <v>393</v>
      </c>
      <c r="F22" s="34">
        <v>1012.06</v>
      </c>
      <c r="G22" s="34">
        <v>-525.05999999999995</v>
      </c>
      <c r="H22" s="34">
        <v>658.02</v>
      </c>
      <c r="I22" s="34">
        <v>335.93000000000006</v>
      </c>
      <c r="J22" s="34">
        <v>129.97000000000003</v>
      </c>
      <c r="K22" s="34">
        <v>723.19999999999982</v>
      </c>
      <c r="L22" s="34">
        <v>29.920000000000073</v>
      </c>
      <c r="M22" s="35">
        <f t="shared" si="0"/>
        <v>2364.04</v>
      </c>
      <c r="N22" s="34"/>
    </row>
    <row r="23" spans="2:15" ht="15" hidden="1" customHeight="1" x14ac:dyDescent="0.2">
      <c r="B23" s="72">
        <f>MAX($B$8:B22)+1</f>
        <v>14</v>
      </c>
      <c r="C23" s="71" t="s">
        <v>55</v>
      </c>
      <c r="D23" s="29" t="s">
        <v>95</v>
      </c>
      <c r="E23" s="29" t="s">
        <v>393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5">
        <f t="shared" si="0"/>
        <v>0</v>
      </c>
      <c r="N23" s="34"/>
    </row>
    <row r="24" spans="2:15" ht="15" customHeight="1" x14ac:dyDescent="0.2">
      <c r="B24" s="72">
        <f>MAX($B$8:B23)+1</f>
        <v>15</v>
      </c>
      <c r="C24" s="71" t="s">
        <v>56</v>
      </c>
      <c r="D24" s="29" t="s">
        <v>96</v>
      </c>
      <c r="E24" s="29" t="s">
        <v>393</v>
      </c>
      <c r="F24" s="34">
        <v>0</v>
      </c>
      <c r="G24" s="34">
        <v>0</v>
      </c>
      <c r="H24" s="34">
        <v>2694.9</v>
      </c>
      <c r="I24" s="34">
        <v>955</v>
      </c>
      <c r="J24" s="34">
        <v>-705</v>
      </c>
      <c r="K24" s="34">
        <v>1006</v>
      </c>
      <c r="L24" s="34">
        <v>337.99999999999955</v>
      </c>
      <c r="M24" s="35">
        <f t="shared" si="0"/>
        <v>4288.8999999999996</v>
      </c>
      <c r="N24" s="34"/>
    </row>
    <row r="25" spans="2:15" ht="15" hidden="1" customHeight="1" x14ac:dyDescent="0.2">
      <c r="B25" s="72">
        <f>MAX($B$8:B24)+1</f>
        <v>16</v>
      </c>
      <c r="C25" s="71" t="s">
        <v>57</v>
      </c>
      <c r="D25" s="29" t="s">
        <v>97</v>
      </c>
      <c r="E25" s="29" t="s">
        <v>393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5">
        <f t="shared" si="0"/>
        <v>0</v>
      </c>
      <c r="N25" s="34"/>
    </row>
    <row r="26" spans="2:15" ht="15" hidden="1" customHeight="1" x14ac:dyDescent="0.2">
      <c r="B26" s="72">
        <f>MAX($B$8:B25)+1</f>
        <v>17</v>
      </c>
      <c r="C26" s="71" t="s">
        <v>58</v>
      </c>
      <c r="D26" s="29" t="s">
        <v>98</v>
      </c>
      <c r="E26" s="29" t="s">
        <v>394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5">
        <f t="shared" si="0"/>
        <v>0</v>
      </c>
      <c r="N26" s="34"/>
    </row>
    <row r="27" spans="2:15" ht="15" customHeight="1" x14ac:dyDescent="0.2">
      <c r="B27" s="72">
        <f>MAX($B$8:B26)+1</f>
        <v>18</v>
      </c>
      <c r="C27" s="71" t="s">
        <v>59</v>
      </c>
      <c r="D27" s="29" t="s">
        <v>99</v>
      </c>
      <c r="E27" s="29" t="s">
        <v>395</v>
      </c>
      <c r="F27" s="34">
        <v>1271.67</v>
      </c>
      <c r="G27" s="34">
        <v>3700.5</v>
      </c>
      <c r="H27" s="34">
        <v>1898.17</v>
      </c>
      <c r="I27" s="34">
        <v>1931.5699999999997</v>
      </c>
      <c r="J27" s="34">
        <v>1767.9799999999996</v>
      </c>
      <c r="K27" s="34">
        <v>1753.6400000000012</v>
      </c>
      <c r="L27" s="34">
        <v>1790.1999999999989</v>
      </c>
      <c r="M27" s="35">
        <f t="shared" si="0"/>
        <v>14113.73</v>
      </c>
      <c r="N27" s="34">
        <f>AVERAGE(F27,H27:L27)*7-M27</f>
        <v>-1964.961666666668</v>
      </c>
      <c r="O27" s="74" t="s">
        <v>1085</v>
      </c>
    </row>
    <row r="28" spans="2:15" ht="15" customHeight="1" x14ac:dyDescent="0.2">
      <c r="B28" s="72">
        <f>MAX($B$8:B27)+1</f>
        <v>19</v>
      </c>
      <c r="C28" s="71" t="s">
        <v>60</v>
      </c>
      <c r="D28" s="29" t="s">
        <v>100</v>
      </c>
      <c r="E28" s="29" t="s">
        <v>393</v>
      </c>
      <c r="F28" s="34">
        <v>2062.77</v>
      </c>
      <c r="G28" s="34">
        <v>1509.75</v>
      </c>
      <c r="H28" s="34">
        <v>453.52</v>
      </c>
      <c r="I28" s="34">
        <v>432.14000000000033</v>
      </c>
      <c r="J28" s="34">
        <v>806.34999999999945</v>
      </c>
      <c r="K28" s="34">
        <v>488.82999999999993</v>
      </c>
      <c r="L28" s="34">
        <v>3923.9399999999996</v>
      </c>
      <c r="M28" s="35">
        <f t="shared" si="0"/>
        <v>9677.2999999999993</v>
      </c>
      <c r="N28" s="34"/>
    </row>
    <row r="29" spans="2:15" ht="15" customHeight="1" x14ac:dyDescent="0.2">
      <c r="B29" s="72">
        <f>MAX($B$8:B28)+1</f>
        <v>20</v>
      </c>
      <c r="C29" s="71" t="s">
        <v>61</v>
      </c>
      <c r="D29" s="29" t="s">
        <v>101</v>
      </c>
      <c r="E29" s="29" t="s">
        <v>395</v>
      </c>
      <c r="F29" s="34">
        <v>2420.9499999999998</v>
      </c>
      <c r="G29" s="34">
        <v>2420.9499999999998</v>
      </c>
      <c r="H29" s="34">
        <v>2420.9500000000007</v>
      </c>
      <c r="I29" s="34">
        <v>2420.9499999999989</v>
      </c>
      <c r="J29" s="34">
        <v>2420.9500000000007</v>
      </c>
      <c r="K29" s="34">
        <v>2420.9500000000007</v>
      </c>
      <c r="L29" s="34">
        <v>2555.9500000000007</v>
      </c>
      <c r="M29" s="35">
        <f t="shared" si="0"/>
        <v>17081.650000000001</v>
      </c>
      <c r="N29" s="34">
        <f>629.6*7-M29</f>
        <v>-12674.45</v>
      </c>
      <c r="O29" s="74" t="s">
        <v>1086</v>
      </c>
    </row>
    <row r="30" spans="2:15" ht="15" customHeight="1" x14ac:dyDescent="0.2">
      <c r="B30" s="72">
        <f>MAX($B$8:B29)+1</f>
        <v>21</v>
      </c>
      <c r="C30" s="71" t="s">
        <v>62</v>
      </c>
      <c r="D30" s="29" t="s">
        <v>102</v>
      </c>
      <c r="E30" s="29" t="s">
        <v>391</v>
      </c>
      <c r="F30" s="34">
        <v>26258.59</v>
      </c>
      <c r="G30" s="34">
        <v>63087.540000000008</v>
      </c>
      <c r="H30" s="34">
        <v>-41003.300000000003</v>
      </c>
      <c r="I30" s="34">
        <v>28292.300000000003</v>
      </c>
      <c r="J30" s="34">
        <v>11478.25</v>
      </c>
      <c r="K30" s="34">
        <v>23948.399999999994</v>
      </c>
      <c r="L30" s="34">
        <v>18450.839999999997</v>
      </c>
      <c r="M30" s="35">
        <f t="shared" si="0"/>
        <v>130512.62</v>
      </c>
      <c r="N30" s="34"/>
    </row>
    <row r="31" spans="2:15" ht="15" hidden="1" customHeight="1" x14ac:dyDescent="0.2">
      <c r="B31" s="72">
        <f>MAX($B$8:B30)+1</f>
        <v>22</v>
      </c>
      <c r="C31" s="71" t="s">
        <v>63</v>
      </c>
      <c r="D31" s="29" t="s">
        <v>103</v>
      </c>
      <c r="E31" s="29" t="s">
        <v>396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5">
        <f t="shared" si="0"/>
        <v>0</v>
      </c>
      <c r="N31" s="34"/>
    </row>
    <row r="32" spans="2:15" ht="15" hidden="1" customHeight="1" x14ac:dyDescent="0.2">
      <c r="B32" s="72">
        <f>MAX($B$8:B31)+1</f>
        <v>23</v>
      </c>
      <c r="C32" s="71" t="s">
        <v>64</v>
      </c>
      <c r="D32" s="29" t="s">
        <v>104</v>
      </c>
      <c r="E32" s="29" t="s">
        <v>396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5">
        <f t="shared" si="0"/>
        <v>0</v>
      </c>
      <c r="N32" s="34"/>
    </row>
    <row r="33" spans="2:15" ht="15" hidden="1" customHeight="1" x14ac:dyDescent="0.2">
      <c r="B33" s="72">
        <f>MAX($B$8:B32)+1</f>
        <v>24</v>
      </c>
      <c r="C33" s="71" t="s">
        <v>65</v>
      </c>
      <c r="D33" s="29" t="s">
        <v>105</v>
      </c>
      <c r="E33" s="29" t="s">
        <v>396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5">
        <f t="shared" si="0"/>
        <v>0</v>
      </c>
      <c r="N33" s="34"/>
    </row>
    <row r="34" spans="2:15" ht="15" hidden="1" customHeight="1" x14ac:dyDescent="0.2">
      <c r="B34" s="72">
        <f>MAX($B$8:B33)+1</f>
        <v>25</v>
      </c>
      <c r="C34" s="71" t="s">
        <v>66</v>
      </c>
      <c r="D34" s="29" t="s">
        <v>106</v>
      </c>
      <c r="E34" s="29" t="s">
        <v>396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5">
        <f t="shared" si="0"/>
        <v>0</v>
      </c>
      <c r="N34" s="34"/>
    </row>
    <row r="35" spans="2:15" ht="15" hidden="1" customHeight="1" x14ac:dyDescent="0.2">
      <c r="B35" s="72">
        <f>MAX($B$8:B34)+1</f>
        <v>26</v>
      </c>
      <c r="C35" s="71" t="s">
        <v>67</v>
      </c>
      <c r="D35" s="29" t="s">
        <v>107</v>
      </c>
      <c r="E35" s="29" t="s">
        <v>396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5">
        <f t="shared" si="0"/>
        <v>0</v>
      </c>
      <c r="N35" s="34"/>
    </row>
    <row r="36" spans="2:15" ht="15" customHeight="1" x14ac:dyDescent="0.2">
      <c r="B36" s="72">
        <f>MAX($B$8:B35)+1</f>
        <v>27</v>
      </c>
      <c r="C36" s="71" t="s">
        <v>68</v>
      </c>
      <c r="D36" s="29" t="s">
        <v>108</v>
      </c>
      <c r="E36" s="29" t="s">
        <v>396</v>
      </c>
      <c r="F36" s="34">
        <v>110072.92</v>
      </c>
      <c r="G36" s="34">
        <v>95559.360000000001</v>
      </c>
      <c r="H36" s="34">
        <v>82041.59</v>
      </c>
      <c r="I36" s="34">
        <v>152969.18</v>
      </c>
      <c r="J36" s="34">
        <v>78211.600000000035</v>
      </c>
      <c r="K36" s="34">
        <v>92722.890000000014</v>
      </c>
      <c r="L36" s="34">
        <v>78232.529999999912</v>
      </c>
      <c r="M36" s="35">
        <f t="shared" si="0"/>
        <v>689810.07</v>
      </c>
      <c r="N36" s="34"/>
    </row>
    <row r="37" spans="2:15" ht="15" hidden="1" customHeight="1" x14ac:dyDescent="0.2">
      <c r="B37" s="72">
        <f>MAX($B$8:B36)+1</f>
        <v>28</v>
      </c>
      <c r="C37" s="71" t="s">
        <v>69</v>
      </c>
      <c r="D37" s="29" t="s">
        <v>109</v>
      </c>
      <c r="E37" s="29" t="s">
        <v>391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5">
        <f t="shared" si="0"/>
        <v>0</v>
      </c>
      <c r="N37" s="34"/>
    </row>
    <row r="38" spans="2:15" ht="15" hidden="1" customHeight="1" x14ac:dyDescent="0.2">
      <c r="B38" s="72">
        <f>MAX($B$8:B37)+1</f>
        <v>29</v>
      </c>
      <c r="C38" s="71" t="s">
        <v>70</v>
      </c>
      <c r="D38" s="29" t="s">
        <v>110</v>
      </c>
      <c r="E38" s="29" t="s">
        <v>391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5">
        <f t="shared" si="0"/>
        <v>0</v>
      </c>
      <c r="N38" s="34"/>
    </row>
    <row r="39" spans="2:15" ht="15" hidden="1" customHeight="1" x14ac:dyDescent="0.2">
      <c r="B39" s="72">
        <f>MAX($B$8:B38)+1</f>
        <v>30</v>
      </c>
      <c r="C39" s="71" t="s">
        <v>71</v>
      </c>
      <c r="D39" s="29" t="s">
        <v>111</v>
      </c>
      <c r="E39" s="29" t="s">
        <v>397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5">
        <f t="shared" si="0"/>
        <v>0</v>
      </c>
      <c r="N39" s="34"/>
    </row>
    <row r="40" spans="2:15" ht="15" hidden="1" customHeight="1" x14ac:dyDescent="0.2">
      <c r="B40" s="72">
        <f>MAX($B$8:B39)+1</f>
        <v>31</v>
      </c>
      <c r="C40" s="71" t="s">
        <v>72</v>
      </c>
      <c r="D40" s="29" t="s">
        <v>112</v>
      </c>
      <c r="E40" s="29" t="s">
        <v>398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5">
        <f t="shared" si="0"/>
        <v>0</v>
      </c>
      <c r="N40" s="34"/>
    </row>
    <row r="41" spans="2:15" ht="15" customHeight="1" x14ac:dyDescent="0.2">
      <c r="B41" s="72">
        <f>MAX($B$8:B40)+1</f>
        <v>32</v>
      </c>
      <c r="C41" s="71" t="s">
        <v>73</v>
      </c>
      <c r="D41" s="29" t="s">
        <v>113</v>
      </c>
      <c r="E41" s="29" t="s">
        <v>399</v>
      </c>
      <c r="F41" s="34">
        <v>93087.69</v>
      </c>
      <c r="G41" s="34">
        <v>36316.979999999996</v>
      </c>
      <c r="H41" s="34">
        <v>6187.5000000000146</v>
      </c>
      <c r="I41" s="34">
        <v>9900</v>
      </c>
      <c r="J41" s="34">
        <v>15062.5</v>
      </c>
      <c r="K41" s="34">
        <v>0</v>
      </c>
      <c r="L41" s="34">
        <v>1300</v>
      </c>
      <c r="M41" s="35">
        <f t="shared" si="0"/>
        <v>161854.67000000001</v>
      </c>
      <c r="N41" s="34">
        <f>15411*0.493*7/12-M41</f>
        <v>-157422.72325000001</v>
      </c>
      <c r="O41" s="74" t="s">
        <v>1087</v>
      </c>
    </row>
    <row r="42" spans="2:15" ht="15" hidden="1" customHeight="1" x14ac:dyDescent="0.2">
      <c r="B42" s="72">
        <f>MAX($B$8:B41)+1</f>
        <v>33</v>
      </c>
      <c r="C42" s="71" t="s">
        <v>74</v>
      </c>
      <c r="D42" s="29" t="s">
        <v>114</v>
      </c>
      <c r="E42" s="29" t="s">
        <v>393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5">
        <f t="shared" ref="M42:M73" si="1">SUM(F42:L42)</f>
        <v>0</v>
      </c>
      <c r="N42" s="34"/>
    </row>
    <row r="43" spans="2:15" ht="15" hidden="1" customHeight="1" x14ac:dyDescent="0.2">
      <c r="B43" s="72">
        <f>MAX($B$8:B42)+1</f>
        <v>34</v>
      </c>
      <c r="C43" s="71" t="s">
        <v>75</v>
      </c>
      <c r="D43" s="29" t="s">
        <v>115</v>
      </c>
      <c r="E43" s="29" t="s">
        <v>393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5">
        <f t="shared" si="1"/>
        <v>0</v>
      </c>
      <c r="N43" s="34"/>
    </row>
    <row r="44" spans="2:15" ht="15" customHeight="1" x14ac:dyDescent="0.2">
      <c r="B44" s="72">
        <f>MAX($B$8:B43)+1</f>
        <v>35</v>
      </c>
      <c r="C44" s="71" t="s">
        <v>76</v>
      </c>
      <c r="D44" s="29" t="s">
        <v>116</v>
      </c>
      <c r="E44" s="29" t="s">
        <v>390</v>
      </c>
      <c r="F44" s="34">
        <v>0</v>
      </c>
      <c r="G44" s="34">
        <v>0</v>
      </c>
      <c r="H44" s="34">
        <v>0</v>
      </c>
      <c r="I44" s="34">
        <v>25.13</v>
      </c>
      <c r="J44" s="34">
        <v>0</v>
      </c>
      <c r="K44" s="34">
        <v>0</v>
      </c>
      <c r="L44" s="34">
        <v>290</v>
      </c>
      <c r="M44" s="35">
        <f t="shared" si="1"/>
        <v>315.13</v>
      </c>
      <c r="N44" s="34"/>
    </row>
    <row r="45" spans="2:15" ht="15" hidden="1" customHeight="1" x14ac:dyDescent="0.2">
      <c r="B45" s="72">
        <f>MAX($B$8:B44)+1</f>
        <v>36</v>
      </c>
      <c r="C45" s="71" t="s">
        <v>77</v>
      </c>
      <c r="D45" s="29" t="s">
        <v>117</v>
      </c>
      <c r="E45" s="29" t="s">
        <v>391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5">
        <f t="shared" si="1"/>
        <v>0</v>
      </c>
      <c r="N45" s="34"/>
    </row>
    <row r="46" spans="2:15" ht="15" hidden="1" customHeight="1" x14ac:dyDescent="0.2">
      <c r="B46" s="72">
        <f>MAX($B$8:B45)+1</f>
        <v>37</v>
      </c>
      <c r="C46" s="71" t="s">
        <v>78</v>
      </c>
      <c r="D46" s="29" t="s">
        <v>118</v>
      </c>
      <c r="E46" s="29" t="s">
        <v>396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5">
        <f t="shared" si="1"/>
        <v>0</v>
      </c>
      <c r="N46" s="34"/>
    </row>
    <row r="47" spans="2:15" ht="15" customHeight="1" x14ac:dyDescent="0.2">
      <c r="B47" s="72">
        <f>MAX($B$8:B46)+1</f>
        <v>38</v>
      </c>
      <c r="C47" s="71" t="s">
        <v>79</v>
      </c>
      <c r="D47" s="29" t="s">
        <v>119</v>
      </c>
      <c r="E47" s="29" t="s">
        <v>390</v>
      </c>
      <c r="F47" s="34">
        <v>28.09</v>
      </c>
      <c r="G47" s="34">
        <v>71.05</v>
      </c>
      <c r="H47" s="34">
        <v>173.2</v>
      </c>
      <c r="I47" s="34">
        <v>-10675.960000000001</v>
      </c>
      <c r="J47" s="34">
        <v>10700.68</v>
      </c>
      <c r="K47" s="34">
        <v>1005.27</v>
      </c>
      <c r="L47" s="34">
        <v>70.6400000000001</v>
      </c>
      <c r="M47" s="35">
        <f t="shared" si="1"/>
        <v>1372.9699999999996</v>
      </c>
      <c r="N47" s="34"/>
    </row>
    <row r="48" spans="2:15" ht="15" hidden="1" customHeight="1" x14ac:dyDescent="0.2">
      <c r="B48" s="72">
        <f>MAX($B$8:B47)+1</f>
        <v>39</v>
      </c>
      <c r="C48" s="71" t="s">
        <v>80</v>
      </c>
      <c r="D48" s="29" t="s">
        <v>120</v>
      </c>
      <c r="E48" s="29" t="s">
        <v>394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5">
        <f t="shared" si="1"/>
        <v>0</v>
      </c>
      <c r="N48" s="34"/>
    </row>
    <row r="49" spans="2:15" ht="15" customHeight="1" x14ac:dyDescent="0.2">
      <c r="B49" s="72">
        <f>MAX($B$8:B48)+1</f>
        <v>40</v>
      </c>
      <c r="C49" s="71" t="s">
        <v>81</v>
      </c>
      <c r="D49" s="29" t="s">
        <v>121</v>
      </c>
      <c r="E49" s="29" t="s">
        <v>363</v>
      </c>
      <c r="F49" s="34">
        <v>16329.56</v>
      </c>
      <c r="G49" s="34">
        <v>41173.800000000003</v>
      </c>
      <c r="H49" s="34">
        <v>-119684.5</v>
      </c>
      <c r="I49" s="34">
        <v>54743.11</v>
      </c>
      <c r="J49" s="34">
        <v>43042.76</v>
      </c>
      <c r="K49" s="34">
        <v>34747.15</v>
      </c>
      <c r="L49" s="34">
        <v>373181.9</v>
      </c>
      <c r="M49" s="35">
        <f t="shared" si="1"/>
        <v>443533.78</v>
      </c>
      <c r="N49" s="34">
        <f>55000*7-M49</f>
        <v>-58533.780000000028</v>
      </c>
      <c r="O49" s="74" t="s">
        <v>1088</v>
      </c>
    </row>
    <row r="50" spans="2:15" ht="15" customHeight="1" x14ac:dyDescent="0.2">
      <c r="B50" s="72">
        <f>MAX($B$8:B49)+1</f>
        <v>41</v>
      </c>
      <c r="C50" s="71" t="s">
        <v>124</v>
      </c>
      <c r="D50" s="29" t="s">
        <v>122</v>
      </c>
      <c r="E50" s="29" t="s">
        <v>363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219972.35</v>
      </c>
      <c r="M50" s="35">
        <f t="shared" si="1"/>
        <v>219972.35</v>
      </c>
      <c r="N50" s="34"/>
    </row>
    <row r="51" spans="2:15" ht="15" customHeight="1" x14ac:dyDescent="0.2">
      <c r="B51" s="72">
        <f>MAX($B$8:B50)+1</f>
        <v>42</v>
      </c>
      <c r="C51" s="71" t="s">
        <v>125</v>
      </c>
      <c r="D51" s="29" t="s">
        <v>123</v>
      </c>
      <c r="E51" s="29">
        <v>0</v>
      </c>
      <c r="F51" s="34">
        <v>41864.39</v>
      </c>
      <c r="G51" s="34">
        <v>30629.899999999994</v>
      </c>
      <c r="H51" s="34">
        <v>533044.38</v>
      </c>
      <c r="I51" s="34">
        <v>96480.229999999981</v>
      </c>
      <c r="J51" s="34">
        <v>64234.939999999944</v>
      </c>
      <c r="K51" s="34">
        <v>65056.660000000033</v>
      </c>
      <c r="L51" s="34">
        <v>-831310.5</v>
      </c>
      <c r="M51" s="35">
        <f t="shared" si="1"/>
        <v>0</v>
      </c>
      <c r="N51" s="34"/>
    </row>
    <row r="52" spans="2:15" ht="15" customHeight="1" x14ac:dyDescent="0.2">
      <c r="B52" s="72">
        <f>MAX($B$8:B51)+1</f>
        <v>43</v>
      </c>
      <c r="C52" s="71" t="s">
        <v>126</v>
      </c>
      <c r="D52" s="29" t="s">
        <v>179</v>
      </c>
      <c r="E52" s="29" t="s">
        <v>391</v>
      </c>
      <c r="F52" s="34">
        <v>25602.959999999999</v>
      </c>
      <c r="G52" s="34">
        <v>28299.43</v>
      </c>
      <c r="H52" s="34">
        <v>21765.08</v>
      </c>
      <c r="I52" s="34">
        <v>13224.709999999992</v>
      </c>
      <c r="J52" s="34">
        <v>14914.920000000013</v>
      </c>
      <c r="K52" s="34">
        <v>12623.539999999994</v>
      </c>
      <c r="L52" s="34">
        <v>11199.809999999998</v>
      </c>
      <c r="M52" s="35">
        <f t="shared" si="1"/>
        <v>127630.45</v>
      </c>
      <c r="N52" s="34"/>
    </row>
    <row r="53" spans="2:15" ht="15" hidden="1" customHeight="1" x14ac:dyDescent="0.2">
      <c r="B53" s="72">
        <f>MAX($B$8:B52)+1</f>
        <v>44</v>
      </c>
      <c r="C53" s="71" t="s">
        <v>127</v>
      </c>
      <c r="D53" s="29" t="s">
        <v>180</v>
      </c>
      <c r="E53" s="29" t="s">
        <v>394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5">
        <f t="shared" si="1"/>
        <v>0</v>
      </c>
      <c r="N53" s="34"/>
    </row>
    <row r="54" spans="2:15" ht="15" hidden="1" customHeight="1" x14ac:dyDescent="0.2">
      <c r="B54" s="72">
        <f>MAX($B$8:B53)+1</f>
        <v>45</v>
      </c>
      <c r="C54" s="71" t="s">
        <v>128</v>
      </c>
      <c r="D54" s="29" t="s">
        <v>181</v>
      </c>
      <c r="E54" s="29" t="s">
        <v>400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5">
        <f t="shared" si="1"/>
        <v>0</v>
      </c>
      <c r="N54" s="34"/>
    </row>
    <row r="55" spans="2:15" ht="15" customHeight="1" x14ac:dyDescent="0.2">
      <c r="B55" s="72">
        <f>MAX($B$8:B54)+1</f>
        <v>46</v>
      </c>
      <c r="C55" s="71" t="s">
        <v>129</v>
      </c>
      <c r="D55" s="29" t="s">
        <v>182</v>
      </c>
      <c r="E55" s="29" t="s">
        <v>401</v>
      </c>
      <c r="F55" s="34">
        <v>479.53</v>
      </c>
      <c r="G55" s="34">
        <v>7367.18</v>
      </c>
      <c r="H55" s="34">
        <v>-6113.18</v>
      </c>
      <c r="I55" s="34">
        <v>240.45000000000005</v>
      </c>
      <c r="J55" s="34">
        <v>517.34999999999991</v>
      </c>
      <c r="K55" s="34">
        <v>517.34999999999991</v>
      </c>
      <c r="L55" s="34">
        <v>517.35000000000036</v>
      </c>
      <c r="M55" s="35">
        <f t="shared" si="1"/>
        <v>3526.03</v>
      </c>
      <c r="N55" s="34">
        <f>2103.36*7-M55</f>
        <v>11197.49</v>
      </c>
      <c r="O55" s="74" t="s">
        <v>1089</v>
      </c>
    </row>
    <row r="56" spans="2:15" ht="15" customHeight="1" x14ac:dyDescent="0.2">
      <c r="B56" s="72">
        <f>MAX($B$8:B55)+1</f>
        <v>47</v>
      </c>
      <c r="C56" s="71" t="s">
        <v>130</v>
      </c>
      <c r="D56" s="29" t="s">
        <v>183</v>
      </c>
      <c r="E56" s="29">
        <v>0</v>
      </c>
      <c r="F56" s="34">
        <v>-314.83999999999997</v>
      </c>
      <c r="G56" s="34">
        <v>327.26</v>
      </c>
      <c r="H56" s="34">
        <v>402.03</v>
      </c>
      <c r="I56" s="34">
        <v>242.81</v>
      </c>
      <c r="J56" s="34">
        <v>285.36</v>
      </c>
      <c r="K56" s="34">
        <v>233.0100000000001</v>
      </c>
      <c r="L56" s="34">
        <v>-1175.6300000000001</v>
      </c>
      <c r="M56" s="35">
        <f t="shared" si="1"/>
        <v>0</v>
      </c>
      <c r="N56" s="34"/>
      <c r="O56" s="74" t="s">
        <v>1090</v>
      </c>
    </row>
    <row r="57" spans="2:15" ht="15" hidden="1" customHeight="1" x14ac:dyDescent="0.2">
      <c r="B57" s="72">
        <f>MAX($B$8:B56)+1</f>
        <v>48</v>
      </c>
      <c r="C57" s="71" t="s">
        <v>131</v>
      </c>
      <c r="D57" s="29" t="s">
        <v>184</v>
      </c>
      <c r="E57" s="29" t="s">
        <v>391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5">
        <f t="shared" si="1"/>
        <v>0</v>
      </c>
      <c r="N57" s="34"/>
    </row>
    <row r="58" spans="2:15" ht="15" hidden="1" customHeight="1" x14ac:dyDescent="0.2">
      <c r="B58" s="72">
        <f>MAX($B$8:B57)+1</f>
        <v>49</v>
      </c>
      <c r="C58" s="71" t="s">
        <v>132</v>
      </c>
      <c r="D58" s="29" t="s">
        <v>185</v>
      </c>
      <c r="E58" s="29" t="s">
        <v>363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5">
        <f t="shared" si="1"/>
        <v>0</v>
      </c>
      <c r="N58" s="34"/>
    </row>
    <row r="59" spans="2:15" ht="15" customHeight="1" x14ac:dyDescent="0.2">
      <c r="B59" s="72">
        <f>MAX($B$8:B58)+1</f>
        <v>50</v>
      </c>
      <c r="C59" s="71" t="s">
        <v>133</v>
      </c>
      <c r="D59" s="29" t="s">
        <v>186</v>
      </c>
      <c r="E59" s="29" t="s">
        <v>391</v>
      </c>
      <c r="F59" s="34">
        <v>0</v>
      </c>
      <c r="G59" s="34">
        <v>396.93</v>
      </c>
      <c r="H59" s="34">
        <v>0</v>
      </c>
      <c r="I59" s="34">
        <v>0</v>
      </c>
      <c r="J59" s="34">
        <v>0</v>
      </c>
      <c r="K59" s="34">
        <v>0</v>
      </c>
      <c r="L59" s="34">
        <v>-91.949999999999989</v>
      </c>
      <c r="M59" s="35">
        <f t="shared" si="1"/>
        <v>304.98</v>
      </c>
      <c r="N59" s="34"/>
    </row>
    <row r="60" spans="2:15" ht="15" hidden="1" customHeight="1" x14ac:dyDescent="0.2">
      <c r="B60" s="72">
        <f>MAX($B$8:B59)+1</f>
        <v>51</v>
      </c>
      <c r="C60" s="71" t="s">
        <v>134</v>
      </c>
      <c r="D60" s="29" t="s">
        <v>187</v>
      </c>
      <c r="E60" s="29" t="s">
        <v>394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5">
        <f t="shared" si="1"/>
        <v>0</v>
      </c>
      <c r="N60" s="34"/>
    </row>
    <row r="61" spans="2:15" ht="15" customHeight="1" x14ac:dyDescent="0.2">
      <c r="B61" s="72">
        <f>MAX($B$8:B60)+1</f>
        <v>52</v>
      </c>
      <c r="C61" s="71" t="s">
        <v>135</v>
      </c>
      <c r="D61" s="29" t="s">
        <v>188</v>
      </c>
      <c r="E61" s="29" t="s">
        <v>394</v>
      </c>
      <c r="F61" s="34">
        <v>0</v>
      </c>
      <c r="G61" s="34">
        <v>0</v>
      </c>
      <c r="H61" s="34">
        <v>215.8</v>
      </c>
      <c r="I61" s="34">
        <v>2168.2599999999998</v>
      </c>
      <c r="J61" s="34">
        <v>0</v>
      </c>
      <c r="K61" s="34">
        <v>0</v>
      </c>
      <c r="L61" s="34">
        <v>0</v>
      </c>
      <c r="M61" s="35">
        <f t="shared" si="1"/>
        <v>2384.06</v>
      </c>
      <c r="N61" s="34">
        <f>6750*7/12-M61</f>
        <v>1553.44</v>
      </c>
      <c r="O61" s="74" t="s">
        <v>1091</v>
      </c>
    </row>
    <row r="62" spans="2:15" ht="15" customHeight="1" x14ac:dyDescent="0.2">
      <c r="B62" s="72">
        <f>MAX($B$8:B61)+1</f>
        <v>53</v>
      </c>
      <c r="C62" s="71" t="s">
        <v>136</v>
      </c>
      <c r="D62" s="29" t="s">
        <v>189</v>
      </c>
      <c r="E62" s="29" t="s">
        <v>394</v>
      </c>
      <c r="F62" s="34">
        <v>0</v>
      </c>
      <c r="G62" s="34">
        <v>8290.01</v>
      </c>
      <c r="H62" s="34">
        <v>3478.2899999999991</v>
      </c>
      <c r="I62" s="34">
        <v>118.93000000000029</v>
      </c>
      <c r="J62" s="34">
        <v>2608.0400000000009</v>
      </c>
      <c r="K62" s="34">
        <v>0</v>
      </c>
      <c r="L62" s="34">
        <v>269.48999999999978</v>
      </c>
      <c r="M62" s="35">
        <f t="shared" si="1"/>
        <v>14764.76</v>
      </c>
      <c r="N62" s="34"/>
    </row>
    <row r="63" spans="2:15" ht="15" customHeight="1" x14ac:dyDescent="0.2">
      <c r="B63" s="72">
        <f>MAX($B$8:B62)+1</f>
        <v>54</v>
      </c>
      <c r="C63" s="71" t="s">
        <v>137</v>
      </c>
      <c r="D63" s="29" t="s">
        <v>190</v>
      </c>
      <c r="E63" s="29" t="s">
        <v>399</v>
      </c>
      <c r="F63" s="34">
        <v>0</v>
      </c>
      <c r="G63" s="34">
        <v>337.1</v>
      </c>
      <c r="H63" s="34">
        <v>330.53</v>
      </c>
      <c r="I63" s="34">
        <v>888.07</v>
      </c>
      <c r="J63" s="34">
        <v>198.51999999999998</v>
      </c>
      <c r="K63" s="34">
        <v>0</v>
      </c>
      <c r="L63" s="34">
        <v>-3045.86</v>
      </c>
      <c r="M63" s="35">
        <f t="shared" si="1"/>
        <v>-1291.6400000000001</v>
      </c>
      <c r="N63" s="34"/>
    </row>
    <row r="64" spans="2:15" ht="15" customHeight="1" x14ac:dyDescent="0.2">
      <c r="B64" s="72">
        <f>MAX($B$8:B63)+1</f>
        <v>55</v>
      </c>
      <c r="C64" s="71" t="s">
        <v>138</v>
      </c>
      <c r="D64" s="29" t="s">
        <v>191</v>
      </c>
      <c r="E64" s="29" t="s">
        <v>391</v>
      </c>
      <c r="F64" s="34">
        <v>-521.69000000000005</v>
      </c>
      <c r="G64" s="34">
        <v>1748.88</v>
      </c>
      <c r="H64" s="34">
        <v>-2936.36</v>
      </c>
      <c r="I64" s="34">
        <v>560.30000000000018</v>
      </c>
      <c r="J64" s="34">
        <v>-249.95000000000005</v>
      </c>
      <c r="K64" s="34">
        <v>535.37999999999988</v>
      </c>
      <c r="L64" s="34">
        <v>863.44</v>
      </c>
      <c r="M64" s="35">
        <f t="shared" si="1"/>
        <v>0</v>
      </c>
      <c r="N64" s="34"/>
      <c r="O64" s="74" t="s">
        <v>1090</v>
      </c>
    </row>
    <row r="65" spans="2:14" ht="15" customHeight="1" x14ac:dyDescent="0.2">
      <c r="B65" s="72">
        <f>MAX($B$8:B64)+1</f>
        <v>56</v>
      </c>
      <c r="C65" s="71" t="s">
        <v>139</v>
      </c>
      <c r="D65" s="29" t="s">
        <v>192</v>
      </c>
      <c r="E65" s="29" t="s">
        <v>402</v>
      </c>
      <c r="F65" s="34">
        <v>0</v>
      </c>
      <c r="G65" s="34">
        <v>0</v>
      </c>
      <c r="H65" s="34">
        <v>0</v>
      </c>
      <c r="I65" s="34">
        <v>999</v>
      </c>
      <c r="J65" s="34">
        <v>0</v>
      </c>
      <c r="K65" s="34">
        <v>1400</v>
      </c>
      <c r="L65" s="34">
        <v>1400</v>
      </c>
      <c r="M65" s="35">
        <f t="shared" si="1"/>
        <v>3799</v>
      </c>
      <c r="N65" s="34"/>
    </row>
    <row r="66" spans="2:14" ht="15" hidden="1" customHeight="1" x14ac:dyDescent="0.2">
      <c r="B66" s="72">
        <f>MAX($B$8:B65)+1</f>
        <v>57</v>
      </c>
      <c r="C66" s="71" t="s">
        <v>140</v>
      </c>
      <c r="D66" s="29" t="s">
        <v>193</v>
      </c>
      <c r="E66" s="29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5">
        <f t="shared" si="1"/>
        <v>0</v>
      </c>
      <c r="N66" s="34"/>
    </row>
    <row r="67" spans="2:14" ht="15" customHeight="1" x14ac:dyDescent="0.2">
      <c r="B67" s="72">
        <f>MAX($B$8:B66)+1</f>
        <v>58</v>
      </c>
      <c r="C67" s="71" t="s">
        <v>141</v>
      </c>
      <c r="D67" s="29" t="s">
        <v>194</v>
      </c>
      <c r="E67" s="29" t="s">
        <v>391</v>
      </c>
      <c r="F67" s="34">
        <v>21431.41</v>
      </c>
      <c r="G67" s="34">
        <v>37222.199999999997</v>
      </c>
      <c r="H67" s="34">
        <v>27631.199999999997</v>
      </c>
      <c r="I67" s="34">
        <v>34043.14</v>
      </c>
      <c r="J67" s="34">
        <v>30763.690000000017</v>
      </c>
      <c r="K67" s="34">
        <v>32731.439999999973</v>
      </c>
      <c r="L67" s="34">
        <v>27410.770000000019</v>
      </c>
      <c r="M67" s="35">
        <f t="shared" si="1"/>
        <v>211233.85</v>
      </c>
      <c r="N67" s="34"/>
    </row>
    <row r="68" spans="2:14" ht="15" customHeight="1" x14ac:dyDescent="0.2">
      <c r="B68" s="72">
        <f>MAX($B$8:B67)+1</f>
        <v>59</v>
      </c>
      <c r="C68" s="71" t="s">
        <v>142</v>
      </c>
      <c r="D68" s="29" t="s">
        <v>195</v>
      </c>
      <c r="E68" s="29" t="s">
        <v>403</v>
      </c>
      <c r="F68" s="34">
        <v>12321.07</v>
      </c>
      <c r="G68" s="34">
        <v>28606.800000000003</v>
      </c>
      <c r="H68" s="34">
        <v>17100.719999999994</v>
      </c>
      <c r="I68" s="34">
        <v>13361.419999999998</v>
      </c>
      <c r="J68" s="34">
        <v>7573.7799999999988</v>
      </c>
      <c r="K68" s="34">
        <v>11007.740000000005</v>
      </c>
      <c r="L68" s="34">
        <v>7493.1000000000058</v>
      </c>
      <c r="M68" s="35">
        <f t="shared" si="1"/>
        <v>97464.63</v>
      </c>
      <c r="N68" s="34"/>
    </row>
    <row r="69" spans="2:14" ht="15" hidden="1" customHeight="1" x14ac:dyDescent="0.2">
      <c r="B69" s="72">
        <f>MAX($B$8:B68)+1</f>
        <v>60</v>
      </c>
      <c r="C69" s="71" t="s">
        <v>143</v>
      </c>
      <c r="D69" s="29" t="s">
        <v>196</v>
      </c>
      <c r="E69" s="29" t="s">
        <v>403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5">
        <f t="shared" si="1"/>
        <v>0</v>
      </c>
      <c r="N69" s="34"/>
    </row>
    <row r="70" spans="2:14" ht="15" customHeight="1" x14ac:dyDescent="0.2">
      <c r="B70" s="72">
        <f>MAX($B$8:B69)+1</f>
        <v>61</v>
      </c>
      <c r="C70" s="71" t="s">
        <v>144</v>
      </c>
      <c r="D70" s="29" t="s">
        <v>197</v>
      </c>
      <c r="E70" s="29" t="s">
        <v>403</v>
      </c>
      <c r="F70" s="34">
        <v>0</v>
      </c>
      <c r="G70" s="34">
        <v>2.99</v>
      </c>
      <c r="H70" s="34">
        <v>0</v>
      </c>
      <c r="I70" s="34">
        <v>2.99</v>
      </c>
      <c r="J70" s="34">
        <v>0</v>
      </c>
      <c r="K70" s="34">
        <v>2.5</v>
      </c>
      <c r="L70" s="34">
        <v>8.9699999999999989</v>
      </c>
      <c r="M70" s="35">
        <f t="shared" si="1"/>
        <v>17.45</v>
      </c>
      <c r="N70" s="34"/>
    </row>
    <row r="71" spans="2:14" ht="15" customHeight="1" x14ac:dyDescent="0.2">
      <c r="B71" s="72">
        <f>MAX($B$8:B70)+1</f>
        <v>62</v>
      </c>
      <c r="C71" s="71" t="s">
        <v>145</v>
      </c>
      <c r="D71" s="29" t="s">
        <v>198</v>
      </c>
      <c r="E71" s="29" t="s">
        <v>399</v>
      </c>
      <c r="F71" s="34">
        <v>3047</v>
      </c>
      <c r="G71" s="34">
        <v>5389</v>
      </c>
      <c r="H71" s="34">
        <v>6168</v>
      </c>
      <c r="I71" s="34">
        <v>3246</v>
      </c>
      <c r="J71" s="34">
        <v>3577.0400000000009</v>
      </c>
      <c r="K71" s="34">
        <v>3158.5</v>
      </c>
      <c r="L71" s="34">
        <v>2850.4300000000003</v>
      </c>
      <c r="M71" s="35">
        <f t="shared" si="1"/>
        <v>27435.97</v>
      </c>
      <c r="N71" s="34"/>
    </row>
    <row r="72" spans="2:14" ht="15" customHeight="1" x14ac:dyDescent="0.2">
      <c r="B72" s="72">
        <f>MAX($B$8:B71)+1</f>
        <v>63</v>
      </c>
      <c r="C72" s="71" t="s">
        <v>146</v>
      </c>
      <c r="D72" s="29" t="s">
        <v>199</v>
      </c>
      <c r="E72" s="29" t="s">
        <v>363</v>
      </c>
      <c r="F72" s="34">
        <v>0</v>
      </c>
      <c r="G72" s="34">
        <v>93</v>
      </c>
      <c r="H72" s="34">
        <v>89.72999999999999</v>
      </c>
      <c r="I72" s="34">
        <v>731.92</v>
      </c>
      <c r="J72" s="34">
        <v>219.54000000000008</v>
      </c>
      <c r="K72" s="34">
        <v>133.23000000000002</v>
      </c>
      <c r="L72" s="34">
        <v>0</v>
      </c>
      <c r="M72" s="35">
        <f t="shared" si="1"/>
        <v>1267.42</v>
      </c>
      <c r="N72" s="34"/>
    </row>
    <row r="73" spans="2:14" ht="15" hidden="1" customHeight="1" x14ac:dyDescent="0.2">
      <c r="B73" s="72">
        <f>MAX($B$8:B72)+1</f>
        <v>64</v>
      </c>
      <c r="C73" s="71" t="s">
        <v>147</v>
      </c>
      <c r="D73" s="29" t="s">
        <v>200</v>
      </c>
      <c r="E73" s="29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5">
        <f t="shared" si="1"/>
        <v>0</v>
      </c>
      <c r="N73" s="34"/>
    </row>
    <row r="74" spans="2:14" ht="15" hidden="1" customHeight="1" x14ac:dyDescent="0.2">
      <c r="B74" s="72">
        <f>MAX($B$8:B73)+1</f>
        <v>65</v>
      </c>
      <c r="C74" s="71" t="s">
        <v>148</v>
      </c>
      <c r="D74" s="29" t="s">
        <v>201</v>
      </c>
      <c r="E74" s="29" t="s">
        <v>403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5">
        <f t="shared" ref="M74:M105" si="2">SUM(F74:L74)</f>
        <v>0</v>
      </c>
      <c r="N74" s="34"/>
    </row>
    <row r="75" spans="2:14" ht="15" customHeight="1" x14ac:dyDescent="0.2">
      <c r="B75" s="72">
        <f>MAX($B$8:B74)+1</f>
        <v>66</v>
      </c>
      <c r="C75" s="71" t="s">
        <v>149</v>
      </c>
      <c r="D75" s="29" t="s">
        <v>202</v>
      </c>
      <c r="E75" s="29" t="s">
        <v>389</v>
      </c>
      <c r="F75" s="34">
        <v>15652.09</v>
      </c>
      <c r="G75" s="34">
        <v>16237.009999999998</v>
      </c>
      <c r="H75" s="34">
        <v>17234.400000000001</v>
      </c>
      <c r="I75" s="34">
        <v>12564.339999999997</v>
      </c>
      <c r="J75" s="34">
        <v>7043.2300000000105</v>
      </c>
      <c r="K75" s="34">
        <v>5025.1999999999971</v>
      </c>
      <c r="L75" s="34">
        <v>30363.599999999991</v>
      </c>
      <c r="M75" s="35">
        <f t="shared" si="2"/>
        <v>104119.87</v>
      </c>
      <c r="N75" s="34"/>
    </row>
    <row r="76" spans="2:14" ht="15" hidden="1" customHeight="1" x14ac:dyDescent="0.2">
      <c r="B76" s="72">
        <f>MAX($B$8:B75)+1</f>
        <v>67</v>
      </c>
      <c r="C76" s="71" t="s">
        <v>150</v>
      </c>
      <c r="D76" s="29" t="s">
        <v>203</v>
      </c>
      <c r="E76" s="29" t="s">
        <v>403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5">
        <f t="shared" si="2"/>
        <v>0</v>
      </c>
      <c r="N76" s="34"/>
    </row>
    <row r="77" spans="2:14" ht="15" hidden="1" customHeight="1" x14ac:dyDescent="0.2">
      <c r="B77" s="72">
        <f>MAX($B$8:B76)+1</f>
        <v>68</v>
      </c>
      <c r="C77" s="71" t="s">
        <v>151</v>
      </c>
      <c r="D77" s="29" t="s">
        <v>190</v>
      </c>
      <c r="E77" s="29" t="s">
        <v>363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5">
        <f t="shared" si="2"/>
        <v>0</v>
      </c>
      <c r="N77" s="34"/>
    </row>
    <row r="78" spans="2:14" ht="15" hidden="1" customHeight="1" x14ac:dyDescent="0.2">
      <c r="B78" s="72">
        <f>MAX($B$8:B77)+1</f>
        <v>69</v>
      </c>
      <c r="C78" s="71" t="s">
        <v>152</v>
      </c>
      <c r="D78" s="29" t="s">
        <v>193</v>
      </c>
      <c r="E78" s="29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5">
        <f t="shared" si="2"/>
        <v>0</v>
      </c>
      <c r="N78" s="34"/>
    </row>
    <row r="79" spans="2:14" ht="15" customHeight="1" x14ac:dyDescent="0.2">
      <c r="B79" s="72">
        <f>MAX($B$8:B78)+1</f>
        <v>70</v>
      </c>
      <c r="C79" s="71" t="s">
        <v>153</v>
      </c>
      <c r="D79" s="29" t="s">
        <v>204</v>
      </c>
      <c r="E79" s="29" t="s">
        <v>391</v>
      </c>
      <c r="F79" s="34">
        <v>18962.45</v>
      </c>
      <c r="G79" s="34">
        <v>30961.38</v>
      </c>
      <c r="H79" s="34">
        <v>5898.4799999999959</v>
      </c>
      <c r="I79" s="34">
        <v>16635.229999999996</v>
      </c>
      <c r="J79" s="34">
        <v>14978.820000000007</v>
      </c>
      <c r="K79" s="34">
        <v>13654.86</v>
      </c>
      <c r="L79" s="34">
        <v>16924.440000000002</v>
      </c>
      <c r="M79" s="35">
        <f t="shared" si="2"/>
        <v>118015.66</v>
      </c>
      <c r="N79" s="34"/>
    </row>
    <row r="80" spans="2:14" ht="15" hidden="1" customHeight="1" x14ac:dyDescent="0.2">
      <c r="B80" s="72">
        <f>MAX($B$8:B79)+1</f>
        <v>71</v>
      </c>
      <c r="C80" s="71" t="s">
        <v>154</v>
      </c>
      <c r="D80" s="29" t="s">
        <v>205</v>
      </c>
      <c r="E80" s="29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5">
        <f t="shared" si="2"/>
        <v>0</v>
      </c>
      <c r="N80" s="34"/>
    </row>
    <row r="81" spans="2:15" ht="15" customHeight="1" x14ac:dyDescent="0.2">
      <c r="B81" s="72">
        <f>MAX($B$8:B80)+1</f>
        <v>72</v>
      </c>
      <c r="C81" s="71" t="s">
        <v>155</v>
      </c>
      <c r="D81" s="29" t="s">
        <v>206</v>
      </c>
      <c r="E81" s="29" t="s">
        <v>394</v>
      </c>
      <c r="F81" s="34">
        <v>0</v>
      </c>
      <c r="G81" s="34">
        <v>837.21</v>
      </c>
      <c r="H81" s="34">
        <v>739.3</v>
      </c>
      <c r="I81" s="34">
        <v>2407.8599999999997</v>
      </c>
      <c r="J81" s="34">
        <v>357.32999999999993</v>
      </c>
      <c r="K81" s="34">
        <v>347.01000000000022</v>
      </c>
      <c r="L81" s="34">
        <v>-2345.66</v>
      </c>
      <c r="M81" s="35">
        <f t="shared" si="2"/>
        <v>2343.0500000000002</v>
      </c>
      <c r="N81" s="34"/>
    </row>
    <row r="82" spans="2:15" ht="15" customHeight="1" x14ac:dyDescent="0.2">
      <c r="B82" s="72">
        <f>MAX($B$8:B81)+1</f>
        <v>73</v>
      </c>
      <c r="C82" s="71" t="s">
        <v>156</v>
      </c>
      <c r="D82" s="29" t="s">
        <v>206</v>
      </c>
      <c r="E82" s="29" t="s">
        <v>404</v>
      </c>
      <c r="F82" s="34">
        <v>9759.3799999999992</v>
      </c>
      <c r="G82" s="34">
        <v>6331.6900000000005</v>
      </c>
      <c r="H82" s="34">
        <v>7998.3899999999994</v>
      </c>
      <c r="I82" s="34">
        <v>14163.620000000003</v>
      </c>
      <c r="J82" s="34">
        <v>10465.129999999997</v>
      </c>
      <c r="K82" s="34">
        <v>10512.86</v>
      </c>
      <c r="L82" s="34">
        <v>14031.96</v>
      </c>
      <c r="M82" s="35">
        <f t="shared" si="2"/>
        <v>73263.03</v>
      </c>
      <c r="N82" s="34"/>
    </row>
    <row r="83" spans="2:15" ht="15" customHeight="1" x14ac:dyDescent="0.2">
      <c r="B83" s="72">
        <f>MAX($B$8:B82)+1</f>
        <v>74</v>
      </c>
      <c r="C83" s="71" t="s">
        <v>157</v>
      </c>
      <c r="D83" s="29" t="s">
        <v>207</v>
      </c>
      <c r="E83" s="29" t="s">
        <v>391</v>
      </c>
      <c r="F83" s="34">
        <v>5890.4</v>
      </c>
      <c r="G83" s="34">
        <v>8604.35</v>
      </c>
      <c r="H83" s="34">
        <v>4440</v>
      </c>
      <c r="I83" s="34">
        <v>5831.2000000000007</v>
      </c>
      <c r="J83" s="34">
        <v>6452.7999999999993</v>
      </c>
      <c r="K83" s="34">
        <v>4647.1999999999971</v>
      </c>
      <c r="L83" s="34">
        <v>6042.1000000000058</v>
      </c>
      <c r="M83" s="35">
        <f t="shared" si="2"/>
        <v>41908.050000000003</v>
      </c>
      <c r="N83" s="34"/>
    </row>
    <row r="84" spans="2:15" ht="15" customHeight="1" x14ac:dyDescent="0.2">
      <c r="B84" s="72">
        <f>MAX($B$8:B83)+1</f>
        <v>75</v>
      </c>
      <c r="C84" s="71" t="s">
        <v>158</v>
      </c>
      <c r="D84" s="29" t="s">
        <v>190</v>
      </c>
      <c r="E84" s="29" t="s">
        <v>394</v>
      </c>
      <c r="F84" s="34">
        <v>9846.31</v>
      </c>
      <c r="G84" s="34">
        <v>14334.710000000001</v>
      </c>
      <c r="H84" s="34">
        <v>-11506.04</v>
      </c>
      <c r="I84" s="34">
        <v>98108.45</v>
      </c>
      <c r="J84" s="34">
        <v>915.86000000000058</v>
      </c>
      <c r="K84" s="34">
        <v>19909.330000000002</v>
      </c>
      <c r="L84" s="34">
        <v>-63352.51999999999</v>
      </c>
      <c r="M84" s="35">
        <f t="shared" si="2"/>
        <v>68256.100000000006</v>
      </c>
      <c r="N84" s="34"/>
    </row>
    <row r="85" spans="2:15" ht="15" hidden="1" customHeight="1" x14ac:dyDescent="0.2">
      <c r="B85" s="72">
        <f>MAX($B$8:B84)+1</f>
        <v>76</v>
      </c>
      <c r="C85" s="71" t="s">
        <v>159</v>
      </c>
      <c r="D85" s="29" t="s">
        <v>208</v>
      </c>
      <c r="E85" s="29" t="s">
        <v>402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5">
        <f t="shared" si="2"/>
        <v>0</v>
      </c>
      <c r="N85" s="34"/>
    </row>
    <row r="86" spans="2:15" ht="15" hidden="1" customHeight="1" x14ac:dyDescent="0.2">
      <c r="B86" s="72">
        <f>MAX($B$8:B85)+1</f>
        <v>77</v>
      </c>
      <c r="C86" s="71" t="s">
        <v>160</v>
      </c>
      <c r="D86" s="29" t="s">
        <v>209</v>
      </c>
      <c r="E86" s="29" t="s">
        <v>404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5">
        <f t="shared" si="2"/>
        <v>0</v>
      </c>
      <c r="N86" s="34"/>
    </row>
    <row r="87" spans="2:15" ht="15" customHeight="1" x14ac:dyDescent="0.2">
      <c r="B87" s="72">
        <f>MAX($B$8:B86)+1</f>
        <v>78</v>
      </c>
      <c r="C87" s="71" t="s">
        <v>161</v>
      </c>
      <c r="D87" s="29" t="s">
        <v>210</v>
      </c>
      <c r="E87" s="29" t="s">
        <v>391</v>
      </c>
      <c r="F87" s="34">
        <v>23350.240000000002</v>
      </c>
      <c r="G87" s="34">
        <v>48229.439999999988</v>
      </c>
      <c r="H87" s="34">
        <v>37308.800000000003</v>
      </c>
      <c r="I87" s="34">
        <v>24669.090000000011</v>
      </c>
      <c r="J87" s="34">
        <v>31420.880000000005</v>
      </c>
      <c r="K87" s="34">
        <v>26653.179999999993</v>
      </c>
      <c r="L87" s="34">
        <v>28450.070000000007</v>
      </c>
      <c r="M87" s="35">
        <f t="shared" si="2"/>
        <v>220081.7</v>
      </c>
      <c r="N87" s="34"/>
    </row>
    <row r="88" spans="2:15" ht="15" hidden="1" customHeight="1" x14ac:dyDescent="0.2">
      <c r="B88" s="72">
        <f>MAX($B$8:B87)+1</f>
        <v>79</v>
      </c>
      <c r="C88" s="71" t="s">
        <v>162</v>
      </c>
      <c r="D88" s="29" t="s">
        <v>211</v>
      </c>
      <c r="E88" s="29" t="s">
        <v>363</v>
      </c>
      <c r="F88" s="34">
        <v>0</v>
      </c>
      <c r="G88" s="34">
        <v>0</v>
      </c>
      <c r="H88" s="34">
        <v>3555.62</v>
      </c>
      <c r="I88" s="34">
        <v>0</v>
      </c>
      <c r="J88" s="34">
        <v>0</v>
      </c>
      <c r="K88" s="34">
        <v>0</v>
      </c>
      <c r="L88" s="34">
        <v>0</v>
      </c>
      <c r="M88" s="35">
        <f t="shared" si="2"/>
        <v>3555.62</v>
      </c>
      <c r="N88" s="34"/>
    </row>
    <row r="89" spans="2:15" ht="15" hidden="1" customHeight="1" x14ac:dyDescent="0.2">
      <c r="B89" s="72">
        <f>MAX($B$8:B88)+1</f>
        <v>80</v>
      </c>
      <c r="C89" s="71" t="s">
        <v>163</v>
      </c>
      <c r="D89" s="29" t="s">
        <v>212</v>
      </c>
      <c r="E89" s="29" t="s">
        <v>390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5">
        <f t="shared" si="2"/>
        <v>0</v>
      </c>
      <c r="N89" s="34"/>
    </row>
    <row r="90" spans="2:15" ht="15" customHeight="1" x14ac:dyDescent="0.2">
      <c r="B90" s="72">
        <f>MAX($B$8:B89)+1</f>
        <v>81</v>
      </c>
      <c r="C90" s="71" t="s">
        <v>164</v>
      </c>
      <c r="D90" s="29" t="s">
        <v>213</v>
      </c>
      <c r="E90" s="29" t="s">
        <v>390</v>
      </c>
      <c r="F90" s="34">
        <v>10570</v>
      </c>
      <c r="G90" s="34">
        <v>60.659999999999854</v>
      </c>
      <c r="H90" s="34">
        <v>275.28000000000065</v>
      </c>
      <c r="I90" s="34">
        <v>187.68000000000029</v>
      </c>
      <c r="J90" s="34">
        <v>939.55999999999949</v>
      </c>
      <c r="K90" s="34">
        <v>64.479999999999563</v>
      </c>
      <c r="L90" s="34">
        <v>7000</v>
      </c>
      <c r="M90" s="35">
        <f t="shared" si="2"/>
        <v>19097.66</v>
      </c>
      <c r="N90" s="34">
        <f>L90*7-M90</f>
        <v>29902.34</v>
      </c>
      <c r="O90" s="74" t="s">
        <v>1092</v>
      </c>
    </row>
    <row r="91" spans="2:15" ht="15" customHeight="1" x14ac:dyDescent="0.2">
      <c r="B91" s="72">
        <f>MAX($B$8:B90)+1</f>
        <v>82</v>
      </c>
      <c r="C91" s="71" t="s">
        <v>165</v>
      </c>
      <c r="D91" s="29" t="s">
        <v>214</v>
      </c>
      <c r="E91" s="29" t="s">
        <v>394</v>
      </c>
      <c r="F91" s="34">
        <v>4245</v>
      </c>
      <c r="G91" s="34">
        <v>-3348.23</v>
      </c>
      <c r="H91" s="34">
        <v>-896.77</v>
      </c>
      <c r="I91" s="34">
        <v>146.75</v>
      </c>
      <c r="J91" s="34">
        <v>10598.07</v>
      </c>
      <c r="K91" s="34">
        <v>396.70000000000073</v>
      </c>
      <c r="L91" s="34">
        <v>33.449999999998909</v>
      </c>
      <c r="M91" s="35">
        <f t="shared" si="2"/>
        <v>11174.97</v>
      </c>
      <c r="N91" s="34"/>
    </row>
    <row r="92" spans="2:15" ht="15" hidden="1" customHeight="1" x14ac:dyDescent="0.2">
      <c r="B92" s="72">
        <f>MAX($B$8:B91)+1</f>
        <v>83</v>
      </c>
      <c r="C92" s="71" t="s">
        <v>166</v>
      </c>
      <c r="D92" s="29" t="s">
        <v>215</v>
      </c>
      <c r="E92" s="29" t="s">
        <v>402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5">
        <f t="shared" si="2"/>
        <v>0</v>
      </c>
      <c r="N92" s="34"/>
    </row>
    <row r="93" spans="2:15" ht="15" hidden="1" customHeight="1" x14ac:dyDescent="0.2">
      <c r="B93" s="72">
        <f>MAX($B$8:B92)+1</f>
        <v>84</v>
      </c>
      <c r="C93" s="71" t="s">
        <v>167</v>
      </c>
      <c r="D93" s="29" t="s">
        <v>216</v>
      </c>
      <c r="E93" s="29" t="s">
        <v>390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5">
        <f t="shared" si="2"/>
        <v>0</v>
      </c>
      <c r="N93" s="34"/>
    </row>
    <row r="94" spans="2:15" ht="15" customHeight="1" x14ac:dyDescent="0.2">
      <c r="B94" s="72">
        <f>MAX($B$8:B93)+1</f>
        <v>85</v>
      </c>
      <c r="C94" s="71" t="s">
        <v>168</v>
      </c>
      <c r="D94" s="29" t="s">
        <v>217</v>
      </c>
      <c r="E94" s="29" t="s">
        <v>390</v>
      </c>
      <c r="F94" s="34">
        <v>335</v>
      </c>
      <c r="G94" s="34">
        <v>335</v>
      </c>
      <c r="H94" s="34">
        <v>335</v>
      </c>
      <c r="I94" s="34">
        <v>335</v>
      </c>
      <c r="J94" s="34">
        <v>1633.3200000000002</v>
      </c>
      <c r="K94" s="34">
        <v>1633.3200000000002</v>
      </c>
      <c r="L94" s="34">
        <v>1633.3199999999997</v>
      </c>
      <c r="M94" s="35">
        <f t="shared" si="2"/>
        <v>6239.96</v>
      </c>
      <c r="N94" s="34">
        <f>L94*7-M94</f>
        <v>5193.2799999999979</v>
      </c>
      <c r="O94" s="74" t="s">
        <v>1093</v>
      </c>
    </row>
    <row r="95" spans="2:15" ht="15" hidden="1" customHeight="1" x14ac:dyDescent="0.2">
      <c r="B95" s="72">
        <f>MAX($B$8:B94)+1</f>
        <v>86</v>
      </c>
      <c r="C95" s="71" t="s">
        <v>169</v>
      </c>
      <c r="D95" s="29" t="s">
        <v>87</v>
      </c>
      <c r="E95" s="29" t="s">
        <v>390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5">
        <f t="shared" si="2"/>
        <v>0</v>
      </c>
      <c r="N95" s="34"/>
    </row>
    <row r="96" spans="2:15" ht="15" customHeight="1" x14ac:dyDescent="0.2">
      <c r="B96" s="72">
        <f>MAX($B$8:B95)+1</f>
        <v>87</v>
      </c>
      <c r="C96" s="71" t="s">
        <v>170</v>
      </c>
      <c r="D96" s="29" t="s">
        <v>88</v>
      </c>
      <c r="E96" s="29" t="s">
        <v>390</v>
      </c>
      <c r="F96" s="34">
        <v>5774.02</v>
      </c>
      <c r="G96" s="34">
        <v>11858.98</v>
      </c>
      <c r="H96" s="34">
        <v>-456.40000000000146</v>
      </c>
      <c r="I96" s="34">
        <v>5619.8100000000013</v>
      </c>
      <c r="J96" s="34">
        <v>25373.780000000002</v>
      </c>
      <c r="K96" s="34">
        <v>8062.9499999999971</v>
      </c>
      <c r="L96" s="34">
        <v>280.66000000000349</v>
      </c>
      <c r="M96" s="35">
        <f t="shared" si="2"/>
        <v>56513.8</v>
      </c>
      <c r="N96" s="34"/>
    </row>
    <row r="97" spans="2:15" ht="15" hidden="1" customHeight="1" x14ac:dyDescent="0.2">
      <c r="B97" s="72">
        <f>MAX($B$8:B96)+1</f>
        <v>88</v>
      </c>
      <c r="C97" s="71" t="s">
        <v>171</v>
      </c>
      <c r="D97" s="29" t="s">
        <v>218</v>
      </c>
      <c r="E97" s="29" t="s">
        <v>390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5">
        <f t="shared" si="2"/>
        <v>0</v>
      </c>
      <c r="N97" s="34"/>
    </row>
    <row r="98" spans="2:15" ht="15" hidden="1" customHeight="1" x14ac:dyDescent="0.2">
      <c r="B98" s="72">
        <f>MAX($B$8:B97)+1</f>
        <v>89</v>
      </c>
      <c r="C98" s="71" t="s">
        <v>172</v>
      </c>
      <c r="D98" s="29" t="s">
        <v>219</v>
      </c>
      <c r="E98" s="29" t="s">
        <v>390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5">
        <f t="shared" si="2"/>
        <v>0</v>
      </c>
      <c r="N98" s="34"/>
    </row>
    <row r="99" spans="2:15" ht="15" customHeight="1" x14ac:dyDescent="0.2">
      <c r="B99" s="72">
        <f>MAX($B$8:B98)+1</f>
        <v>90</v>
      </c>
      <c r="C99" s="71" t="s">
        <v>173</v>
      </c>
      <c r="D99" s="29" t="s">
        <v>220</v>
      </c>
      <c r="E99" s="29" t="s">
        <v>399</v>
      </c>
      <c r="F99" s="34">
        <v>0</v>
      </c>
      <c r="G99" s="34">
        <v>208.15</v>
      </c>
      <c r="H99" s="34">
        <v>176.87999999999997</v>
      </c>
      <c r="I99" s="34">
        <v>31.82000000000005</v>
      </c>
      <c r="J99" s="34">
        <v>420.14</v>
      </c>
      <c r="K99" s="34">
        <v>208.70000000000005</v>
      </c>
      <c r="L99" s="34">
        <v>0</v>
      </c>
      <c r="M99" s="35">
        <f t="shared" si="2"/>
        <v>1045.69</v>
      </c>
      <c r="N99" s="34"/>
    </row>
    <row r="100" spans="2:15" ht="15" hidden="1" customHeight="1" x14ac:dyDescent="0.2">
      <c r="B100" s="72">
        <f>MAX($B$8:B99)+1</f>
        <v>91</v>
      </c>
      <c r="C100" s="71" t="s">
        <v>174</v>
      </c>
      <c r="D100" s="29" t="s">
        <v>221</v>
      </c>
      <c r="E100" s="29" t="s">
        <v>363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5">
        <f t="shared" si="2"/>
        <v>0</v>
      </c>
      <c r="N100" s="34"/>
    </row>
    <row r="101" spans="2:15" ht="15" customHeight="1" x14ac:dyDescent="0.2">
      <c r="B101" s="72">
        <f>MAX($B$8:B100)+1</f>
        <v>92</v>
      </c>
      <c r="C101" s="71" t="s">
        <v>175</v>
      </c>
      <c r="D101" s="29" t="s">
        <v>222</v>
      </c>
      <c r="E101" s="29" t="s">
        <v>405</v>
      </c>
      <c r="F101" s="34">
        <v>5473.67</v>
      </c>
      <c r="G101" s="34">
        <v>7073.4699999999993</v>
      </c>
      <c r="H101" s="34">
        <v>8310.18</v>
      </c>
      <c r="I101" s="34">
        <v>0</v>
      </c>
      <c r="J101" s="34">
        <v>-8524.85</v>
      </c>
      <c r="K101" s="34">
        <v>1410.7800000000007</v>
      </c>
      <c r="L101" s="34">
        <v>2416.2199999999993</v>
      </c>
      <c r="M101" s="35">
        <f t="shared" si="2"/>
        <v>16159.47</v>
      </c>
      <c r="N101" s="34"/>
      <c r="O101" s="74" t="s">
        <v>484</v>
      </c>
    </row>
    <row r="102" spans="2:15" ht="15" hidden="1" customHeight="1" x14ac:dyDescent="0.2">
      <c r="B102" s="72">
        <f>MAX($B$8:B101)+1</f>
        <v>93</v>
      </c>
      <c r="C102" s="71" t="s">
        <v>176</v>
      </c>
      <c r="D102" s="29" t="s">
        <v>223</v>
      </c>
      <c r="E102" s="29" t="s">
        <v>402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5">
        <f t="shared" si="2"/>
        <v>0</v>
      </c>
      <c r="N102" s="34"/>
    </row>
    <row r="103" spans="2:15" ht="15" customHeight="1" x14ac:dyDescent="0.2">
      <c r="B103" s="72">
        <f>MAX($B$8:B102)+1</f>
        <v>94</v>
      </c>
      <c r="C103" s="71" t="s">
        <v>177</v>
      </c>
      <c r="D103" s="29" t="s">
        <v>224</v>
      </c>
      <c r="E103" s="29" t="s">
        <v>402</v>
      </c>
      <c r="F103" s="34">
        <v>23148.09</v>
      </c>
      <c r="G103" s="34">
        <v>23148.09</v>
      </c>
      <c r="H103" s="34">
        <v>23148.090000000004</v>
      </c>
      <c r="I103" s="34">
        <v>23148.089999999997</v>
      </c>
      <c r="J103" s="34">
        <v>23148.089999999997</v>
      </c>
      <c r="K103" s="34">
        <v>23148.090000000011</v>
      </c>
      <c r="L103" s="34">
        <v>23148.089999999997</v>
      </c>
      <c r="M103" s="35">
        <f t="shared" si="2"/>
        <v>162036.63</v>
      </c>
      <c r="N103" s="34"/>
    </row>
    <row r="104" spans="2:15" ht="15" customHeight="1" x14ac:dyDescent="0.2">
      <c r="B104" s="72">
        <f>MAX($B$8:B103)+1</f>
        <v>95</v>
      </c>
      <c r="C104" s="71" t="s">
        <v>178</v>
      </c>
      <c r="D104" s="29" t="s">
        <v>225</v>
      </c>
      <c r="E104" s="29" t="s">
        <v>390</v>
      </c>
      <c r="F104" s="34">
        <v>-1641.37</v>
      </c>
      <c r="G104" s="34">
        <v>-1641.37</v>
      </c>
      <c r="H104" s="34">
        <v>-1641.37</v>
      </c>
      <c r="I104" s="34">
        <v>-1641.37</v>
      </c>
      <c r="J104" s="34">
        <v>-1641.3700000000008</v>
      </c>
      <c r="K104" s="34">
        <v>-1641.369999999999</v>
      </c>
      <c r="L104" s="34">
        <v>-1641.3700000000008</v>
      </c>
      <c r="M104" s="35">
        <f t="shared" si="2"/>
        <v>-11489.59</v>
      </c>
      <c r="N104" s="34">
        <f>-1700*7-M104</f>
        <v>-410.40999999999985</v>
      </c>
      <c r="O104" s="74" t="s">
        <v>987</v>
      </c>
    </row>
    <row r="105" spans="2:15" ht="15" customHeight="1" x14ac:dyDescent="0.2">
      <c r="B105" s="72">
        <f>MAX($B$8:B104)+1</f>
        <v>96</v>
      </c>
      <c r="C105" s="71" t="s">
        <v>226</v>
      </c>
      <c r="D105" s="29" t="s">
        <v>238</v>
      </c>
      <c r="E105" s="29" t="s">
        <v>391</v>
      </c>
      <c r="F105" s="34">
        <v>0</v>
      </c>
      <c r="G105" s="34">
        <v>1090.9000000000001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5">
        <f t="shared" si="2"/>
        <v>1090.9000000000001</v>
      </c>
      <c r="N105" s="34"/>
    </row>
    <row r="106" spans="2:15" ht="15" hidden="1" customHeight="1" x14ac:dyDescent="0.2">
      <c r="B106" s="72">
        <f>MAX($B$8:B105)+1</f>
        <v>97</v>
      </c>
      <c r="C106" s="71" t="s">
        <v>227</v>
      </c>
      <c r="D106" s="29" t="s">
        <v>239</v>
      </c>
      <c r="E106" s="29" t="s">
        <v>394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5">
        <f t="shared" ref="M106:M116" si="3">SUM(F106:L106)</f>
        <v>0</v>
      </c>
      <c r="N106" s="34"/>
    </row>
    <row r="107" spans="2:15" ht="15" hidden="1" customHeight="1" x14ac:dyDescent="0.2">
      <c r="B107" s="72">
        <f>MAX($B$8:B106)+1</f>
        <v>98</v>
      </c>
      <c r="C107" s="71" t="s">
        <v>228</v>
      </c>
      <c r="D107" s="29" t="s">
        <v>240</v>
      </c>
      <c r="E107" s="29" t="s">
        <v>394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5">
        <f t="shared" si="3"/>
        <v>0</v>
      </c>
      <c r="N107" s="34"/>
    </row>
    <row r="108" spans="2:15" ht="15" customHeight="1" x14ac:dyDescent="0.2">
      <c r="B108" s="72">
        <f>MAX($B$8:B107)+1</f>
        <v>99</v>
      </c>
      <c r="C108" s="71" t="s">
        <v>229</v>
      </c>
      <c r="D108" s="29" t="s">
        <v>241</v>
      </c>
      <c r="E108" s="29" t="s">
        <v>394</v>
      </c>
      <c r="F108" s="34">
        <v>0</v>
      </c>
      <c r="G108" s="34">
        <v>0</v>
      </c>
      <c r="H108" s="34">
        <v>0</v>
      </c>
      <c r="I108" s="34">
        <v>0</v>
      </c>
      <c r="J108" s="34">
        <v>43.93</v>
      </c>
      <c r="K108" s="34">
        <v>0</v>
      </c>
      <c r="L108" s="34">
        <v>0</v>
      </c>
      <c r="M108" s="35">
        <f t="shared" si="3"/>
        <v>43.93</v>
      </c>
      <c r="N108" s="34"/>
    </row>
    <row r="109" spans="2:15" ht="15" hidden="1" customHeight="1" x14ac:dyDescent="0.2">
      <c r="B109" s="72">
        <f>MAX($B$8:B108)+1</f>
        <v>100</v>
      </c>
      <c r="C109" s="71" t="s">
        <v>230</v>
      </c>
      <c r="D109" s="29" t="s">
        <v>239</v>
      </c>
      <c r="E109" s="29" t="s">
        <v>394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5">
        <f t="shared" si="3"/>
        <v>0</v>
      </c>
      <c r="N109" s="34"/>
    </row>
    <row r="110" spans="2:15" ht="15" customHeight="1" x14ac:dyDescent="0.2">
      <c r="B110" s="72">
        <f>MAX($B$8:B109)+1</f>
        <v>101</v>
      </c>
      <c r="C110" s="71" t="s">
        <v>231</v>
      </c>
      <c r="D110" s="29" t="s">
        <v>242</v>
      </c>
      <c r="E110" s="29" t="s">
        <v>391</v>
      </c>
      <c r="F110" s="34">
        <v>0</v>
      </c>
      <c r="G110" s="34">
        <v>306.31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5">
        <f t="shared" si="3"/>
        <v>306.31</v>
      </c>
      <c r="N110" s="34"/>
    </row>
    <row r="111" spans="2:15" ht="15" hidden="1" customHeight="1" x14ac:dyDescent="0.2">
      <c r="B111" s="72">
        <f>MAX($B$8:B110)+1</f>
        <v>102</v>
      </c>
      <c r="C111" s="71" t="s">
        <v>232</v>
      </c>
      <c r="D111" s="29" t="s">
        <v>243</v>
      </c>
      <c r="E111" s="29" t="s">
        <v>394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5">
        <f t="shared" si="3"/>
        <v>0</v>
      </c>
      <c r="N111" s="34"/>
    </row>
    <row r="112" spans="2:15" ht="15" customHeight="1" x14ac:dyDescent="0.2">
      <c r="B112" s="72">
        <f>MAX($B$8:B111)+1</f>
        <v>103</v>
      </c>
      <c r="C112" s="71" t="s">
        <v>233</v>
      </c>
      <c r="D112" s="29" t="s">
        <v>244</v>
      </c>
      <c r="E112" s="29" t="s">
        <v>394</v>
      </c>
      <c r="F112" s="34">
        <v>4100.78</v>
      </c>
      <c r="G112" s="34">
        <v>6711.56</v>
      </c>
      <c r="H112" s="34">
        <v>-27.6200000000008</v>
      </c>
      <c r="I112" s="34">
        <v>1020.6700000000001</v>
      </c>
      <c r="J112" s="34">
        <v>17.090000000000146</v>
      </c>
      <c r="K112" s="34">
        <v>0</v>
      </c>
      <c r="L112" s="34">
        <v>2808.8500000000004</v>
      </c>
      <c r="M112" s="35">
        <f t="shared" si="3"/>
        <v>14631.33</v>
      </c>
      <c r="N112" s="34"/>
    </row>
    <row r="113" spans="2:15" ht="15" customHeight="1" x14ac:dyDescent="0.2">
      <c r="B113" s="72">
        <f>MAX($B$8:B112)+1</f>
        <v>104</v>
      </c>
      <c r="C113" s="71" t="s">
        <v>234</v>
      </c>
      <c r="D113" s="29" t="s">
        <v>245</v>
      </c>
      <c r="E113" s="29" t="s">
        <v>394</v>
      </c>
      <c r="F113" s="34">
        <v>0</v>
      </c>
      <c r="G113" s="34">
        <v>613.57000000000005</v>
      </c>
      <c r="H113" s="34">
        <v>-397.07000000000005</v>
      </c>
      <c r="I113" s="34">
        <v>1030.9100000000001</v>
      </c>
      <c r="J113" s="34">
        <v>0</v>
      </c>
      <c r="K113" s="34">
        <v>38.099999999999909</v>
      </c>
      <c r="L113" s="34">
        <v>0</v>
      </c>
      <c r="M113" s="35">
        <f t="shared" si="3"/>
        <v>1285.51</v>
      </c>
      <c r="N113" s="34"/>
    </row>
    <row r="114" spans="2:15" ht="15" customHeight="1" x14ac:dyDescent="0.2">
      <c r="B114" s="72">
        <f>MAX($B$8:B113)+1</f>
        <v>105</v>
      </c>
      <c r="C114" s="71" t="s">
        <v>235</v>
      </c>
      <c r="D114" s="29" t="s">
        <v>246</v>
      </c>
      <c r="E114" s="29" t="s">
        <v>394</v>
      </c>
      <c r="F114" s="34">
        <v>0</v>
      </c>
      <c r="G114" s="34">
        <v>0</v>
      </c>
      <c r="H114" s="34">
        <v>0</v>
      </c>
      <c r="I114" s="34">
        <v>3672.48</v>
      </c>
      <c r="J114" s="34">
        <v>0</v>
      </c>
      <c r="K114" s="34">
        <v>0</v>
      </c>
      <c r="L114" s="34">
        <v>0</v>
      </c>
      <c r="M114" s="35">
        <f t="shared" si="3"/>
        <v>3672.48</v>
      </c>
      <c r="N114" s="34"/>
    </row>
    <row r="115" spans="2:15" ht="15" customHeight="1" x14ac:dyDescent="0.2">
      <c r="B115" s="72">
        <f>MAX($B$8:B114)+1</f>
        <v>106</v>
      </c>
      <c r="C115" s="71" t="s">
        <v>236</v>
      </c>
      <c r="D115" s="29" t="s">
        <v>247</v>
      </c>
      <c r="E115" s="29" t="s">
        <v>394</v>
      </c>
      <c r="F115" s="34">
        <v>30.27</v>
      </c>
      <c r="G115" s="34">
        <v>0</v>
      </c>
      <c r="H115" s="34">
        <v>708.58</v>
      </c>
      <c r="I115" s="34">
        <v>0</v>
      </c>
      <c r="J115" s="34">
        <v>0</v>
      </c>
      <c r="K115" s="34">
        <v>0</v>
      </c>
      <c r="L115" s="34">
        <v>0</v>
      </c>
      <c r="M115" s="35">
        <f t="shared" si="3"/>
        <v>738.85</v>
      </c>
      <c r="N115" s="34"/>
    </row>
    <row r="116" spans="2:15" ht="15" hidden="1" customHeight="1" x14ac:dyDescent="0.2">
      <c r="B116" s="72">
        <f>MAX($B$8:B115)+1</f>
        <v>107</v>
      </c>
      <c r="C116" s="71" t="s">
        <v>237</v>
      </c>
      <c r="D116" s="29" t="s">
        <v>248</v>
      </c>
      <c r="E116" s="29" t="s">
        <v>394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5">
        <f t="shared" si="3"/>
        <v>0</v>
      </c>
      <c r="N116" s="34"/>
    </row>
    <row r="117" spans="2:15" ht="15" customHeight="1" x14ac:dyDescent="0.2">
      <c r="B117" s="72">
        <f>MAX($B$8:B116)+1</f>
        <v>108</v>
      </c>
      <c r="C117" s="71" t="s">
        <v>249</v>
      </c>
      <c r="D117" s="29" t="s">
        <v>251</v>
      </c>
      <c r="E117" s="29" t="s">
        <v>406</v>
      </c>
      <c r="F117" s="34">
        <v>36966.15</v>
      </c>
      <c r="G117" s="34">
        <v>40421.32</v>
      </c>
      <c r="H117" s="34">
        <v>38129.929999999993</v>
      </c>
      <c r="I117" s="34">
        <v>38171.520000000019</v>
      </c>
      <c r="J117" s="34">
        <v>38374.139999999985</v>
      </c>
      <c r="K117" s="34">
        <v>38340.540000000008</v>
      </c>
      <c r="L117" s="34">
        <v>68448.749999999971</v>
      </c>
      <c r="M117" s="35"/>
      <c r="N117" s="34"/>
      <c r="O117" s="74" t="s">
        <v>485</v>
      </c>
    </row>
    <row r="118" spans="2:15" ht="15" customHeight="1" x14ac:dyDescent="0.2">
      <c r="B118" s="72">
        <f>MAX($B$8:B117)+1</f>
        <v>109</v>
      </c>
      <c r="C118" s="71" t="s">
        <v>250</v>
      </c>
      <c r="D118" s="29" t="s">
        <v>252</v>
      </c>
      <c r="E118" s="29" t="s">
        <v>406</v>
      </c>
      <c r="F118" s="34">
        <v>3821.79</v>
      </c>
      <c r="G118" s="34">
        <v>8308.73</v>
      </c>
      <c r="H118" s="34">
        <v>5722.5299999999988</v>
      </c>
      <c r="I118" s="34">
        <v>5722.510000000002</v>
      </c>
      <c r="J118" s="34">
        <v>5722.5299999999988</v>
      </c>
      <c r="K118" s="34">
        <v>5857.8500000000022</v>
      </c>
      <c r="L118" s="34">
        <v>14158.46</v>
      </c>
      <c r="M118" s="35"/>
      <c r="N118" s="34"/>
    </row>
    <row r="119" spans="2:15" ht="15" customHeight="1" x14ac:dyDescent="0.2">
      <c r="B119" s="72">
        <f>MAX($B$8:B118)+1</f>
        <v>110</v>
      </c>
      <c r="C119" s="71" t="s">
        <v>255</v>
      </c>
      <c r="D119" s="29" t="s">
        <v>256</v>
      </c>
      <c r="E119" s="29" t="s">
        <v>407</v>
      </c>
      <c r="F119" s="34">
        <v>-4100</v>
      </c>
      <c r="G119" s="34">
        <v>0</v>
      </c>
      <c r="H119" s="34">
        <v>0</v>
      </c>
      <c r="I119" s="34">
        <v>-12300</v>
      </c>
      <c r="J119" s="34">
        <v>0</v>
      </c>
      <c r="K119" s="34">
        <v>0</v>
      </c>
      <c r="L119" s="34">
        <v>-209837.33</v>
      </c>
      <c r="M119" s="35"/>
      <c r="N119" s="34"/>
      <c r="O119" s="74" t="s">
        <v>485</v>
      </c>
    </row>
    <row r="120" spans="2:15" ht="15" customHeight="1" x14ac:dyDescent="0.2">
      <c r="B120" s="72">
        <f>MAX($B$8:B119)+1</f>
        <v>111</v>
      </c>
      <c r="C120" s="71" t="s">
        <v>266</v>
      </c>
      <c r="D120" s="29" t="s">
        <v>258</v>
      </c>
      <c r="E120" s="29" t="s">
        <v>401</v>
      </c>
      <c r="F120" s="34">
        <v>0</v>
      </c>
      <c r="G120" s="34">
        <v>108.33</v>
      </c>
      <c r="H120" s="34">
        <v>74.86999999999999</v>
      </c>
      <c r="I120" s="34">
        <v>69.830000000000013</v>
      </c>
      <c r="J120" s="34">
        <v>69.78</v>
      </c>
      <c r="K120" s="34">
        <v>57.889999999999986</v>
      </c>
      <c r="L120" s="34">
        <v>58.800000000000011</v>
      </c>
      <c r="M120" s="35">
        <f>SUM(F120:L120)</f>
        <v>439.5</v>
      </c>
      <c r="N120" s="34"/>
    </row>
    <row r="121" spans="2:15" ht="15" customHeight="1" x14ac:dyDescent="0.2">
      <c r="B121" s="72">
        <f>MAX($B$8:B120)+1</f>
        <v>112</v>
      </c>
      <c r="C121" s="71" t="s">
        <v>267</v>
      </c>
      <c r="D121" s="29" t="s">
        <v>259</v>
      </c>
      <c r="E121" s="29" t="s">
        <v>408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5">
        <f>SUM(F121:L121)</f>
        <v>0</v>
      </c>
      <c r="N121" s="34"/>
    </row>
    <row r="122" spans="2:15" ht="15" customHeight="1" x14ac:dyDescent="0.2">
      <c r="B122" s="72">
        <f>MAX($B$8:B121)+1</f>
        <v>113</v>
      </c>
      <c r="C122" s="71" t="s">
        <v>268</v>
      </c>
      <c r="D122" s="29" t="s">
        <v>260</v>
      </c>
      <c r="E122" s="29" t="s">
        <v>408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5">
        <f>SUM(F122:L122)</f>
        <v>0</v>
      </c>
      <c r="N122" s="34"/>
    </row>
    <row r="123" spans="2:15" ht="15" customHeight="1" x14ac:dyDescent="0.2">
      <c r="B123" s="72">
        <f>MAX($B$8:B122)+1</f>
        <v>114</v>
      </c>
      <c r="C123" s="71" t="s">
        <v>269</v>
      </c>
      <c r="D123" s="29" t="s">
        <v>261</v>
      </c>
      <c r="E123" s="29" t="s">
        <v>408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5">
        <f>SUM(F123:L123)</f>
        <v>0</v>
      </c>
      <c r="N123" s="34"/>
    </row>
    <row r="124" spans="2:15" ht="15" customHeight="1" x14ac:dyDescent="0.2">
      <c r="B124" s="72">
        <f>MAX($B$8:B123)+1</f>
        <v>115</v>
      </c>
      <c r="C124" s="71" t="s">
        <v>270</v>
      </c>
      <c r="D124" s="29" t="s">
        <v>262</v>
      </c>
      <c r="E124" s="29" t="s">
        <v>409</v>
      </c>
      <c r="F124" s="34">
        <v>8811.0400000000009</v>
      </c>
      <c r="G124" s="34">
        <v>8811.0400000000009</v>
      </c>
      <c r="H124" s="34">
        <v>8811.0399999999972</v>
      </c>
      <c r="I124" s="34">
        <v>70943.700000000012</v>
      </c>
      <c r="J124" s="34">
        <v>8811.0399999999936</v>
      </c>
      <c r="K124" s="34">
        <v>8811.0399999999936</v>
      </c>
      <c r="L124" s="34">
        <v>29402.600000000006</v>
      </c>
      <c r="M124" s="35"/>
      <c r="N124" s="34"/>
      <c r="O124" s="74" t="s">
        <v>486</v>
      </c>
    </row>
    <row r="125" spans="2:15" ht="15" customHeight="1" x14ac:dyDescent="0.2">
      <c r="B125" s="72">
        <f>MAX($B$8:B124)+1</f>
        <v>116</v>
      </c>
      <c r="C125" s="71" t="s">
        <v>271</v>
      </c>
      <c r="D125" s="29" t="s">
        <v>263</v>
      </c>
      <c r="E125" s="29" t="s">
        <v>410</v>
      </c>
      <c r="F125" s="34">
        <v>27462.57</v>
      </c>
      <c r="G125" s="34">
        <v>35559.46</v>
      </c>
      <c r="H125" s="34">
        <v>15831.399999999994</v>
      </c>
      <c r="I125" s="34">
        <v>81845.09</v>
      </c>
      <c r="J125" s="34">
        <v>28282.309999999998</v>
      </c>
      <c r="K125" s="34">
        <v>-5113.109999999986</v>
      </c>
      <c r="L125" s="34">
        <v>24932.48000000001</v>
      </c>
      <c r="M125" s="35"/>
      <c r="N125" s="34"/>
      <c r="O125" s="74" t="s">
        <v>485</v>
      </c>
    </row>
    <row r="126" spans="2:15" ht="15" customHeight="1" x14ac:dyDescent="0.2">
      <c r="B126" s="72">
        <f>MAX($B$8:B125)+1</f>
        <v>117</v>
      </c>
      <c r="C126" s="71" t="s">
        <v>272</v>
      </c>
      <c r="D126" s="29" t="s">
        <v>264</v>
      </c>
      <c r="E126" s="29" t="s">
        <v>410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557.85</v>
      </c>
      <c r="L126" s="34">
        <v>0</v>
      </c>
      <c r="M126" s="35"/>
      <c r="N126" s="34"/>
      <c r="O126" s="74" t="s">
        <v>485</v>
      </c>
    </row>
    <row r="127" spans="2:15" ht="15" customHeight="1" x14ac:dyDescent="0.2">
      <c r="B127" s="72">
        <f>MAX($B$8:B126)+1</f>
        <v>118</v>
      </c>
      <c r="C127" s="71" t="s">
        <v>273</v>
      </c>
      <c r="D127" s="29" t="s">
        <v>265</v>
      </c>
      <c r="E127" s="29" t="s">
        <v>408</v>
      </c>
      <c r="F127" s="34">
        <v>11316.04</v>
      </c>
      <c r="G127" s="34">
        <v>15666.419999999998</v>
      </c>
      <c r="H127" s="34">
        <v>10055.989999999998</v>
      </c>
      <c r="I127" s="34">
        <v>10303.93</v>
      </c>
      <c r="J127" s="34">
        <v>8977.6600000000035</v>
      </c>
      <c r="K127" s="34">
        <v>9620.1599999999962</v>
      </c>
      <c r="L127" s="34">
        <v>9501.7900000000081</v>
      </c>
      <c r="M127" s="35"/>
      <c r="N127" s="34"/>
      <c r="O127" s="74" t="s">
        <v>485</v>
      </c>
    </row>
    <row r="128" spans="2:15" ht="15" customHeight="1" x14ac:dyDescent="0.2">
      <c r="C128" s="33"/>
    </row>
  </sheetData>
  <mergeCells count="2">
    <mergeCell ref="F6:L6"/>
    <mergeCell ref="M6:M7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D22C-9F60-4BCC-A235-DE4CF8A5BE43}">
  <sheetPr>
    <tabColor rgb="FF00B050"/>
  </sheetPr>
  <dimension ref="A1:H308"/>
  <sheetViews>
    <sheetView workbookViewId="0"/>
  </sheetViews>
  <sheetFormatPr defaultColWidth="9.140625" defaultRowHeight="12.75" x14ac:dyDescent="0.2"/>
  <cols>
    <col min="1" max="1" width="1.42578125" style="29" customWidth="1"/>
    <col min="2" max="2" width="5.7109375" style="29" customWidth="1"/>
    <col min="3" max="3" width="10.7109375" style="29" customWidth="1"/>
    <col min="4" max="4" width="39.28515625" style="29" customWidth="1"/>
    <col min="5" max="7" width="14.28515625" style="29" customWidth="1"/>
    <col min="8" max="8" width="50" style="29" customWidth="1"/>
    <col min="9" max="16384" width="9.140625" style="29"/>
  </cols>
  <sheetData>
    <row r="1" spans="1:8" customFormat="1" ht="7.5" customHeight="1" x14ac:dyDescent="0.25">
      <c r="A1" s="51" t="str" cm="1">
        <f t="array" aca="1" ref="A1" ca="1">MID(CELL("filename",A1),FIND("]",CELL("filename",A1))+1,255)</f>
        <v>WP RA4</v>
      </c>
      <c r="B1" s="51"/>
      <c r="D1" s="2"/>
    </row>
    <row r="2" spans="1:8" customFormat="1" ht="15" x14ac:dyDescent="0.25">
      <c r="B2" s="24" t="s">
        <v>451</v>
      </c>
      <c r="C2" s="29"/>
      <c r="D2" s="46"/>
    </row>
    <row r="3" spans="1:8" customFormat="1" ht="15" x14ac:dyDescent="0.25">
      <c r="B3" s="1" t="s">
        <v>620</v>
      </c>
      <c r="C3" s="29"/>
      <c r="D3" s="46"/>
    </row>
    <row r="4" spans="1:8" ht="7.5" customHeight="1" x14ac:dyDescent="0.2"/>
    <row r="5" spans="1:8" x14ac:dyDescent="0.2">
      <c r="E5" s="100"/>
      <c r="F5" s="100"/>
      <c r="G5" s="100"/>
    </row>
    <row r="6" spans="1:8" ht="15" customHeight="1" x14ac:dyDescent="0.25">
      <c r="B6" s="16" t="s">
        <v>417</v>
      </c>
      <c r="E6" s="100" t="s">
        <v>943</v>
      </c>
      <c r="F6" s="100" t="s">
        <v>424</v>
      </c>
      <c r="G6" s="100" t="s">
        <v>944</v>
      </c>
    </row>
    <row r="7" spans="1:8" ht="15" x14ac:dyDescent="0.25">
      <c r="B7" s="89" t="s">
        <v>418</v>
      </c>
      <c r="C7" s="31" t="s">
        <v>481</v>
      </c>
      <c r="D7" s="31" t="s">
        <v>482</v>
      </c>
      <c r="E7" s="73" t="s">
        <v>582</v>
      </c>
      <c r="F7" s="73" t="s">
        <v>444</v>
      </c>
      <c r="G7" s="73" t="s">
        <v>945</v>
      </c>
      <c r="H7" s="162" t="s">
        <v>1094</v>
      </c>
    </row>
    <row r="8" spans="1:8" x14ac:dyDescent="0.2">
      <c r="C8" s="71" t="s">
        <v>419</v>
      </c>
      <c r="D8" s="72" t="s">
        <v>420</v>
      </c>
      <c r="E8" s="72" t="s">
        <v>421</v>
      </c>
      <c r="F8" s="72" t="s">
        <v>422</v>
      </c>
      <c r="G8" s="72" t="s">
        <v>430</v>
      </c>
      <c r="H8" s="72" t="s">
        <v>431</v>
      </c>
    </row>
    <row r="9" spans="1:8" ht="4.5" customHeight="1" x14ac:dyDescent="0.2">
      <c r="C9" s="33"/>
    </row>
    <row r="10" spans="1:8" ht="15" customHeight="1" x14ac:dyDescent="0.2">
      <c r="B10" s="72">
        <f>MAX($B$8:B9)+1</f>
        <v>1</v>
      </c>
      <c r="C10" s="29" t="s">
        <v>229</v>
      </c>
      <c r="D10" s="29" t="s">
        <v>241</v>
      </c>
      <c r="E10" s="34">
        <f>SUMIFS('WP RA4.1'!$G$7:$G$331,'WP RA4.1'!$F$7:$F$331,$C10)</f>
        <v>57.99</v>
      </c>
      <c r="F10" s="34">
        <f>-E10</f>
        <v>-57.99</v>
      </c>
      <c r="G10" s="34">
        <f>E10+F10</f>
        <v>0</v>
      </c>
    </row>
    <row r="11" spans="1:8" ht="15" customHeight="1" x14ac:dyDescent="0.2">
      <c r="B11" s="72">
        <f>MAX($B$8:B10)+1</f>
        <v>2</v>
      </c>
      <c r="C11" s="29" t="s">
        <v>146</v>
      </c>
      <c r="D11" s="29" t="s">
        <v>199</v>
      </c>
      <c r="E11" s="34">
        <f>SUMIFS('WP RA4.1'!$G$7:$G$331,'WP RA4.1'!$F$7:$F$331,$C11)</f>
        <v>0</v>
      </c>
      <c r="F11" s="34">
        <f t="shared" ref="F11:F19" si="0">-E11</f>
        <v>0</v>
      </c>
      <c r="G11" s="34">
        <f t="shared" ref="G11:G19" si="1">E11+F11</f>
        <v>0</v>
      </c>
    </row>
    <row r="12" spans="1:8" ht="15" customHeight="1" x14ac:dyDescent="0.2">
      <c r="B12" s="72">
        <f>MAX($B$8:B11)+1</f>
        <v>3</v>
      </c>
      <c r="C12" s="29" t="s">
        <v>158</v>
      </c>
      <c r="D12" s="29" t="s">
        <v>190</v>
      </c>
      <c r="E12" s="34">
        <f>SUMIFS('WP RA4.1'!$G$7:$G$331,'WP RA4.1'!$F$7:$F$331,$C12)</f>
        <v>875.69999999999993</v>
      </c>
      <c r="F12" s="34">
        <f t="shared" si="0"/>
        <v>-875.69999999999993</v>
      </c>
      <c r="G12" s="34">
        <f t="shared" si="1"/>
        <v>0</v>
      </c>
    </row>
    <row r="13" spans="1:8" ht="15" customHeight="1" x14ac:dyDescent="0.2">
      <c r="B13" s="72">
        <f>MAX($B$8:B12)+1</f>
        <v>4</v>
      </c>
      <c r="C13" s="29" t="s">
        <v>49</v>
      </c>
      <c r="D13" s="29" t="s">
        <v>89</v>
      </c>
      <c r="E13" s="34">
        <f>SUMIFS('WP RA4.1'!$G$7:$G$331,'WP RA4.1'!$F$7:$F$331,$C13)</f>
        <v>382.09</v>
      </c>
      <c r="F13" s="34">
        <f t="shared" si="0"/>
        <v>-382.09</v>
      </c>
      <c r="G13" s="34">
        <f t="shared" si="1"/>
        <v>0</v>
      </c>
    </row>
    <row r="14" spans="1:8" ht="15" customHeight="1" x14ac:dyDescent="0.2">
      <c r="B14" s="72">
        <f>MAX($B$8:B13)+1</f>
        <v>5</v>
      </c>
      <c r="C14" s="29" t="s">
        <v>50</v>
      </c>
      <c r="D14" s="29" t="s">
        <v>90</v>
      </c>
      <c r="E14" s="34">
        <f>SUMIFS('WP RA4.1'!$G$7:$G$331,'WP RA4.1'!$F$7:$F$331,$C14)</f>
        <v>22.9</v>
      </c>
      <c r="F14" s="34">
        <f t="shared" si="0"/>
        <v>-22.9</v>
      </c>
      <c r="G14" s="34">
        <f t="shared" si="1"/>
        <v>0</v>
      </c>
    </row>
    <row r="15" spans="1:8" ht="15" customHeight="1" x14ac:dyDescent="0.2">
      <c r="B15" s="72">
        <f>MAX($B$8:B14)+1</f>
        <v>6</v>
      </c>
      <c r="C15" s="29" t="s">
        <v>54</v>
      </c>
      <c r="D15" s="29" t="s">
        <v>94</v>
      </c>
      <c r="E15" s="34">
        <f>SUMIFS('WP RA4.1'!$G$7:$G$331,'WP RA4.1'!$F$7:$F$331,$C15)</f>
        <v>9788.43</v>
      </c>
      <c r="F15" s="34">
        <f t="shared" si="0"/>
        <v>-9788.43</v>
      </c>
      <c r="G15" s="34">
        <f t="shared" si="1"/>
        <v>0</v>
      </c>
    </row>
    <row r="16" spans="1:8" ht="15" customHeight="1" x14ac:dyDescent="0.2">
      <c r="B16" s="72">
        <f>MAX($B$8:B15)+1</f>
        <v>7</v>
      </c>
      <c r="C16" s="29" t="s">
        <v>55</v>
      </c>
      <c r="D16" s="29" t="s">
        <v>95</v>
      </c>
      <c r="E16" s="34">
        <f>SUMIFS('WP RA4.1'!$G$7:$G$331,'WP RA4.1'!$F$7:$F$331,$C16)</f>
        <v>279.55</v>
      </c>
      <c r="F16" s="34">
        <f t="shared" si="0"/>
        <v>-279.55</v>
      </c>
      <c r="G16" s="34">
        <f t="shared" si="1"/>
        <v>0</v>
      </c>
    </row>
    <row r="17" spans="2:8" ht="15" customHeight="1" x14ac:dyDescent="0.2">
      <c r="B17" s="72">
        <f>MAX($B$8:B16)+1</f>
        <v>8</v>
      </c>
      <c r="C17" s="29" t="s">
        <v>60</v>
      </c>
      <c r="D17" s="29" t="s">
        <v>100</v>
      </c>
      <c r="E17" s="34">
        <f>SUMIFS('WP RA4.1'!$G$7:$G$331,'WP RA4.1'!$F$7:$F$331,$C17)</f>
        <v>3742.5899999999992</v>
      </c>
      <c r="F17" s="34">
        <f t="shared" si="0"/>
        <v>-3742.5899999999992</v>
      </c>
      <c r="G17" s="34">
        <f t="shared" si="1"/>
        <v>0</v>
      </c>
    </row>
    <row r="18" spans="2:8" ht="15" customHeight="1" x14ac:dyDescent="0.2">
      <c r="B18" s="72">
        <f>MAX($B$8:B17)+1</f>
        <v>9</v>
      </c>
      <c r="C18" s="29" t="s">
        <v>79</v>
      </c>
      <c r="D18" s="29" t="s">
        <v>119</v>
      </c>
      <c r="E18" s="34">
        <f>SUMIFS('WP RA4.1'!$G$7:$G$331,'WP RA4.1'!$F$7:$F$331,$C18)</f>
        <v>175.77</v>
      </c>
      <c r="F18" s="34">
        <f t="shared" si="0"/>
        <v>-175.77</v>
      </c>
      <c r="G18" s="34">
        <f t="shared" si="1"/>
        <v>0</v>
      </c>
    </row>
    <row r="19" spans="2:8" ht="15" customHeight="1" x14ac:dyDescent="0.2">
      <c r="B19" s="72">
        <f>MAX($B$8:B18)+1</f>
        <v>10</v>
      </c>
      <c r="C19" s="29" t="s">
        <v>293</v>
      </c>
      <c r="D19" s="29" t="s">
        <v>321</v>
      </c>
      <c r="E19" s="34">
        <f>SUMIFS('WP RA4.1'!$G$7:$G$331,'WP RA4.1'!$F$7:$F$331,$C19)</f>
        <v>10.66</v>
      </c>
      <c r="F19" s="34">
        <f t="shared" si="0"/>
        <v>-10.66</v>
      </c>
      <c r="G19" s="34">
        <f t="shared" si="1"/>
        <v>0</v>
      </c>
      <c r="H19" s="29" t="s">
        <v>947</v>
      </c>
    </row>
    <row r="20" spans="2:8" ht="3.75" customHeight="1" x14ac:dyDescent="0.2">
      <c r="B20" s="101"/>
      <c r="C20" s="102"/>
      <c r="D20" s="102"/>
      <c r="E20" s="106"/>
      <c r="F20" s="106"/>
      <c r="G20" s="106"/>
    </row>
    <row r="21" spans="2:8" s="30" customFormat="1" ht="15" customHeight="1" x14ac:dyDescent="0.2">
      <c r="B21" s="99">
        <f>MAX($B$8:B20)+1</f>
        <v>11</v>
      </c>
      <c r="C21" s="104"/>
      <c r="D21" s="104" t="s">
        <v>423</v>
      </c>
      <c r="E21" s="105">
        <f>SUM(E10:E19)</f>
        <v>15335.68</v>
      </c>
      <c r="F21" s="105">
        <f t="shared" ref="F21:G21" si="2">SUM(F10:F19)</f>
        <v>-15335.68</v>
      </c>
      <c r="G21" s="105">
        <f t="shared" si="2"/>
        <v>0</v>
      </c>
    </row>
    <row r="22" spans="2:8" ht="15" customHeight="1" x14ac:dyDescent="0.2">
      <c r="B22" s="101"/>
      <c r="C22" s="102"/>
      <c r="D22" s="102"/>
      <c r="E22" s="103"/>
    </row>
    <row r="23" spans="2:8" ht="15" customHeight="1" x14ac:dyDescent="0.2">
      <c r="B23" s="101"/>
      <c r="C23" s="77"/>
      <c r="D23" s="102"/>
      <c r="E23" s="103"/>
    </row>
    <row r="24" spans="2:8" ht="15" customHeight="1" x14ac:dyDescent="0.2">
      <c r="B24" s="101"/>
      <c r="C24" s="71"/>
      <c r="D24" s="102"/>
      <c r="E24" s="103"/>
    </row>
    <row r="25" spans="2:8" ht="15" customHeight="1" x14ac:dyDescent="0.2">
      <c r="B25" s="101"/>
      <c r="C25" s="71"/>
      <c r="D25" s="102"/>
      <c r="E25" s="103"/>
    </row>
    <row r="26" spans="2:8" ht="15" customHeight="1" x14ac:dyDescent="0.2">
      <c r="B26" s="101"/>
      <c r="C26" s="71"/>
      <c r="D26" s="102"/>
      <c r="E26" s="103"/>
    </row>
    <row r="27" spans="2:8" ht="15" customHeight="1" x14ac:dyDescent="0.2">
      <c r="B27" s="101"/>
      <c r="C27" s="71"/>
      <c r="D27" s="102"/>
      <c r="E27" s="103"/>
    </row>
    <row r="28" spans="2:8" ht="15" customHeight="1" x14ac:dyDescent="0.2">
      <c r="B28" s="101"/>
      <c r="C28" s="71"/>
      <c r="D28" s="102"/>
      <c r="E28" s="103"/>
    </row>
    <row r="29" spans="2:8" ht="15" customHeight="1" x14ac:dyDescent="0.2">
      <c r="B29" s="101"/>
      <c r="C29" s="77"/>
      <c r="D29" s="102"/>
      <c r="E29" s="103"/>
    </row>
    <row r="30" spans="2:8" ht="15" customHeight="1" x14ac:dyDescent="0.2">
      <c r="B30" s="101"/>
      <c r="C30" s="71"/>
      <c r="D30" s="102"/>
      <c r="E30" s="103"/>
    </row>
    <row r="31" spans="2:8" ht="15" customHeight="1" x14ac:dyDescent="0.2">
      <c r="B31" s="101"/>
      <c r="C31" s="71"/>
      <c r="D31" s="102"/>
      <c r="E31" s="103"/>
    </row>
    <row r="32" spans="2:8" ht="15" customHeight="1" x14ac:dyDescent="0.2">
      <c r="B32" s="101"/>
      <c r="C32" s="71"/>
      <c r="D32" s="102"/>
      <c r="E32" s="103"/>
    </row>
    <row r="33" spans="2:5" ht="15" customHeight="1" x14ac:dyDescent="0.2">
      <c r="B33" s="101"/>
      <c r="C33" s="71"/>
      <c r="D33" s="102"/>
      <c r="E33" s="103"/>
    </row>
    <row r="34" spans="2:5" ht="15" customHeight="1" x14ac:dyDescent="0.2">
      <c r="B34" s="101"/>
      <c r="C34" s="71"/>
      <c r="D34" s="102"/>
      <c r="E34" s="103"/>
    </row>
    <row r="35" spans="2:5" ht="15" hidden="1" customHeight="1" x14ac:dyDescent="0.2">
      <c r="B35" s="101"/>
      <c r="C35" s="71"/>
      <c r="D35" s="102"/>
      <c r="E35" s="103"/>
    </row>
    <row r="36" spans="2:5" ht="15" hidden="1" customHeight="1" x14ac:dyDescent="0.2">
      <c r="B36" s="101"/>
      <c r="C36" s="71"/>
      <c r="D36" s="102"/>
      <c r="E36" s="103"/>
    </row>
    <row r="37" spans="2:5" ht="15" customHeight="1" x14ac:dyDescent="0.2">
      <c r="B37" s="101"/>
      <c r="C37" s="71"/>
      <c r="D37" s="102"/>
      <c r="E37" s="103"/>
    </row>
    <row r="38" spans="2:5" ht="15" hidden="1" customHeight="1" x14ac:dyDescent="0.2">
      <c r="B38" s="101"/>
      <c r="C38" s="71"/>
      <c r="D38" s="102"/>
      <c r="E38" s="103"/>
    </row>
    <row r="39" spans="2:5" ht="15" hidden="1" customHeight="1" x14ac:dyDescent="0.2">
      <c r="B39" s="101"/>
      <c r="C39" s="71"/>
      <c r="D39" s="102"/>
      <c r="E39" s="103"/>
    </row>
    <row r="40" spans="2:5" ht="15" customHeight="1" x14ac:dyDescent="0.2">
      <c r="B40" s="101"/>
      <c r="C40" s="71"/>
      <c r="D40" s="102"/>
      <c r="E40" s="103"/>
    </row>
    <row r="41" spans="2:5" ht="15" hidden="1" customHeight="1" x14ac:dyDescent="0.2">
      <c r="B41" s="101"/>
      <c r="C41" s="71"/>
      <c r="D41" s="102"/>
      <c r="E41" s="103"/>
    </row>
    <row r="42" spans="2:5" ht="15" customHeight="1" x14ac:dyDescent="0.2">
      <c r="B42" s="101"/>
      <c r="C42" s="71"/>
      <c r="D42" s="102"/>
      <c r="E42" s="103"/>
    </row>
    <row r="43" spans="2:5" ht="15" customHeight="1" x14ac:dyDescent="0.2">
      <c r="B43" s="101"/>
      <c r="C43" s="71"/>
      <c r="D43" s="102"/>
      <c r="E43" s="103"/>
    </row>
    <row r="44" spans="2:5" ht="15" customHeight="1" x14ac:dyDescent="0.2">
      <c r="B44" s="101"/>
      <c r="C44" s="71"/>
      <c r="D44" s="102"/>
      <c r="E44" s="103"/>
    </row>
    <row r="45" spans="2:5" ht="15" customHeight="1" x14ac:dyDescent="0.2">
      <c r="B45" s="101"/>
      <c r="C45" s="71"/>
      <c r="D45" s="102"/>
      <c r="E45" s="103"/>
    </row>
    <row r="46" spans="2:5" ht="15" hidden="1" customHeight="1" x14ac:dyDescent="0.2">
      <c r="B46" s="101"/>
      <c r="C46" s="71"/>
      <c r="D46" s="102"/>
      <c r="E46" s="103"/>
    </row>
    <row r="47" spans="2:5" ht="15" hidden="1" customHeight="1" x14ac:dyDescent="0.2">
      <c r="B47" s="101"/>
      <c r="C47" s="71"/>
      <c r="D47" s="102"/>
      <c r="E47" s="103"/>
    </row>
    <row r="48" spans="2:5" ht="15" customHeight="1" x14ac:dyDescent="0.2">
      <c r="B48" s="101"/>
      <c r="C48" s="71"/>
      <c r="D48" s="102"/>
      <c r="E48" s="103"/>
    </row>
    <row r="49" spans="2:5" ht="15" customHeight="1" x14ac:dyDescent="0.2">
      <c r="B49" s="101"/>
      <c r="C49" s="71"/>
      <c r="D49" s="102"/>
      <c r="E49" s="103"/>
    </row>
    <row r="50" spans="2:5" ht="15" hidden="1" customHeight="1" x14ac:dyDescent="0.2">
      <c r="B50" s="101"/>
      <c r="C50" s="71"/>
      <c r="D50" s="102"/>
      <c r="E50" s="103"/>
    </row>
    <row r="51" spans="2:5" ht="15" hidden="1" customHeight="1" x14ac:dyDescent="0.2">
      <c r="B51" s="101"/>
      <c r="C51" s="71"/>
      <c r="D51" s="102"/>
      <c r="E51" s="103"/>
    </row>
    <row r="52" spans="2:5" ht="15" customHeight="1" x14ac:dyDescent="0.2">
      <c r="B52" s="101"/>
      <c r="C52" s="71"/>
      <c r="D52" s="102"/>
      <c r="E52" s="103"/>
    </row>
    <row r="53" spans="2:5" ht="15" hidden="1" customHeight="1" x14ac:dyDescent="0.2">
      <c r="B53" s="101"/>
      <c r="C53" s="71"/>
      <c r="D53" s="102"/>
      <c r="E53" s="103"/>
    </row>
    <row r="54" spans="2:5" ht="15" customHeight="1" x14ac:dyDescent="0.2">
      <c r="B54" s="101"/>
      <c r="C54" s="71"/>
      <c r="D54" s="102"/>
      <c r="E54" s="103"/>
    </row>
    <row r="55" spans="2:5" ht="15" customHeight="1" x14ac:dyDescent="0.2">
      <c r="B55" s="101"/>
      <c r="C55" s="71"/>
      <c r="D55" s="102"/>
      <c r="E55" s="103"/>
    </row>
    <row r="56" spans="2:5" ht="15" customHeight="1" x14ac:dyDescent="0.2">
      <c r="B56" s="101"/>
      <c r="C56" s="71"/>
      <c r="D56" s="102"/>
      <c r="E56" s="103"/>
    </row>
    <row r="57" spans="2:5" ht="15" customHeight="1" x14ac:dyDescent="0.2">
      <c r="B57" s="101"/>
      <c r="C57" s="71"/>
      <c r="D57" s="102"/>
      <c r="E57" s="103"/>
    </row>
    <row r="58" spans="2:5" ht="15" customHeight="1" x14ac:dyDescent="0.2">
      <c r="B58" s="101"/>
      <c r="C58" s="71"/>
      <c r="D58" s="102"/>
      <c r="E58" s="103"/>
    </row>
    <row r="59" spans="2:5" ht="15" hidden="1" customHeight="1" x14ac:dyDescent="0.2">
      <c r="B59" s="101"/>
      <c r="C59" s="71"/>
      <c r="D59" s="102"/>
      <c r="E59" s="103"/>
    </row>
    <row r="60" spans="2:5" ht="15" customHeight="1" x14ac:dyDescent="0.2">
      <c r="B60" s="101"/>
      <c r="C60" s="71"/>
      <c r="D60" s="102"/>
      <c r="E60" s="103"/>
    </row>
    <row r="61" spans="2:5" ht="15" customHeight="1" x14ac:dyDescent="0.2">
      <c r="B61" s="101"/>
      <c r="C61" s="71"/>
      <c r="D61" s="102"/>
      <c r="E61" s="103"/>
    </row>
    <row r="62" spans="2:5" ht="15" hidden="1" customHeight="1" x14ac:dyDescent="0.2">
      <c r="B62" s="101"/>
      <c r="C62" s="71"/>
      <c r="D62" s="102"/>
      <c r="E62" s="103"/>
    </row>
    <row r="63" spans="2:5" ht="15" customHeight="1" x14ac:dyDescent="0.2">
      <c r="B63" s="101"/>
      <c r="C63" s="71"/>
      <c r="D63" s="102"/>
      <c r="E63" s="103"/>
    </row>
    <row r="64" spans="2:5" ht="15" customHeight="1" x14ac:dyDescent="0.2">
      <c r="B64" s="101"/>
      <c r="C64" s="71"/>
      <c r="D64" s="102"/>
      <c r="E64" s="103"/>
    </row>
    <row r="65" spans="2:5" ht="15" customHeight="1" x14ac:dyDescent="0.2">
      <c r="B65" s="101"/>
      <c r="C65" s="71"/>
      <c r="D65" s="102"/>
      <c r="E65" s="103"/>
    </row>
    <row r="66" spans="2:5" ht="15" hidden="1" customHeight="1" x14ac:dyDescent="0.2">
      <c r="B66" s="101"/>
      <c r="C66" s="71"/>
      <c r="D66" s="102"/>
      <c r="E66" s="103"/>
    </row>
    <row r="67" spans="2:5" ht="15" hidden="1" customHeight="1" x14ac:dyDescent="0.2">
      <c r="B67" s="101"/>
      <c r="C67" s="71"/>
      <c r="D67" s="102"/>
      <c r="E67" s="103"/>
    </row>
    <row r="68" spans="2:5" ht="15" customHeight="1" x14ac:dyDescent="0.2">
      <c r="B68" s="101"/>
      <c r="C68" s="71"/>
      <c r="D68" s="102"/>
      <c r="E68" s="103"/>
    </row>
    <row r="69" spans="2:5" ht="15" hidden="1" customHeight="1" x14ac:dyDescent="0.2">
      <c r="B69" s="101"/>
      <c r="C69" s="71"/>
      <c r="D69" s="102"/>
      <c r="E69" s="103"/>
    </row>
    <row r="70" spans="2:5" ht="15" hidden="1" customHeight="1" x14ac:dyDescent="0.2">
      <c r="B70" s="101"/>
      <c r="C70" s="71"/>
      <c r="D70" s="102"/>
      <c r="E70" s="103"/>
    </row>
    <row r="71" spans="2:5" ht="15" hidden="1" customHeight="1" x14ac:dyDescent="0.2">
      <c r="B71" s="101"/>
      <c r="C71" s="71"/>
      <c r="D71" s="102"/>
      <c r="E71" s="103"/>
    </row>
    <row r="72" spans="2:5" ht="15" customHeight="1" x14ac:dyDescent="0.2">
      <c r="B72" s="101"/>
      <c r="C72" s="71"/>
      <c r="D72" s="102"/>
      <c r="E72" s="103"/>
    </row>
    <row r="73" spans="2:5" ht="15" hidden="1" customHeight="1" x14ac:dyDescent="0.2">
      <c r="B73" s="101"/>
      <c r="C73" s="71"/>
      <c r="D73" s="102"/>
      <c r="E73" s="103"/>
    </row>
    <row r="74" spans="2:5" ht="15" customHeight="1" x14ac:dyDescent="0.2">
      <c r="B74" s="101"/>
      <c r="C74" s="71"/>
      <c r="D74" s="102"/>
      <c r="E74" s="103"/>
    </row>
    <row r="75" spans="2:5" ht="15" customHeight="1" x14ac:dyDescent="0.2">
      <c r="B75" s="101"/>
      <c r="C75" s="71"/>
      <c r="D75" s="102"/>
      <c r="E75" s="103"/>
    </row>
    <row r="76" spans="2:5" ht="15" customHeight="1" x14ac:dyDescent="0.2">
      <c r="B76" s="101"/>
      <c r="C76" s="71"/>
      <c r="D76" s="102"/>
      <c r="E76" s="103"/>
    </row>
    <row r="77" spans="2:5" ht="15" customHeight="1" x14ac:dyDescent="0.2">
      <c r="B77" s="101"/>
      <c r="C77" s="71"/>
      <c r="D77" s="102"/>
      <c r="E77" s="103"/>
    </row>
    <row r="78" spans="2:5" ht="15" hidden="1" customHeight="1" x14ac:dyDescent="0.2">
      <c r="B78" s="101"/>
      <c r="C78" s="71"/>
      <c r="D78" s="102"/>
      <c r="E78" s="103"/>
    </row>
    <row r="79" spans="2:5" ht="15" hidden="1" customHeight="1" x14ac:dyDescent="0.2">
      <c r="B79" s="101"/>
      <c r="C79" s="71"/>
      <c r="D79" s="102"/>
      <c r="E79" s="103"/>
    </row>
    <row r="80" spans="2:5" ht="15" customHeight="1" x14ac:dyDescent="0.2">
      <c r="B80" s="101"/>
      <c r="C80" s="71"/>
      <c r="D80" s="102"/>
      <c r="E80" s="103"/>
    </row>
    <row r="81" spans="2:5" ht="15" hidden="1" customHeight="1" x14ac:dyDescent="0.2">
      <c r="B81" s="101"/>
      <c r="C81" s="71"/>
      <c r="D81" s="102"/>
      <c r="E81" s="103"/>
    </row>
    <row r="82" spans="2:5" ht="15" hidden="1" customHeight="1" x14ac:dyDescent="0.2">
      <c r="B82" s="101"/>
      <c r="C82" s="71"/>
      <c r="D82" s="102"/>
      <c r="E82" s="103"/>
    </row>
    <row r="83" spans="2:5" ht="15" customHeight="1" x14ac:dyDescent="0.2">
      <c r="B83" s="101"/>
      <c r="C83" s="71"/>
      <c r="D83" s="102"/>
      <c r="E83" s="103"/>
    </row>
    <row r="84" spans="2:5" ht="15" customHeight="1" x14ac:dyDescent="0.2">
      <c r="B84" s="101"/>
      <c r="C84" s="71"/>
      <c r="D84" s="102"/>
      <c r="E84" s="103"/>
    </row>
    <row r="85" spans="2:5" ht="15" hidden="1" customHeight="1" x14ac:dyDescent="0.2">
      <c r="B85" s="101"/>
      <c r="C85" s="71"/>
      <c r="D85" s="102"/>
      <c r="E85" s="103"/>
    </row>
    <row r="86" spans="2:5" ht="15" hidden="1" customHeight="1" x14ac:dyDescent="0.2">
      <c r="B86" s="101"/>
      <c r="C86" s="71"/>
      <c r="D86" s="102"/>
      <c r="E86" s="103"/>
    </row>
    <row r="87" spans="2:5" ht="15" customHeight="1" x14ac:dyDescent="0.2">
      <c r="B87" s="101"/>
      <c r="C87" s="71"/>
      <c r="D87" s="102"/>
      <c r="E87" s="103"/>
    </row>
    <row r="88" spans="2:5" ht="15" hidden="1" customHeight="1" x14ac:dyDescent="0.2">
      <c r="B88" s="101"/>
      <c r="C88" s="71"/>
      <c r="D88" s="102"/>
      <c r="E88" s="103"/>
    </row>
    <row r="89" spans="2:5" ht="15" customHeight="1" x14ac:dyDescent="0.2">
      <c r="B89" s="101"/>
      <c r="C89" s="71"/>
      <c r="D89" s="102"/>
      <c r="E89" s="103"/>
    </row>
    <row r="90" spans="2:5" ht="15" hidden="1" customHeight="1" x14ac:dyDescent="0.2">
      <c r="B90" s="101"/>
      <c r="C90" s="71"/>
      <c r="D90" s="102"/>
      <c r="E90" s="103"/>
    </row>
    <row r="91" spans="2:5" ht="15" hidden="1" customHeight="1" x14ac:dyDescent="0.2">
      <c r="B91" s="101"/>
      <c r="C91" s="71"/>
      <c r="D91" s="102"/>
      <c r="E91" s="103"/>
    </row>
    <row r="92" spans="2:5" ht="15" customHeight="1" x14ac:dyDescent="0.2">
      <c r="B92" s="101"/>
      <c r="C92" s="71"/>
      <c r="D92" s="102"/>
      <c r="E92" s="103"/>
    </row>
    <row r="93" spans="2:5" ht="15" hidden="1" customHeight="1" x14ac:dyDescent="0.2">
      <c r="B93" s="101"/>
      <c r="C93" s="71"/>
      <c r="D93" s="102"/>
      <c r="E93" s="103"/>
    </row>
    <row r="94" spans="2:5" ht="15" customHeight="1" x14ac:dyDescent="0.2">
      <c r="B94" s="101"/>
      <c r="C94" s="71"/>
      <c r="D94" s="102"/>
      <c r="E94" s="103"/>
    </row>
    <row r="95" spans="2:5" ht="15" hidden="1" customHeight="1" x14ac:dyDescent="0.2">
      <c r="B95" s="101"/>
      <c r="C95" s="71"/>
      <c r="D95" s="102"/>
      <c r="E95" s="103"/>
    </row>
    <row r="96" spans="2:5" ht="15" customHeight="1" x14ac:dyDescent="0.2">
      <c r="B96" s="101"/>
      <c r="C96" s="71"/>
      <c r="D96" s="102"/>
      <c r="E96" s="103"/>
    </row>
    <row r="97" spans="2:5" ht="15" customHeight="1" x14ac:dyDescent="0.2">
      <c r="B97" s="101"/>
      <c r="C97" s="71"/>
      <c r="D97" s="102"/>
      <c r="E97" s="103"/>
    </row>
    <row r="98" spans="2:5" ht="15" customHeight="1" x14ac:dyDescent="0.2">
      <c r="B98" s="101"/>
      <c r="C98" s="71"/>
      <c r="D98" s="102"/>
      <c r="E98" s="103"/>
    </row>
    <row r="99" spans="2:5" ht="15" hidden="1" customHeight="1" x14ac:dyDescent="0.2">
      <c r="B99" s="101"/>
      <c r="C99" s="71"/>
      <c r="D99" s="102"/>
      <c r="E99" s="103"/>
    </row>
    <row r="100" spans="2:5" ht="15" hidden="1" customHeight="1" x14ac:dyDescent="0.2">
      <c r="B100" s="101"/>
      <c r="C100" s="71"/>
      <c r="D100" s="102"/>
      <c r="E100" s="103"/>
    </row>
    <row r="101" spans="2:5" ht="15" customHeight="1" x14ac:dyDescent="0.2">
      <c r="B101" s="101"/>
      <c r="C101" s="71"/>
      <c r="D101" s="102"/>
      <c r="E101" s="103"/>
    </row>
    <row r="102" spans="2:5" ht="15" hidden="1" customHeight="1" x14ac:dyDescent="0.2">
      <c r="B102" s="101"/>
      <c r="C102" s="71"/>
      <c r="D102" s="102"/>
      <c r="E102" s="103"/>
    </row>
    <row r="103" spans="2:5" ht="15" customHeight="1" x14ac:dyDescent="0.2">
      <c r="B103" s="101"/>
      <c r="C103" s="71"/>
      <c r="D103" s="102"/>
      <c r="E103" s="103"/>
    </row>
    <row r="104" spans="2:5" ht="15" hidden="1" customHeight="1" x14ac:dyDescent="0.2">
      <c r="B104" s="101"/>
      <c r="C104" s="71"/>
      <c r="D104" s="102"/>
      <c r="E104" s="103"/>
    </row>
    <row r="105" spans="2:5" ht="15" customHeight="1" x14ac:dyDescent="0.2">
      <c r="B105" s="101"/>
      <c r="C105" s="71"/>
      <c r="D105" s="102"/>
      <c r="E105" s="103"/>
    </row>
    <row r="106" spans="2:5" ht="15" customHeight="1" x14ac:dyDescent="0.2">
      <c r="B106" s="101"/>
      <c r="C106" s="71"/>
      <c r="D106" s="102"/>
      <c r="E106" s="103"/>
    </row>
    <row r="107" spans="2:5" ht="15" customHeight="1" x14ac:dyDescent="0.2">
      <c r="B107" s="101"/>
      <c r="C107" s="71"/>
      <c r="D107" s="102"/>
      <c r="E107" s="103"/>
    </row>
    <row r="108" spans="2:5" ht="15" customHeight="1" x14ac:dyDescent="0.2">
      <c r="B108" s="101"/>
      <c r="C108" s="71"/>
      <c r="D108" s="102"/>
      <c r="E108" s="103"/>
    </row>
    <row r="109" spans="2:5" ht="15" hidden="1" customHeight="1" x14ac:dyDescent="0.2">
      <c r="B109" s="101"/>
      <c r="C109" s="71"/>
      <c r="D109" s="102"/>
      <c r="E109" s="103"/>
    </row>
    <row r="110" spans="2:5" ht="15" customHeight="1" x14ac:dyDescent="0.2">
      <c r="B110" s="101"/>
      <c r="C110" s="71"/>
      <c r="D110" s="102"/>
      <c r="E110" s="103"/>
    </row>
    <row r="111" spans="2:5" ht="15" customHeight="1" x14ac:dyDescent="0.2">
      <c r="B111" s="101"/>
      <c r="C111" s="71"/>
      <c r="D111" s="102"/>
      <c r="E111" s="103"/>
    </row>
    <row r="112" spans="2:5" ht="15" customHeight="1" x14ac:dyDescent="0.2">
      <c r="B112" s="101"/>
      <c r="C112" s="71"/>
      <c r="D112" s="102"/>
      <c r="E112" s="103"/>
    </row>
    <row r="113" spans="2:5" ht="15" customHeight="1" x14ac:dyDescent="0.2">
      <c r="B113" s="101"/>
      <c r="C113" s="71"/>
      <c r="D113" s="102"/>
      <c r="E113" s="103"/>
    </row>
    <row r="114" spans="2:5" ht="15" customHeight="1" x14ac:dyDescent="0.2">
      <c r="B114" s="101"/>
      <c r="C114" s="71"/>
      <c r="D114" s="102"/>
      <c r="E114" s="103"/>
    </row>
    <row r="115" spans="2:5" ht="15" customHeight="1" x14ac:dyDescent="0.2">
      <c r="B115" s="101"/>
      <c r="C115" s="71"/>
      <c r="D115" s="102"/>
      <c r="E115" s="103"/>
    </row>
    <row r="116" spans="2:5" ht="15" customHeight="1" x14ac:dyDescent="0.2">
      <c r="B116" s="101"/>
      <c r="C116" s="71"/>
      <c r="D116" s="102"/>
      <c r="E116" s="103"/>
    </row>
    <row r="117" spans="2:5" ht="15" customHeight="1" x14ac:dyDescent="0.2">
      <c r="B117" s="101"/>
      <c r="C117" s="71"/>
      <c r="D117" s="102"/>
      <c r="E117" s="103"/>
    </row>
    <row r="118" spans="2:5" ht="15" customHeight="1" x14ac:dyDescent="0.2">
      <c r="B118" s="101"/>
      <c r="C118" s="71"/>
      <c r="D118" s="102"/>
      <c r="E118" s="103"/>
    </row>
    <row r="119" spans="2:5" ht="15" customHeight="1" x14ac:dyDescent="0.2">
      <c r="B119" s="101"/>
      <c r="C119" s="71"/>
      <c r="D119" s="102"/>
      <c r="E119" s="103"/>
    </row>
    <row r="120" spans="2:5" ht="15" customHeight="1" x14ac:dyDescent="0.2">
      <c r="B120" s="101"/>
      <c r="C120" s="71"/>
      <c r="D120" s="102"/>
      <c r="E120" s="103"/>
    </row>
    <row r="121" spans="2:5" ht="15" customHeight="1" x14ac:dyDescent="0.2">
      <c r="B121" s="102"/>
      <c r="C121" s="71"/>
      <c r="D121" s="102"/>
      <c r="E121" s="102"/>
    </row>
    <row r="122" spans="2:5" x14ac:dyDescent="0.2">
      <c r="B122" s="102"/>
      <c r="C122" s="71"/>
      <c r="D122" s="102"/>
      <c r="E122" s="102"/>
    </row>
    <row r="123" spans="2:5" x14ac:dyDescent="0.2">
      <c r="B123" s="102"/>
      <c r="C123" s="71"/>
      <c r="D123" s="102"/>
      <c r="E123" s="102"/>
    </row>
    <row r="124" spans="2:5" x14ac:dyDescent="0.2">
      <c r="B124" s="102"/>
      <c r="C124" s="71"/>
      <c r="D124" s="102"/>
      <c r="E124" s="102"/>
    </row>
    <row r="125" spans="2:5" x14ac:dyDescent="0.2">
      <c r="B125" s="102"/>
      <c r="C125" s="71"/>
      <c r="D125" s="102"/>
      <c r="E125" s="102"/>
    </row>
    <row r="126" spans="2:5" x14ac:dyDescent="0.2">
      <c r="B126" s="102"/>
      <c r="C126" s="71"/>
      <c r="D126" s="102"/>
      <c r="E126" s="102"/>
    </row>
    <row r="127" spans="2:5" x14ac:dyDescent="0.2">
      <c r="B127" s="102"/>
      <c r="C127" s="71"/>
      <c r="D127" s="102"/>
      <c r="E127" s="102"/>
    </row>
    <row r="128" spans="2:5" x14ac:dyDescent="0.2">
      <c r="B128" s="102"/>
      <c r="C128" s="71"/>
      <c r="D128" s="102"/>
      <c r="E128" s="102"/>
    </row>
    <row r="129" spans="2:5" x14ac:dyDescent="0.2">
      <c r="B129" s="102"/>
      <c r="C129" s="71"/>
      <c r="D129" s="102"/>
      <c r="E129" s="102"/>
    </row>
    <row r="130" spans="2:5" x14ac:dyDescent="0.2">
      <c r="B130" s="102"/>
      <c r="C130" s="71"/>
      <c r="D130" s="102"/>
      <c r="E130" s="102"/>
    </row>
    <row r="131" spans="2:5" x14ac:dyDescent="0.2">
      <c r="B131" s="102"/>
      <c r="C131" s="33"/>
      <c r="D131" s="102"/>
      <c r="E131" s="102"/>
    </row>
    <row r="132" spans="2:5" x14ac:dyDescent="0.2">
      <c r="B132" s="102"/>
      <c r="C132" s="102"/>
      <c r="D132" s="102"/>
      <c r="E132" s="102"/>
    </row>
    <row r="133" spans="2:5" x14ac:dyDescent="0.2">
      <c r="B133" s="102"/>
      <c r="C133" s="102"/>
      <c r="D133" s="102"/>
      <c r="E133" s="102"/>
    </row>
    <row r="134" spans="2:5" x14ac:dyDescent="0.2">
      <c r="B134" s="102"/>
      <c r="C134" s="102"/>
      <c r="D134" s="102"/>
      <c r="E134" s="102"/>
    </row>
    <row r="135" spans="2:5" x14ac:dyDescent="0.2">
      <c r="B135" s="102"/>
      <c r="C135" s="102"/>
      <c r="D135" s="102"/>
      <c r="E135" s="102"/>
    </row>
    <row r="136" spans="2:5" x14ac:dyDescent="0.2">
      <c r="B136" s="102"/>
      <c r="C136" s="102"/>
      <c r="D136" s="102"/>
      <c r="E136" s="102"/>
    </row>
    <row r="137" spans="2:5" x14ac:dyDescent="0.2">
      <c r="B137" s="102"/>
      <c r="C137" s="102"/>
      <c r="D137" s="102"/>
      <c r="E137" s="102"/>
    </row>
    <row r="138" spans="2:5" x14ac:dyDescent="0.2">
      <c r="B138" s="102"/>
      <c r="C138" s="102"/>
      <c r="D138" s="102"/>
      <c r="E138" s="102"/>
    </row>
    <row r="139" spans="2:5" x14ac:dyDescent="0.2">
      <c r="B139" s="102"/>
      <c r="C139" s="102"/>
      <c r="D139" s="102"/>
      <c r="E139" s="102"/>
    </row>
    <row r="140" spans="2:5" x14ac:dyDescent="0.2">
      <c r="B140" s="102"/>
      <c r="C140" s="102"/>
      <c r="D140" s="102"/>
      <c r="E140" s="102"/>
    </row>
    <row r="141" spans="2:5" x14ac:dyDescent="0.2">
      <c r="B141" s="102"/>
      <c r="C141" s="102"/>
      <c r="D141" s="102"/>
      <c r="E141" s="102"/>
    </row>
    <row r="142" spans="2:5" x14ac:dyDescent="0.2">
      <c r="B142" s="102"/>
      <c r="C142" s="102"/>
      <c r="D142" s="102"/>
      <c r="E142" s="102"/>
    </row>
    <row r="143" spans="2:5" x14ac:dyDescent="0.2">
      <c r="B143" s="102"/>
      <c r="C143" s="102"/>
      <c r="D143" s="102"/>
      <c r="E143" s="102"/>
    </row>
    <row r="144" spans="2:5" x14ac:dyDescent="0.2">
      <c r="B144" s="102"/>
      <c r="C144" s="102"/>
      <c r="D144" s="102"/>
      <c r="E144" s="102"/>
    </row>
    <row r="145" spans="2:5" x14ac:dyDescent="0.2">
      <c r="B145" s="102"/>
      <c r="C145" s="102"/>
      <c r="D145" s="102"/>
      <c r="E145" s="102"/>
    </row>
    <row r="146" spans="2:5" x14ac:dyDescent="0.2">
      <c r="B146" s="102"/>
      <c r="C146" s="102"/>
      <c r="D146" s="102"/>
      <c r="E146" s="102"/>
    </row>
    <row r="147" spans="2:5" x14ac:dyDescent="0.2">
      <c r="B147" s="102"/>
      <c r="C147" s="102"/>
      <c r="D147" s="102"/>
      <c r="E147" s="102"/>
    </row>
    <row r="148" spans="2:5" x14ac:dyDescent="0.2">
      <c r="B148" s="102"/>
      <c r="C148" s="102"/>
      <c r="D148" s="102"/>
      <c r="E148" s="102"/>
    </row>
    <row r="149" spans="2:5" x14ac:dyDescent="0.2">
      <c r="B149" s="102"/>
      <c r="C149" s="102"/>
      <c r="D149" s="102"/>
      <c r="E149" s="102"/>
    </row>
    <row r="150" spans="2:5" x14ac:dyDescent="0.2">
      <c r="B150" s="102"/>
      <c r="C150" s="102"/>
      <c r="D150" s="102"/>
      <c r="E150" s="102"/>
    </row>
    <row r="151" spans="2:5" x14ac:dyDescent="0.2">
      <c r="B151" s="102"/>
      <c r="C151" s="102"/>
      <c r="D151" s="102"/>
      <c r="E151" s="102"/>
    </row>
    <row r="152" spans="2:5" x14ac:dyDescent="0.2">
      <c r="B152" s="102"/>
      <c r="C152" s="102"/>
      <c r="D152" s="102"/>
      <c r="E152" s="102"/>
    </row>
    <row r="153" spans="2:5" x14ac:dyDescent="0.2">
      <c r="B153" s="102"/>
      <c r="C153" s="102"/>
      <c r="D153" s="102"/>
      <c r="E153" s="102"/>
    </row>
    <row r="154" spans="2:5" x14ac:dyDescent="0.2">
      <c r="B154" s="102"/>
      <c r="C154" s="102"/>
      <c r="D154" s="102"/>
      <c r="E154" s="102"/>
    </row>
    <row r="155" spans="2:5" x14ac:dyDescent="0.2">
      <c r="B155" s="102"/>
      <c r="C155" s="102"/>
      <c r="D155" s="102"/>
      <c r="E155" s="102"/>
    </row>
    <row r="156" spans="2:5" x14ac:dyDescent="0.2">
      <c r="B156" s="102"/>
      <c r="C156" s="102"/>
      <c r="D156" s="102"/>
      <c r="E156" s="102"/>
    </row>
    <row r="157" spans="2:5" x14ac:dyDescent="0.2">
      <c r="B157" s="102"/>
      <c r="C157" s="102"/>
      <c r="D157" s="102"/>
      <c r="E157" s="102"/>
    </row>
    <row r="158" spans="2:5" x14ac:dyDescent="0.2">
      <c r="B158" s="102"/>
      <c r="C158" s="102"/>
      <c r="D158" s="102"/>
      <c r="E158" s="102"/>
    </row>
    <row r="159" spans="2:5" x14ac:dyDescent="0.2">
      <c r="B159" s="102"/>
      <c r="C159" s="102"/>
      <c r="D159" s="102"/>
      <c r="E159" s="102"/>
    </row>
    <row r="160" spans="2:5" x14ac:dyDescent="0.2">
      <c r="B160" s="102"/>
      <c r="C160" s="102"/>
      <c r="D160" s="102"/>
      <c r="E160" s="102"/>
    </row>
    <row r="161" spans="2:5" x14ac:dyDescent="0.2">
      <c r="B161" s="102"/>
      <c r="C161" s="102"/>
      <c r="D161" s="102"/>
      <c r="E161" s="102"/>
    </row>
    <row r="162" spans="2:5" x14ac:dyDescent="0.2">
      <c r="B162" s="102"/>
      <c r="C162" s="102"/>
      <c r="D162" s="102"/>
      <c r="E162" s="102"/>
    </row>
    <row r="163" spans="2:5" x14ac:dyDescent="0.2">
      <c r="B163" s="102"/>
      <c r="C163" s="102"/>
      <c r="D163" s="102"/>
      <c r="E163" s="102"/>
    </row>
    <row r="164" spans="2:5" x14ac:dyDescent="0.2">
      <c r="B164" s="102"/>
      <c r="C164" s="102"/>
      <c r="D164" s="102"/>
      <c r="E164" s="102"/>
    </row>
    <row r="165" spans="2:5" x14ac:dyDescent="0.2">
      <c r="B165" s="102"/>
      <c r="C165" s="102"/>
      <c r="D165" s="102"/>
      <c r="E165" s="102"/>
    </row>
    <row r="166" spans="2:5" x14ac:dyDescent="0.2">
      <c r="B166" s="102"/>
      <c r="C166" s="102"/>
      <c r="D166" s="102"/>
      <c r="E166" s="102"/>
    </row>
    <row r="167" spans="2:5" x14ac:dyDescent="0.2">
      <c r="B167" s="102"/>
      <c r="C167" s="102"/>
      <c r="D167" s="102"/>
      <c r="E167" s="102"/>
    </row>
    <row r="168" spans="2:5" x14ac:dyDescent="0.2">
      <c r="B168" s="102"/>
      <c r="C168" s="102"/>
      <c r="D168" s="102"/>
      <c r="E168" s="102"/>
    </row>
    <row r="169" spans="2:5" x14ac:dyDescent="0.2">
      <c r="B169" s="102"/>
      <c r="C169" s="102"/>
      <c r="D169" s="102"/>
      <c r="E169" s="102"/>
    </row>
    <row r="170" spans="2:5" x14ac:dyDescent="0.2">
      <c r="B170" s="102"/>
      <c r="C170" s="102"/>
      <c r="D170" s="102"/>
      <c r="E170" s="102"/>
    </row>
    <row r="171" spans="2:5" x14ac:dyDescent="0.2">
      <c r="B171" s="102"/>
      <c r="C171" s="102"/>
      <c r="D171" s="102"/>
      <c r="E171" s="102"/>
    </row>
    <row r="172" spans="2:5" x14ac:dyDescent="0.2">
      <c r="B172" s="102"/>
      <c r="C172" s="102"/>
      <c r="D172" s="102"/>
      <c r="E172" s="102"/>
    </row>
    <row r="173" spans="2:5" x14ac:dyDescent="0.2">
      <c r="B173" s="102"/>
      <c r="C173" s="102"/>
      <c r="D173" s="102"/>
      <c r="E173" s="102"/>
    </row>
    <row r="174" spans="2:5" x14ac:dyDescent="0.2">
      <c r="B174" s="102"/>
      <c r="C174" s="102"/>
      <c r="D174" s="102"/>
      <c r="E174" s="102"/>
    </row>
    <row r="175" spans="2:5" x14ac:dyDescent="0.2">
      <c r="B175" s="102"/>
      <c r="C175" s="102"/>
      <c r="D175" s="102"/>
      <c r="E175" s="102"/>
    </row>
    <row r="176" spans="2:5" x14ac:dyDescent="0.2">
      <c r="B176" s="102"/>
      <c r="C176" s="102"/>
      <c r="D176" s="102"/>
      <c r="E176" s="102"/>
    </row>
    <row r="177" spans="2:5" x14ac:dyDescent="0.2">
      <c r="B177" s="102"/>
      <c r="C177" s="102"/>
      <c r="D177" s="102"/>
      <c r="E177" s="102"/>
    </row>
    <row r="178" spans="2:5" x14ac:dyDescent="0.2">
      <c r="B178" s="102"/>
      <c r="C178" s="102"/>
      <c r="D178" s="102"/>
      <c r="E178" s="102"/>
    </row>
    <row r="179" spans="2:5" x14ac:dyDescent="0.2">
      <c r="B179" s="102"/>
      <c r="C179" s="102"/>
      <c r="D179" s="102"/>
      <c r="E179" s="102"/>
    </row>
    <row r="180" spans="2:5" x14ac:dyDescent="0.2">
      <c r="B180" s="102"/>
      <c r="C180" s="102"/>
      <c r="D180" s="102"/>
      <c r="E180" s="102"/>
    </row>
    <row r="181" spans="2:5" x14ac:dyDescent="0.2">
      <c r="B181" s="102"/>
      <c r="C181" s="102"/>
      <c r="D181" s="102"/>
      <c r="E181" s="102"/>
    </row>
    <row r="182" spans="2:5" x14ac:dyDescent="0.2">
      <c r="B182" s="102"/>
      <c r="C182" s="102"/>
      <c r="D182" s="102"/>
      <c r="E182" s="102"/>
    </row>
    <row r="183" spans="2:5" x14ac:dyDescent="0.2">
      <c r="B183" s="102"/>
      <c r="C183" s="102"/>
      <c r="D183" s="102"/>
      <c r="E183" s="102"/>
    </row>
    <row r="184" spans="2:5" x14ac:dyDescent="0.2">
      <c r="B184" s="102"/>
      <c r="C184" s="102"/>
      <c r="D184" s="102"/>
      <c r="E184" s="102"/>
    </row>
    <row r="185" spans="2:5" x14ac:dyDescent="0.2">
      <c r="B185" s="102"/>
      <c r="C185" s="102"/>
      <c r="D185" s="102"/>
      <c r="E185" s="102"/>
    </row>
    <row r="186" spans="2:5" x14ac:dyDescent="0.2">
      <c r="B186" s="102"/>
      <c r="C186" s="102"/>
      <c r="D186" s="102"/>
      <c r="E186" s="102"/>
    </row>
    <row r="187" spans="2:5" x14ac:dyDescent="0.2">
      <c r="B187" s="102"/>
      <c r="C187" s="102"/>
      <c r="D187" s="102"/>
      <c r="E187" s="102"/>
    </row>
    <row r="188" spans="2:5" x14ac:dyDescent="0.2">
      <c r="B188" s="102"/>
      <c r="C188" s="102"/>
      <c r="D188" s="102"/>
      <c r="E188" s="102"/>
    </row>
    <row r="189" spans="2:5" x14ac:dyDescent="0.2">
      <c r="B189" s="102"/>
      <c r="C189" s="102"/>
      <c r="D189" s="102"/>
      <c r="E189" s="102"/>
    </row>
    <row r="190" spans="2:5" x14ac:dyDescent="0.2">
      <c r="B190" s="102"/>
      <c r="C190" s="102"/>
      <c r="D190" s="102"/>
      <c r="E190" s="102"/>
    </row>
    <row r="191" spans="2:5" x14ac:dyDescent="0.2">
      <c r="B191" s="102"/>
      <c r="C191" s="102"/>
      <c r="D191" s="102"/>
      <c r="E191" s="102"/>
    </row>
    <row r="192" spans="2:5" x14ac:dyDescent="0.2">
      <c r="B192" s="102"/>
      <c r="C192" s="102"/>
      <c r="D192" s="102"/>
      <c r="E192" s="102"/>
    </row>
    <row r="193" spans="2:5" x14ac:dyDescent="0.2">
      <c r="B193" s="102"/>
      <c r="C193" s="102"/>
      <c r="D193" s="102"/>
      <c r="E193" s="102"/>
    </row>
    <row r="194" spans="2:5" x14ac:dyDescent="0.2">
      <c r="B194" s="102"/>
      <c r="C194" s="102"/>
      <c r="D194" s="102"/>
      <c r="E194" s="102"/>
    </row>
    <row r="195" spans="2:5" x14ac:dyDescent="0.2">
      <c r="B195" s="102"/>
      <c r="C195" s="102"/>
      <c r="D195" s="102"/>
      <c r="E195" s="102"/>
    </row>
    <row r="196" spans="2:5" x14ac:dyDescent="0.2">
      <c r="B196" s="102"/>
      <c r="C196" s="102"/>
      <c r="D196" s="102"/>
      <c r="E196" s="102"/>
    </row>
    <row r="197" spans="2:5" x14ac:dyDescent="0.2">
      <c r="B197" s="102"/>
      <c r="C197" s="102"/>
      <c r="D197" s="102"/>
      <c r="E197" s="102"/>
    </row>
    <row r="198" spans="2:5" x14ac:dyDescent="0.2">
      <c r="B198" s="102"/>
      <c r="C198" s="102"/>
      <c r="D198" s="102"/>
      <c r="E198" s="102"/>
    </row>
    <row r="199" spans="2:5" x14ac:dyDescent="0.2">
      <c r="B199" s="102"/>
      <c r="C199" s="102"/>
      <c r="D199" s="102"/>
      <c r="E199" s="102"/>
    </row>
    <row r="200" spans="2:5" x14ac:dyDescent="0.2">
      <c r="B200" s="102"/>
      <c r="C200" s="102"/>
      <c r="D200" s="102"/>
      <c r="E200" s="102"/>
    </row>
    <row r="201" spans="2:5" x14ac:dyDescent="0.2">
      <c r="B201" s="102"/>
      <c r="C201" s="102"/>
      <c r="D201" s="102"/>
      <c r="E201" s="102"/>
    </row>
    <row r="202" spans="2:5" x14ac:dyDescent="0.2">
      <c r="B202" s="102"/>
      <c r="C202" s="102"/>
      <c r="D202" s="102"/>
      <c r="E202" s="102"/>
    </row>
    <row r="203" spans="2:5" x14ac:dyDescent="0.2">
      <c r="B203" s="102"/>
      <c r="C203" s="102"/>
      <c r="D203" s="102"/>
      <c r="E203" s="102"/>
    </row>
    <row r="204" spans="2:5" x14ac:dyDescent="0.2">
      <c r="B204" s="102"/>
      <c r="C204" s="102"/>
      <c r="D204" s="102"/>
      <c r="E204" s="102"/>
    </row>
    <row r="205" spans="2:5" x14ac:dyDescent="0.2">
      <c r="B205" s="102"/>
      <c r="C205" s="102"/>
      <c r="D205" s="102"/>
      <c r="E205" s="102"/>
    </row>
    <row r="206" spans="2:5" x14ac:dyDescent="0.2">
      <c r="B206" s="102"/>
      <c r="C206" s="102"/>
      <c r="D206" s="102"/>
      <c r="E206" s="102"/>
    </row>
    <row r="207" spans="2:5" x14ac:dyDescent="0.2">
      <c r="B207" s="102"/>
      <c r="C207" s="102"/>
      <c r="D207" s="102"/>
      <c r="E207" s="102"/>
    </row>
    <row r="208" spans="2:5" x14ac:dyDescent="0.2">
      <c r="B208" s="102"/>
      <c r="C208" s="102"/>
      <c r="D208" s="102"/>
      <c r="E208" s="102"/>
    </row>
    <row r="209" spans="2:5" x14ac:dyDescent="0.2">
      <c r="B209" s="102"/>
      <c r="C209" s="102"/>
      <c r="D209" s="102"/>
      <c r="E209" s="102"/>
    </row>
    <row r="210" spans="2:5" x14ac:dyDescent="0.2">
      <c r="B210" s="102"/>
      <c r="C210" s="102"/>
      <c r="D210" s="102"/>
      <c r="E210" s="102"/>
    </row>
    <row r="211" spans="2:5" x14ac:dyDescent="0.2">
      <c r="B211" s="102"/>
      <c r="C211" s="102"/>
      <c r="D211" s="102"/>
      <c r="E211" s="102"/>
    </row>
    <row r="212" spans="2:5" x14ac:dyDescent="0.2">
      <c r="B212" s="102"/>
      <c r="C212" s="102"/>
      <c r="D212" s="102"/>
      <c r="E212" s="102"/>
    </row>
    <row r="213" spans="2:5" x14ac:dyDescent="0.2">
      <c r="B213" s="102"/>
      <c r="C213" s="102"/>
      <c r="D213" s="102"/>
      <c r="E213" s="102"/>
    </row>
    <row r="214" spans="2:5" x14ac:dyDescent="0.2">
      <c r="B214" s="102"/>
      <c r="C214" s="102"/>
      <c r="D214" s="102"/>
      <c r="E214" s="102"/>
    </row>
    <row r="215" spans="2:5" x14ac:dyDescent="0.2">
      <c r="B215" s="102"/>
      <c r="C215" s="102"/>
      <c r="D215" s="102"/>
      <c r="E215" s="102"/>
    </row>
    <row r="216" spans="2:5" x14ac:dyDescent="0.2">
      <c r="B216" s="102"/>
      <c r="C216" s="102"/>
      <c r="D216" s="102"/>
      <c r="E216" s="102"/>
    </row>
    <row r="217" spans="2:5" x14ac:dyDescent="0.2">
      <c r="B217" s="102"/>
      <c r="C217" s="102"/>
      <c r="D217" s="102"/>
      <c r="E217" s="102"/>
    </row>
    <row r="218" spans="2:5" x14ac:dyDescent="0.2">
      <c r="B218" s="102"/>
      <c r="C218" s="102"/>
      <c r="D218" s="102"/>
      <c r="E218" s="102"/>
    </row>
    <row r="219" spans="2:5" x14ac:dyDescent="0.2">
      <c r="B219" s="102"/>
      <c r="C219" s="102"/>
      <c r="D219" s="102"/>
      <c r="E219" s="102"/>
    </row>
    <row r="220" spans="2:5" x14ac:dyDescent="0.2">
      <c r="B220" s="102"/>
      <c r="C220" s="102"/>
      <c r="D220" s="102"/>
      <c r="E220" s="102"/>
    </row>
    <row r="221" spans="2:5" x14ac:dyDescent="0.2">
      <c r="B221" s="102"/>
      <c r="C221" s="102"/>
      <c r="D221" s="102"/>
      <c r="E221" s="102"/>
    </row>
    <row r="222" spans="2:5" x14ac:dyDescent="0.2">
      <c r="B222" s="102"/>
      <c r="C222" s="102"/>
      <c r="D222" s="102"/>
      <c r="E222" s="102"/>
    </row>
    <row r="223" spans="2:5" x14ac:dyDescent="0.2">
      <c r="B223" s="102"/>
      <c r="C223" s="102"/>
      <c r="D223" s="102"/>
      <c r="E223" s="102"/>
    </row>
    <row r="224" spans="2:5" x14ac:dyDescent="0.2">
      <c r="B224" s="102"/>
      <c r="C224" s="102"/>
      <c r="D224" s="102"/>
      <c r="E224" s="102"/>
    </row>
    <row r="225" spans="2:5" x14ac:dyDescent="0.2">
      <c r="B225" s="102"/>
      <c r="C225" s="102"/>
      <c r="D225" s="102"/>
      <c r="E225" s="102"/>
    </row>
    <row r="226" spans="2:5" x14ac:dyDescent="0.2">
      <c r="B226" s="102"/>
      <c r="C226" s="102"/>
      <c r="D226" s="102"/>
      <c r="E226" s="102"/>
    </row>
    <row r="227" spans="2:5" x14ac:dyDescent="0.2">
      <c r="B227" s="102"/>
      <c r="C227" s="102"/>
      <c r="D227" s="102"/>
      <c r="E227" s="102"/>
    </row>
    <row r="228" spans="2:5" x14ac:dyDescent="0.2">
      <c r="B228" s="102"/>
      <c r="C228" s="102"/>
      <c r="D228" s="102"/>
      <c r="E228" s="102"/>
    </row>
    <row r="229" spans="2:5" x14ac:dyDescent="0.2">
      <c r="B229" s="102"/>
      <c r="C229" s="102"/>
      <c r="D229" s="102"/>
      <c r="E229" s="102"/>
    </row>
    <row r="230" spans="2:5" x14ac:dyDescent="0.2">
      <c r="B230" s="102"/>
      <c r="C230" s="102"/>
      <c r="D230" s="102"/>
      <c r="E230" s="102"/>
    </row>
    <row r="231" spans="2:5" x14ac:dyDescent="0.2">
      <c r="B231" s="102"/>
      <c r="C231" s="102"/>
      <c r="D231" s="102"/>
      <c r="E231" s="102"/>
    </row>
    <row r="232" spans="2:5" x14ac:dyDescent="0.2">
      <c r="B232" s="102"/>
      <c r="C232" s="102"/>
      <c r="D232" s="102"/>
      <c r="E232" s="102"/>
    </row>
    <row r="233" spans="2:5" x14ac:dyDescent="0.2">
      <c r="B233" s="102"/>
      <c r="C233" s="102"/>
      <c r="D233" s="102"/>
      <c r="E233" s="102"/>
    </row>
    <row r="234" spans="2:5" x14ac:dyDescent="0.2">
      <c r="B234" s="102"/>
      <c r="C234" s="102"/>
      <c r="D234" s="102"/>
      <c r="E234" s="102"/>
    </row>
    <row r="235" spans="2:5" x14ac:dyDescent="0.2">
      <c r="B235" s="102"/>
      <c r="C235" s="102"/>
      <c r="D235" s="102"/>
      <c r="E235" s="102"/>
    </row>
    <row r="236" spans="2:5" x14ac:dyDescent="0.2">
      <c r="B236" s="102"/>
      <c r="C236" s="102"/>
      <c r="D236" s="102"/>
      <c r="E236" s="102"/>
    </row>
    <row r="237" spans="2:5" x14ac:dyDescent="0.2">
      <c r="B237" s="102"/>
      <c r="C237" s="102"/>
      <c r="D237" s="102"/>
      <c r="E237" s="102"/>
    </row>
    <row r="238" spans="2:5" x14ac:dyDescent="0.2">
      <c r="B238" s="102"/>
      <c r="C238" s="102"/>
      <c r="D238" s="102"/>
      <c r="E238" s="102"/>
    </row>
    <row r="239" spans="2:5" x14ac:dyDescent="0.2">
      <c r="B239" s="102"/>
      <c r="C239" s="102"/>
      <c r="D239" s="102"/>
      <c r="E239" s="102"/>
    </row>
    <row r="240" spans="2:5" x14ac:dyDescent="0.2">
      <c r="B240" s="102"/>
      <c r="C240" s="102"/>
      <c r="D240" s="102"/>
      <c r="E240" s="102"/>
    </row>
    <row r="241" spans="2:5" x14ac:dyDescent="0.2">
      <c r="B241" s="102"/>
      <c r="C241" s="102"/>
      <c r="D241" s="102"/>
      <c r="E241" s="102"/>
    </row>
    <row r="242" spans="2:5" x14ac:dyDescent="0.2">
      <c r="B242" s="102"/>
      <c r="C242" s="102"/>
      <c r="D242" s="102"/>
      <c r="E242" s="102"/>
    </row>
    <row r="243" spans="2:5" x14ac:dyDescent="0.2">
      <c r="B243" s="102"/>
      <c r="C243" s="102"/>
      <c r="D243" s="102"/>
      <c r="E243" s="102"/>
    </row>
    <row r="244" spans="2:5" x14ac:dyDescent="0.2">
      <c r="B244" s="102"/>
      <c r="C244" s="102"/>
      <c r="D244" s="102"/>
      <c r="E244" s="102"/>
    </row>
    <row r="245" spans="2:5" x14ac:dyDescent="0.2">
      <c r="B245" s="102"/>
      <c r="C245" s="102"/>
      <c r="D245" s="102"/>
      <c r="E245" s="102"/>
    </row>
    <row r="246" spans="2:5" x14ac:dyDescent="0.2">
      <c r="B246" s="102"/>
      <c r="C246" s="102"/>
      <c r="D246" s="102"/>
      <c r="E246" s="102"/>
    </row>
    <row r="247" spans="2:5" x14ac:dyDescent="0.2">
      <c r="B247" s="102"/>
      <c r="C247" s="102"/>
      <c r="D247" s="102"/>
      <c r="E247" s="102"/>
    </row>
    <row r="248" spans="2:5" x14ac:dyDescent="0.2">
      <c r="B248" s="102"/>
      <c r="C248" s="102"/>
      <c r="D248" s="102"/>
      <c r="E248" s="102"/>
    </row>
    <row r="249" spans="2:5" x14ac:dyDescent="0.2">
      <c r="B249" s="102"/>
      <c r="C249" s="102"/>
      <c r="D249" s="102"/>
      <c r="E249" s="102"/>
    </row>
    <row r="250" spans="2:5" x14ac:dyDescent="0.2">
      <c r="B250" s="102"/>
      <c r="C250" s="102"/>
      <c r="D250" s="102"/>
      <c r="E250" s="102"/>
    </row>
    <row r="251" spans="2:5" x14ac:dyDescent="0.2">
      <c r="B251" s="102"/>
      <c r="C251" s="102"/>
      <c r="D251" s="102"/>
      <c r="E251" s="102"/>
    </row>
    <row r="252" spans="2:5" x14ac:dyDescent="0.2">
      <c r="B252" s="102"/>
      <c r="C252" s="102"/>
      <c r="D252" s="102"/>
      <c r="E252" s="102"/>
    </row>
    <row r="253" spans="2:5" x14ac:dyDescent="0.2">
      <c r="B253" s="102"/>
      <c r="C253" s="102"/>
      <c r="D253" s="102"/>
      <c r="E253" s="102"/>
    </row>
    <row r="254" spans="2:5" x14ac:dyDescent="0.2">
      <c r="B254" s="102"/>
      <c r="C254" s="102"/>
      <c r="D254" s="102"/>
      <c r="E254" s="102"/>
    </row>
    <row r="255" spans="2:5" x14ac:dyDescent="0.2">
      <c r="B255" s="102"/>
      <c r="C255" s="102"/>
      <c r="D255" s="102"/>
      <c r="E255" s="102"/>
    </row>
    <row r="256" spans="2:5" x14ac:dyDescent="0.2">
      <c r="B256" s="102"/>
      <c r="C256" s="102"/>
      <c r="D256" s="102"/>
      <c r="E256" s="102"/>
    </row>
    <row r="257" spans="2:5" x14ac:dyDescent="0.2">
      <c r="B257" s="102"/>
      <c r="C257" s="102"/>
      <c r="D257" s="102"/>
      <c r="E257" s="102"/>
    </row>
    <row r="258" spans="2:5" x14ac:dyDescent="0.2">
      <c r="B258" s="102"/>
      <c r="C258" s="102"/>
      <c r="D258" s="102"/>
      <c r="E258" s="102"/>
    </row>
    <row r="259" spans="2:5" x14ac:dyDescent="0.2">
      <c r="B259" s="102"/>
      <c r="C259" s="102"/>
      <c r="D259" s="102"/>
      <c r="E259" s="102"/>
    </row>
    <row r="260" spans="2:5" x14ac:dyDescent="0.2">
      <c r="B260" s="102"/>
      <c r="C260" s="102"/>
      <c r="D260" s="102"/>
      <c r="E260" s="102"/>
    </row>
    <row r="261" spans="2:5" x14ac:dyDescent="0.2">
      <c r="B261" s="102"/>
      <c r="C261" s="102"/>
      <c r="D261" s="102"/>
      <c r="E261" s="102"/>
    </row>
    <row r="262" spans="2:5" x14ac:dyDescent="0.2">
      <c r="B262" s="102"/>
      <c r="C262" s="102"/>
      <c r="D262" s="102"/>
      <c r="E262" s="102"/>
    </row>
    <row r="263" spans="2:5" x14ac:dyDescent="0.2">
      <c r="B263" s="102"/>
      <c r="C263" s="102"/>
      <c r="D263" s="102"/>
      <c r="E263" s="102"/>
    </row>
    <row r="264" spans="2:5" x14ac:dyDescent="0.2">
      <c r="B264" s="102"/>
      <c r="C264" s="102"/>
      <c r="D264" s="102"/>
      <c r="E264" s="102"/>
    </row>
    <row r="265" spans="2:5" x14ac:dyDescent="0.2">
      <c r="B265" s="102"/>
      <c r="C265" s="102"/>
      <c r="D265" s="102"/>
      <c r="E265" s="102"/>
    </row>
    <row r="266" spans="2:5" x14ac:dyDescent="0.2">
      <c r="B266" s="102"/>
      <c r="C266" s="102"/>
      <c r="D266" s="102"/>
      <c r="E266" s="102"/>
    </row>
    <row r="267" spans="2:5" x14ac:dyDescent="0.2">
      <c r="B267" s="102"/>
      <c r="C267" s="102"/>
      <c r="D267" s="102"/>
      <c r="E267" s="102"/>
    </row>
    <row r="268" spans="2:5" x14ac:dyDescent="0.2">
      <c r="B268" s="102"/>
      <c r="C268" s="102"/>
      <c r="D268" s="102"/>
      <c r="E268" s="102"/>
    </row>
    <row r="269" spans="2:5" x14ac:dyDescent="0.2">
      <c r="B269" s="102"/>
      <c r="C269" s="102"/>
      <c r="D269" s="102"/>
      <c r="E269" s="102"/>
    </row>
    <row r="270" spans="2:5" x14ac:dyDescent="0.2">
      <c r="B270" s="102"/>
      <c r="C270" s="102"/>
      <c r="D270" s="102"/>
      <c r="E270" s="102"/>
    </row>
    <row r="271" spans="2:5" x14ac:dyDescent="0.2">
      <c r="B271" s="102"/>
      <c r="C271" s="102"/>
      <c r="D271" s="102"/>
      <c r="E271" s="102"/>
    </row>
    <row r="272" spans="2:5" x14ac:dyDescent="0.2">
      <c r="B272" s="102"/>
      <c r="C272" s="102"/>
      <c r="D272" s="102"/>
      <c r="E272" s="102"/>
    </row>
    <row r="273" spans="2:5" x14ac:dyDescent="0.2">
      <c r="B273" s="102"/>
      <c r="C273" s="102"/>
      <c r="D273" s="102"/>
      <c r="E273" s="102"/>
    </row>
    <row r="274" spans="2:5" x14ac:dyDescent="0.2">
      <c r="B274" s="102"/>
      <c r="C274" s="102"/>
      <c r="D274" s="102"/>
      <c r="E274" s="102"/>
    </row>
    <row r="275" spans="2:5" x14ac:dyDescent="0.2">
      <c r="B275" s="102"/>
      <c r="C275" s="102"/>
      <c r="D275" s="102"/>
      <c r="E275" s="102"/>
    </row>
    <row r="276" spans="2:5" x14ac:dyDescent="0.2">
      <c r="B276" s="102"/>
      <c r="C276" s="102"/>
      <c r="D276" s="102"/>
      <c r="E276" s="102"/>
    </row>
    <row r="277" spans="2:5" x14ac:dyDescent="0.2">
      <c r="B277" s="102"/>
      <c r="C277" s="102"/>
      <c r="D277" s="102"/>
      <c r="E277" s="102"/>
    </row>
    <row r="278" spans="2:5" x14ac:dyDescent="0.2">
      <c r="B278" s="102"/>
      <c r="C278" s="102"/>
      <c r="D278" s="102"/>
      <c r="E278" s="102"/>
    </row>
    <row r="279" spans="2:5" x14ac:dyDescent="0.2">
      <c r="B279" s="102"/>
      <c r="C279" s="102"/>
      <c r="D279" s="102"/>
      <c r="E279" s="102"/>
    </row>
    <row r="280" spans="2:5" x14ac:dyDescent="0.2">
      <c r="B280" s="102"/>
      <c r="C280" s="102"/>
      <c r="D280" s="102"/>
      <c r="E280" s="102"/>
    </row>
    <row r="281" spans="2:5" x14ac:dyDescent="0.2">
      <c r="B281" s="102"/>
      <c r="C281" s="102"/>
      <c r="D281" s="102"/>
      <c r="E281" s="102"/>
    </row>
    <row r="282" spans="2:5" x14ac:dyDescent="0.2">
      <c r="B282" s="102"/>
      <c r="C282" s="102"/>
      <c r="D282" s="102"/>
      <c r="E282" s="102"/>
    </row>
    <row r="283" spans="2:5" x14ac:dyDescent="0.2">
      <c r="B283" s="102"/>
      <c r="C283" s="102"/>
      <c r="D283" s="102"/>
      <c r="E283" s="102"/>
    </row>
    <row r="284" spans="2:5" x14ac:dyDescent="0.2">
      <c r="B284" s="102"/>
      <c r="C284" s="102"/>
      <c r="D284" s="102"/>
      <c r="E284" s="102"/>
    </row>
    <row r="285" spans="2:5" x14ac:dyDescent="0.2">
      <c r="B285" s="102"/>
      <c r="C285" s="102"/>
      <c r="D285" s="102"/>
      <c r="E285" s="102"/>
    </row>
    <row r="286" spans="2:5" x14ac:dyDescent="0.2">
      <c r="B286" s="102"/>
      <c r="C286" s="102"/>
      <c r="D286" s="102"/>
      <c r="E286" s="102"/>
    </row>
    <row r="287" spans="2:5" x14ac:dyDescent="0.2">
      <c r="B287" s="102"/>
      <c r="C287" s="102"/>
      <c r="D287" s="102"/>
      <c r="E287" s="102"/>
    </row>
    <row r="288" spans="2:5" x14ac:dyDescent="0.2">
      <c r="B288" s="102"/>
      <c r="C288" s="102"/>
      <c r="D288" s="102"/>
      <c r="E288" s="102"/>
    </row>
    <row r="289" spans="2:5" x14ac:dyDescent="0.2">
      <c r="B289" s="102"/>
      <c r="C289" s="102"/>
      <c r="D289" s="102"/>
      <c r="E289" s="102"/>
    </row>
    <row r="290" spans="2:5" x14ac:dyDescent="0.2">
      <c r="B290" s="102"/>
      <c r="C290" s="102"/>
      <c r="D290" s="102"/>
      <c r="E290" s="102"/>
    </row>
    <row r="291" spans="2:5" x14ac:dyDescent="0.2">
      <c r="B291" s="102"/>
      <c r="C291" s="102"/>
      <c r="D291" s="102"/>
      <c r="E291" s="102"/>
    </row>
    <row r="292" spans="2:5" x14ac:dyDescent="0.2">
      <c r="B292" s="102"/>
      <c r="C292" s="102"/>
      <c r="D292" s="102"/>
      <c r="E292" s="102"/>
    </row>
    <row r="293" spans="2:5" x14ac:dyDescent="0.2">
      <c r="B293" s="102"/>
      <c r="C293" s="102"/>
      <c r="D293" s="102"/>
      <c r="E293" s="102"/>
    </row>
    <row r="294" spans="2:5" x14ac:dyDescent="0.2">
      <c r="B294" s="102"/>
      <c r="C294" s="102"/>
      <c r="D294" s="102"/>
      <c r="E294" s="102"/>
    </row>
    <row r="295" spans="2:5" x14ac:dyDescent="0.2">
      <c r="B295" s="102"/>
      <c r="C295" s="102"/>
      <c r="D295" s="102"/>
      <c r="E295" s="102"/>
    </row>
    <row r="307" spans="3:3" x14ac:dyDescent="0.2">
      <c r="C307" s="71"/>
    </row>
    <row r="308" spans="3:3" x14ac:dyDescent="0.2">
      <c r="C308" s="71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2D30-0145-41AA-BF92-59CABEF47433}">
  <sheetPr>
    <tabColor rgb="FF0070C0"/>
  </sheetPr>
  <dimension ref="A1:P333"/>
  <sheetViews>
    <sheetView workbookViewId="0"/>
  </sheetViews>
  <sheetFormatPr defaultColWidth="10.28515625" defaultRowHeight="15" x14ac:dyDescent="0.25"/>
  <cols>
    <col min="1" max="1" width="1.42578125" style="92" customWidth="1"/>
    <col min="2" max="2" width="13.85546875" style="92" customWidth="1"/>
    <col min="3" max="3" width="10.7109375" style="93" bestFit="1" customWidth="1"/>
    <col min="4" max="4" width="12.5703125" style="92" bestFit="1" customWidth="1"/>
    <col min="5" max="5" width="5.140625" style="92" bestFit="1" customWidth="1"/>
    <col min="6" max="6" width="8.28515625" style="92" bestFit="1" customWidth="1"/>
    <col min="7" max="7" width="10.5703125" style="94" bestFit="1" customWidth="1"/>
    <col min="8" max="8" width="6.5703125" style="95" bestFit="1" customWidth="1"/>
    <col min="9" max="9" width="7.42578125" style="92" bestFit="1" customWidth="1"/>
    <col min="10" max="10" width="8.7109375" style="96" bestFit="1" customWidth="1"/>
    <col min="11" max="11" width="29.7109375" style="92" bestFit="1" customWidth="1"/>
    <col min="12" max="12" width="58.140625" style="92" bestFit="1" customWidth="1"/>
    <col min="13" max="13" width="4.5703125" style="92" bestFit="1" customWidth="1"/>
    <col min="14" max="14" width="8" style="92" bestFit="1" customWidth="1"/>
    <col min="15" max="15" width="11" style="92" bestFit="1" customWidth="1"/>
    <col min="16" max="16" width="8" style="92" bestFit="1" customWidth="1"/>
    <col min="17" max="16384" width="10.28515625" style="92"/>
  </cols>
  <sheetData>
    <row r="1" spans="1:16" customFormat="1" ht="7.5" customHeight="1" x14ac:dyDescent="0.25">
      <c r="A1" s="50" t="str" cm="1">
        <f t="array" aca="1" ref="A1" ca="1">MID(CELL("filename",A1),FIND("]",CELL("filename",A1))+1,255)</f>
        <v>WP RA4.1</v>
      </c>
      <c r="C1" s="2"/>
    </row>
    <row r="2" spans="1:16" customFormat="1" x14ac:dyDescent="0.25">
      <c r="B2" s="24" t="s">
        <v>451</v>
      </c>
      <c r="C2" s="46"/>
    </row>
    <row r="3" spans="1:16" customFormat="1" x14ac:dyDescent="0.25">
      <c r="B3" s="1" t="s">
        <v>948</v>
      </c>
      <c r="C3" s="46"/>
    </row>
    <row r="4" spans="1:16" customFormat="1" ht="7.5" customHeight="1" x14ac:dyDescent="0.25">
      <c r="B4" s="1"/>
      <c r="C4" s="46"/>
    </row>
    <row r="5" spans="1:16" ht="15.75" thickBot="1" x14ac:dyDescent="0.3"/>
    <row r="6" spans="1:16" ht="16.5" thickTop="1" thickBot="1" x14ac:dyDescent="0.3">
      <c r="B6" s="90" t="s">
        <v>621</v>
      </c>
      <c r="C6" s="90" t="s">
        <v>622</v>
      </c>
      <c r="D6" s="90" t="s">
        <v>623</v>
      </c>
      <c r="E6" s="90" t="s">
        <v>624</v>
      </c>
      <c r="F6" s="90" t="s">
        <v>481</v>
      </c>
      <c r="G6" s="91" t="s">
        <v>524</v>
      </c>
      <c r="H6" s="90" t="s">
        <v>625</v>
      </c>
      <c r="I6" s="90" t="s">
        <v>626</v>
      </c>
      <c r="J6" s="90" t="s">
        <v>627</v>
      </c>
      <c r="K6" s="90" t="s">
        <v>628</v>
      </c>
      <c r="L6" s="90" t="s">
        <v>629</v>
      </c>
      <c r="M6" s="90" t="s">
        <v>630</v>
      </c>
      <c r="N6" s="90" t="s">
        <v>631</v>
      </c>
      <c r="O6" s="90" t="s">
        <v>632</v>
      </c>
      <c r="P6" s="90" t="s">
        <v>633</v>
      </c>
    </row>
    <row r="7" spans="1:16" ht="15.75" thickTop="1" x14ac:dyDescent="0.25">
      <c r="B7" s="92" t="s">
        <v>634</v>
      </c>
      <c r="C7" s="93">
        <v>43928</v>
      </c>
      <c r="D7" s="92" t="s">
        <v>635</v>
      </c>
      <c r="E7" s="92" t="s">
        <v>636</v>
      </c>
      <c r="F7" s="92" t="s">
        <v>54</v>
      </c>
      <c r="G7" s="94">
        <v>47.69</v>
      </c>
      <c r="H7" s="95">
        <v>65</v>
      </c>
      <c r="J7" s="96">
        <v>0</v>
      </c>
      <c r="K7" s="92" t="s">
        <v>637</v>
      </c>
      <c r="L7" s="92" t="s">
        <v>638</v>
      </c>
      <c r="O7" s="92" t="s">
        <v>639</v>
      </c>
      <c r="P7" s="92" t="s">
        <v>640</v>
      </c>
    </row>
    <row r="8" spans="1:16" x14ac:dyDescent="0.25">
      <c r="B8" s="92" t="s">
        <v>634</v>
      </c>
      <c r="C8" s="93">
        <v>43935</v>
      </c>
      <c r="D8" s="92" t="s">
        <v>641</v>
      </c>
      <c r="E8" s="92" t="s">
        <v>636</v>
      </c>
      <c r="F8" s="92" t="s">
        <v>54</v>
      </c>
      <c r="G8" s="94">
        <v>85.63</v>
      </c>
      <c r="H8" s="95">
        <v>1</v>
      </c>
      <c r="J8" s="96">
        <v>0</v>
      </c>
      <c r="K8" s="92" t="s">
        <v>642</v>
      </c>
      <c r="L8" s="92" t="s">
        <v>638</v>
      </c>
      <c r="O8" s="92" t="s">
        <v>643</v>
      </c>
      <c r="P8" s="92" t="s">
        <v>640</v>
      </c>
    </row>
    <row r="9" spans="1:16" x14ac:dyDescent="0.25">
      <c r="B9" s="92" t="s">
        <v>634</v>
      </c>
      <c r="C9" s="93">
        <v>43935</v>
      </c>
      <c r="D9" s="92" t="s">
        <v>641</v>
      </c>
      <c r="E9" s="92" t="s">
        <v>636</v>
      </c>
      <c r="F9" s="92" t="s">
        <v>54</v>
      </c>
      <c r="G9" s="94">
        <v>275.04000000000002</v>
      </c>
      <c r="H9" s="95">
        <v>3</v>
      </c>
      <c r="J9" s="96">
        <v>0</v>
      </c>
      <c r="K9" s="92" t="s">
        <v>642</v>
      </c>
      <c r="L9" s="92" t="s">
        <v>638</v>
      </c>
      <c r="O9" s="92" t="s">
        <v>643</v>
      </c>
      <c r="P9" s="92" t="s">
        <v>640</v>
      </c>
    </row>
    <row r="10" spans="1:16" x14ac:dyDescent="0.25">
      <c r="B10" s="92" t="s">
        <v>634</v>
      </c>
      <c r="C10" s="93">
        <v>43941</v>
      </c>
      <c r="D10" s="92" t="s">
        <v>644</v>
      </c>
      <c r="E10" s="92" t="s">
        <v>645</v>
      </c>
      <c r="F10" s="92" t="s">
        <v>54</v>
      </c>
      <c r="G10" s="94">
        <v>13</v>
      </c>
      <c r="H10" s="95">
        <v>93</v>
      </c>
      <c r="J10" s="96">
        <v>0</v>
      </c>
      <c r="K10" s="92" t="s">
        <v>646</v>
      </c>
      <c r="L10" s="92" t="s">
        <v>638</v>
      </c>
      <c r="O10" s="92" t="s">
        <v>647</v>
      </c>
      <c r="P10" s="92" t="s">
        <v>640</v>
      </c>
    </row>
    <row r="11" spans="1:16" x14ac:dyDescent="0.25">
      <c r="B11" s="92" t="s">
        <v>634</v>
      </c>
      <c r="C11" s="93">
        <v>43941</v>
      </c>
      <c r="D11" s="92" t="s">
        <v>644</v>
      </c>
      <c r="E11" s="92" t="s">
        <v>648</v>
      </c>
      <c r="F11" s="92" t="s">
        <v>54</v>
      </c>
      <c r="G11" s="94">
        <v>13.07</v>
      </c>
      <c r="H11" s="95">
        <v>95</v>
      </c>
      <c r="J11" s="96">
        <v>0</v>
      </c>
      <c r="K11" s="92" t="s">
        <v>649</v>
      </c>
      <c r="L11" s="92" t="s">
        <v>638</v>
      </c>
      <c r="O11" s="92" t="s">
        <v>650</v>
      </c>
      <c r="P11" s="92" t="s">
        <v>640</v>
      </c>
    </row>
    <row r="12" spans="1:16" x14ac:dyDescent="0.25">
      <c r="B12" s="92" t="s">
        <v>634</v>
      </c>
      <c r="C12" s="93">
        <v>43941</v>
      </c>
      <c r="D12" s="92" t="s">
        <v>644</v>
      </c>
      <c r="E12" s="92" t="s">
        <v>645</v>
      </c>
      <c r="F12" s="92" t="s">
        <v>54</v>
      </c>
      <c r="G12" s="94">
        <v>13</v>
      </c>
      <c r="H12" s="95">
        <v>99</v>
      </c>
      <c r="J12" s="96">
        <v>0</v>
      </c>
      <c r="K12" s="92" t="s">
        <v>646</v>
      </c>
      <c r="L12" s="92" t="s">
        <v>638</v>
      </c>
      <c r="O12" s="92" t="s">
        <v>651</v>
      </c>
      <c r="P12" s="92" t="s">
        <v>640</v>
      </c>
    </row>
    <row r="13" spans="1:16" x14ac:dyDescent="0.25">
      <c r="B13" s="92" t="s">
        <v>634</v>
      </c>
      <c r="C13" s="93">
        <v>43941</v>
      </c>
      <c r="D13" s="92" t="s">
        <v>644</v>
      </c>
      <c r="E13" s="92" t="s">
        <v>652</v>
      </c>
      <c r="F13" s="92" t="s">
        <v>54</v>
      </c>
      <c r="G13" s="94">
        <v>10.92</v>
      </c>
      <c r="H13" s="95">
        <v>107</v>
      </c>
      <c r="J13" s="96">
        <v>0</v>
      </c>
      <c r="K13" s="92" t="s">
        <v>653</v>
      </c>
      <c r="L13" s="92" t="s">
        <v>638</v>
      </c>
      <c r="O13" s="92" t="s">
        <v>654</v>
      </c>
      <c r="P13" s="92" t="s">
        <v>640</v>
      </c>
    </row>
    <row r="14" spans="1:16" x14ac:dyDescent="0.25">
      <c r="B14" s="92" t="s">
        <v>634</v>
      </c>
      <c r="C14" s="93">
        <v>43941</v>
      </c>
      <c r="D14" s="92" t="s">
        <v>644</v>
      </c>
      <c r="E14" s="92" t="s">
        <v>652</v>
      </c>
      <c r="F14" s="92" t="s">
        <v>54</v>
      </c>
      <c r="G14" s="94">
        <v>11.48</v>
      </c>
      <c r="H14" s="95">
        <v>109</v>
      </c>
      <c r="J14" s="96">
        <v>0</v>
      </c>
      <c r="K14" s="92" t="s">
        <v>653</v>
      </c>
      <c r="L14" s="92" t="s">
        <v>638</v>
      </c>
      <c r="O14" s="92" t="s">
        <v>655</v>
      </c>
      <c r="P14" s="92" t="s">
        <v>640</v>
      </c>
    </row>
    <row r="15" spans="1:16" x14ac:dyDescent="0.25">
      <c r="B15" s="92" t="s">
        <v>634</v>
      </c>
      <c r="C15" s="93">
        <v>43941</v>
      </c>
      <c r="D15" s="92" t="s">
        <v>644</v>
      </c>
      <c r="E15" s="92" t="s">
        <v>645</v>
      </c>
      <c r="F15" s="92" t="s">
        <v>54</v>
      </c>
      <c r="G15" s="94">
        <v>15.25</v>
      </c>
      <c r="H15" s="95">
        <v>115</v>
      </c>
      <c r="J15" s="96">
        <v>0</v>
      </c>
      <c r="K15" s="92" t="s">
        <v>656</v>
      </c>
      <c r="L15" s="92" t="s">
        <v>638</v>
      </c>
      <c r="O15" s="92" t="s">
        <v>657</v>
      </c>
      <c r="P15" s="92" t="s">
        <v>640</v>
      </c>
    </row>
    <row r="16" spans="1:16" x14ac:dyDescent="0.25">
      <c r="B16" s="92" t="s">
        <v>634</v>
      </c>
      <c r="C16" s="93">
        <v>43941</v>
      </c>
      <c r="D16" s="92" t="s">
        <v>644</v>
      </c>
      <c r="E16" s="92" t="s">
        <v>645</v>
      </c>
      <c r="F16" s="92" t="s">
        <v>54</v>
      </c>
      <c r="G16" s="94">
        <v>18.34</v>
      </c>
      <c r="H16" s="95">
        <v>117</v>
      </c>
      <c r="J16" s="96">
        <v>0</v>
      </c>
      <c r="K16" s="92" t="s">
        <v>656</v>
      </c>
      <c r="L16" s="92" t="s">
        <v>638</v>
      </c>
      <c r="O16" s="92" t="s">
        <v>657</v>
      </c>
      <c r="P16" s="92" t="s">
        <v>640</v>
      </c>
    </row>
    <row r="17" spans="2:16" x14ac:dyDescent="0.25">
      <c r="B17" s="92" t="s">
        <v>634</v>
      </c>
      <c r="C17" s="93">
        <v>43942</v>
      </c>
      <c r="D17" s="92" t="s">
        <v>658</v>
      </c>
      <c r="E17" s="92" t="s">
        <v>645</v>
      </c>
      <c r="F17" s="92" t="s">
        <v>54</v>
      </c>
      <c r="G17" s="94">
        <v>11.94</v>
      </c>
      <c r="H17" s="95">
        <v>125</v>
      </c>
      <c r="J17" s="96">
        <v>0</v>
      </c>
      <c r="K17" s="92" t="s">
        <v>659</v>
      </c>
      <c r="L17" s="92" t="s">
        <v>638</v>
      </c>
      <c r="O17" s="92" t="s">
        <v>660</v>
      </c>
      <c r="P17" s="92" t="s">
        <v>640</v>
      </c>
    </row>
    <row r="18" spans="2:16" x14ac:dyDescent="0.25">
      <c r="B18" s="92" t="s">
        <v>634</v>
      </c>
      <c r="C18" s="93">
        <v>43942</v>
      </c>
      <c r="D18" s="92" t="s">
        <v>658</v>
      </c>
      <c r="E18" s="92" t="s">
        <v>645</v>
      </c>
      <c r="F18" s="92" t="s">
        <v>54</v>
      </c>
      <c r="G18" s="94">
        <v>9.7100000000000009</v>
      </c>
      <c r="H18" s="95">
        <v>127</v>
      </c>
      <c r="J18" s="96">
        <v>0</v>
      </c>
      <c r="K18" s="92" t="s">
        <v>659</v>
      </c>
      <c r="L18" s="92" t="s">
        <v>638</v>
      </c>
      <c r="O18" s="92" t="s">
        <v>660</v>
      </c>
      <c r="P18" s="92" t="s">
        <v>640</v>
      </c>
    </row>
    <row r="19" spans="2:16" x14ac:dyDescent="0.25">
      <c r="B19" s="92" t="s">
        <v>634</v>
      </c>
      <c r="C19" s="93">
        <v>43942</v>
      </c>
      <c r="D19" s="92" t="s">
        <v>658</v>
      </c>
      <c r="E19" s="92" t="s">
        <v>645</v>
      </c>
      <c r="F19" s="92" t="s">
        <v>54</v>
      </c>
      <c r="G19" s="94">
        <v>9.7200000000000006</v>
      </c>
      <c r="H19" s="95">
        <v>129</v>
      </c>
      <c r="J19" s="96">
        <v>0</v>
      </c>
      <c r="K19" s="92" t="s">
        <v>659</v>
      </c>
      <c r="L19" s="92" t="s">
        <v>638</v>
      </c>
      <c r="O19" s="92" t="s">
        <v>660</v>
      </c>
      <c r="P19" s="92" t="s">
        <v>640</v>
      </c>
    </row>
    <row r="20" spans="2:16" x14ac:dyDescent="0.25">
      <c r="B20" s="92" t="s">
        <v>634</v>
      </c>
      <c r="C20" s="93">
        <v>43942</v>
      </c>
      <c r="D20" s="92" t="s">
        <v>658</v>
      </c>
      <c r="E20" s="92" t="s">
        <v>648</v>
      </c>
      <c r="F20" s="92" t="s">
        <v>54</v>
      </c>
      <c r="G20" s="94">
        <v>115.74</v>
      </c>
      <c r="H20" s="95">
        <v>135</v>
      </c>
      <c r="J20" s="96">
        <v>0</v>
      </c>
      <c r="K20" s="92" t="s">
        <v>661</v>
      </c>
      <c r="L20" s="92" t="s">
        <v>638</v>
      </c>
      <c r="O20" s="92" t="s">
        <v>662</v>
      </c>
      <c r="P20" s="92" t="s">
        <v>640</v>
      </c>
    </row>
    <row r="21" spans="2:16" x14ac:dyDescent="0.25">
      <c r="B21" s="92" t="s">
        <v>634</v>
      </c>
      <c r="C21" s="93">
        <v>43942</v>
      </c>
      <c r="D21" s="92" t="s">
        <v>658</v>
      </c>
      <c r="E21" s="92" t="s">
        <v>648</v>
      </c>
      <c r="F21" s="92" t="s">
        <v>54</v>
      </c>
      <c r="G21" s="94">
        <v>2.82</v>
      </c>
      <c r="H21" s="95">
        <v>137</v>
      </c>
      <c r="J21" s="96">
        <v>0</v>
      </c>
      <c r="K21" s="92" t="s">
        <v>661</v>
      </c>
      <c r="L21" s="92" t="s">
        <v>638</v>
      </c>
      <c r="O21" s="92" t="s">
        <v>662</v>
      </c>
      <c r="P21" s="92" t="s">
        <v>640</v>
      </c>
    </row>
    <row r="22" spans="2:16" x14ac:dyDescent="0.25">
      <c r="B22" s="92" t="s">
        <v>634</v>
      </c>
      <c r="C22" s="93">
        <v>43942</v>
      </c>
      <c r="D22" s="92" t="s">
        <v>658</v>
      </c>
      <c r="E22" s="92" t="s">
        <v>648</v>
      </c>
      <c r="F22" s="92" t="s">
        <v>54</v>
      </c>
      <c r="G22" s="94">
        <v>56.42</v>
      </c>
      <c r="H22" s="95">
        <v>139</v>
      </c>
      <c r="J22" s="96">
        <v>0</v>
      </c>
      <c r="K22" s="92" t="s">
        <v>661</v>
      </c>
      <c r="L22" s="92" t="s">
        <v>638</v>
      </c>
      <c r="O22" s="92" t="s">
        <v>662</v>
      </c>
      <c r="P22" s="92" t="s">
        <v>640</v>
      </c>
    </row>
    <row r="23" spans="2:16" x14ac:dyDescent="0.25">
      <c r="B23" s="92" t="s">
        <v>634</v>
      </c>
      <c r="C23" s="93">
        <v>43942</v>
      </c>
      <c r="D23" s="92" t="s">
        <v>658</v>
      </c>
      <c r="E23" s="92" t="s">
        <v>645</v>
      </c>
      <c r="F23" s="92" t="s">
        <v>54</v>
      </c>
      <c r="G23" s="94">
        <v>10.67</v>
      </c>
      <c r="H23" s="95">
        <v>149</v>
      </c>
      <c r="J23" s="96">
        <v>0</v>
      </c>
      <c r="K23" s="92" t="s">
        <v>663</v>
      </c>
      <c r="L23" s="92" t="s">
        <v>638</v>
      </c>
      <c r="O23" s="92" t="s">
        <v>664</v>
      </c>
      <c r="P23" s="92" t="s">
        <v>640</v>
      </c>
    </row>
    <row r="24" spans="2:16" x14ac:dyDescent="0.25">
      <c r="B24" s="92" t="s">
        <v>634</v>
      </c>
      <c r="C24" s="93">
        <v>43942</v>
      </c>
      <c r="D24" s="92" t="s">
        <v>658</v>
      </c>
      <c r="E24" s="92" t="s">
        <v>645</v>
      </c>
      <c r="F24" s="92" t="s">
        <v>54</v>
      </c>
      <c r="G24" s="94">
        <v>10.67</v>
      </c>
      <c r="H24" s="95">
        <v>151</v>
      </c>
      <c r="J24" s="96">
        <v>0</v>
      </c>
      <c r="K24" s="92" t="s">
        <v>663</v>
      </c>
      <c r="L24" s="92" t="s">
        <v>638</v>
      </c>
      <c r="O24" s="92" t="s">
        <v>664</v>
      </c>
      <c r="P24" s="92" t="s">
        <v>640</v>
      </c>
    </row>
    <row r="25" spans="2:16" x14ac:dyDescent="0.25">
      <c r="B25" s="92" t="s">
        <v>634</v>
      </c>
      <c r="C25" s="93">
        <v>43942</v>
      </c>
      <c r="D25" s="92" t="s">
        <v>658</v>
      </c>
      <c r="E25" s="92" t="s">
        <v>645</v>
      </c>
      <c r="F25" s="92" t="s">
        <v>54</v>
      </c>
      <c r="G25" s="94">
        <v>8.16</v>
      </c>
      <c r="H25" s="95">
        <v>153</v>
      </c>
      <c r="J25" s="96">
        <v>0</v>
      </c>
      <c r="K25" s="92" t="s">
        <v>663</v>
      </c>
      <c r="L25" s="92" t="s">
        <v>638</v>
      </c>
      <c r="O25" s="92" t="s">
        <v>664</v>
      </c>
      <c r="P25" s="92" t="s">
        <v>640</v>
      </c>
    </row>
    <row r="26" spans="2:16" x14ac:dyDescent="0.25">
      <c r="B26" s="92" t="s">
        <v>634</v>
      </c>
      <c r="C26" s="93">
        <v>43942</v>
      </c>
      <c r="D26" s="92" t="s">
        <v>658</v>
      </c>
      <c r="E26" s="92" t="s">
        <v>645</v>
      </c>
      <c r="F26" s="92" t="s">
        <v>54</v>
      </c>
      <c r="G26" s="94">
        <v>9.4700000000000006</v>
      </c>
      <c r="H26" s="95">
        <v>155</v>
      </c>
      <c r="J26" s="96">
        <v>0</v>
      </c>
      <c r="K26" s="92" t="s">
        <v>663</v>
      </c>
      <c r="L26" s="92" t="s">
        <v>638</v>
      </c>
      <c r="O26" s="92" t="s">
        <v>664</v>
      </c>
      <c r="P26" s="92" t="s">
        <v>640</v>
      </c>
    </row>
    <row r="27" spans="2:16" x14ac:dyDescent="0.25">
      <c r="B27" s="92" t="s">
        <v>634</v>
      </c>
      <c r="C27" s="93">
        <v>43942</v>
      </c>
      <c r="D27" s="92" t="s">
        <v>658</v>
      </c>
      <c r="E27" s="92" t="s">
        <v>645</v>
      </c>
      <c r="F27" s="92" t="s">
        <v>54</v>
      </c>
      <c r="G27" s="94">
        <v>8.66</v>
      </c>
      <c r="H27" s="95">
        <v>157</v>
      </c>
      <c r="J27" s="96">
        <v>0</v>
      </c>
      <c r="K27" s="92" t="s">
        <v>663</v>
      </c>
      <c r="L27" s="92" t="s">
        <v>638</v>
      </c>
      <c r="O27" s="92" t="s">
        <v>664</v>
      </c>
      <c r="P27" s="92" t="s">
        <v>640</v>
      </c>
    </row>
    <row r="28" spans="2:16" x14ac:dyDescent="0.25">
      <c r="B28" s="92" t="s">
        <v>634</v>
      </c>
      <c r="C28" s="93">
        <v>43943</v>
      </c>
      <c r="D28" s="92" t="s">
        <v>665</v>
      </c>
      <c r="E28" s="92" t="s">
        <v>666</v>
      </c>
      <c r="F28" s="92" t="s">
        <v>54</v>
      </c>
      <c r="G28" s="94">
        <v>18.3</v>
      </c>
      <c r="H28" s="95">
        <v>5</v>
      </c>
      <c r="J28" s="96">
        <v>0</v>
      </c>
      <c r="K28" s="92" t="s">
        <v>667</v>
      </c>
      <c r="L28" s="92" t="s">
        <v>638</v>
      </c>
      <c r="O28" s="92" t="s">
        <v>668</v>
      </c>
      <c r="P28" s="92" t="s">
        <v>640</v>
      </c>
    </row>
    <row r="29" spans="2:16" x14ac:dyDescent="0.25">
      <c r="B29" s="92" t="s">
        <v>634</v>
      </c>
      <c r="C29" s="93">
        <v>43943</v>
      </c>
      <c r="D29" s="92" t="s">
        <v>665</v>
      </c>
      <c r="E29" s="92" t="s">
        <v>666</v>
      </c>
      <c r="F29" s="92" t="s">
        <v>54</v>
      </c>
      <c r="G29" s="94">
        <v>12.37</v>
      </c>
      <c r="H29" s="95">
        <v>9</v>
      </c>
      <c r="J29" s="96">
        <v>0</v>
      </c>
      <c r="K29" s="92" t="s">
        <v>667</v>
      </c>
      <c r="L29" s="92" t="s">
        <v>638</v>
      </c>
      <c r="O29" s="92" t="s">
        <v>668</v>
      </c>
      <c r="P29" s="92" t="s">
        <v>640</v>
      </c>
    </row>
    <row r="30" spans="2:16" x14ac:dyDescent="0.25">
      <c r="B30" s="92" t="s">
        <v>634</v>
      </c>
      <c r="C30" s="93">
        <v>43944</v>
      </c>
      <c r="D30" s="92" t="s">
        <v>669</v>
      </c>
      <c r="E30" s="92" t="s">
        <v>666</v>
      </c>
      <c r="F30" s="92" t="s">
        <v>54</v>
      </c>
      <c r="G30" s="94">
        <v>8.7799999999999994</v>
      </c>
      <c r="H30" s="95">
        <v>25</v>
      </c>
      <c r="J30" s="96">
        <v>0</v>
      </c>
      <c r="K30" s="92" t="s">
        <v>670</v>
      </c>
      <c r="L30" s="92" t="s">
        <v>638</v>
      </c>
      <c r="O30" s="92" t="s">
        <v>671</v>
      </c>
      <c r="P30" s="92" t="s">
        <v>640</v>
      </c>
    </row>
    <row r="31" spans="2:16" x14ac:dyDescent="0.25">
      <c r="B31" s="92" t="s">
        <v>634</v>
      </c>
      <c r="C31" s="93">
        <v>43944</v>
      </c>
      <c r="D31" s="92" t="s">
        <v>669</v>
      </c>
      <c r="E31" s="92" t="s">
        <v>666</v>
      </c>
      <c r="F31" s="92" t="s">
        <v>54</v>
      </c>
      <c r="G31" s="94">
        <v>10.24</v>
      </c>
      <c r="H31" s="95">
        <v>27</v>
      </c>
      <c r="J31" s="96">
        <v>0</v>
      </c>
      <c r="K31" s="92" t="s">
        <v>670</v>
      </c>
      <c r="L31" s="92" t="s">
        <v>638</v>
      </c>
      <c r="O31" s="92" t="s">
        <v>671</v>
      </c>
      <c r="P31" s="92" t="s">
        <v>640</v>
      </c>
    </row>
    <row r="32" spans="2:16" x14ac:dyDescent="0.25">
      <c r="B32" s="92" t="s">
        <v>634</v>
      </c>
      <c r="C32" s="93">
        <v>43944</v>
      </c>
      <c r="D32" s="92" t="s">
        <v>669</v>
      </c>
      <c r="E32" s="92" t="s">
        <v>666</v>
      </c>
      <c r="F32" s="92" t="s">
        <v>54</v>
      </c>
      <c r="G32" s="94">
        <v>8.74</v>
      </c>
      <c r="H32" s="95">
        <v>29</v>
      </c>
      <c r="J32" s="96">
        <v>0</v>
      </c>
      <c r="K32" s="92" t="s">
        <v>670</v>
      </c>
      <c r="L32" s="92" t="s">
        <v>638</v>
      </c>
      <c r="O32" s="92" t="s">
        <v>671</v>
      </c>
      <c r="P32" s="92" t="s">
        <v>640</v>
      </c>
    </row>
    <row r="33" spans="2:16" x14ac:dyDescent="0.25">
      <c r="B33" s="92" t="s">
        <v>634</v>
      </c>
      <c r="C33" s="93">
        <v>43944</v>
      </c>
      <c r="D33" s="92" t="s">
        <v>669</v>
      </c>
      <c r="E33" s="92" t="s">
        <v>666</v>
      </c>
      <c r="F33" s="92" t="s">
        <v>54</v>
      </c>
      <c r="G33" s="94">
        <v>7.15</v>
      </c>
      <c r="H33" s="95">
        <v>33</v>
      </c>
      <c r="J33" s="96">
        <v>0</v>
      </c>
      <c r="K33" s="92" t="s">
        <v>670</v>
      </c>
      <c r="L33" s="92" t="s">
        <v>638</v>
      </c>
      <c r="O33" s="92" t="s">
        <v>671</v>
      </c>
      <c r="P33" s="92" t="s">
        <v>640</v>
      </c>
    </row>
    <row r="34" spans="2:16" x14ac:dyDescent="0.25">
      <c r="B34" s="92" t="s">
        <v>634</v>
      </c>
      <c r="C34" s="93">
        <v>43944</v>
      </c>
      <c r="D34" s="92" t="s">
        <v>669</v>
      </c>
      <c r="E34" s="92" t="s">
        <v>666</v>
      </c>
      <c r="F34" s="92" t="s">
        <v>54</v>
      </c>
      <c r="G34" s="94">
        <v>9.8800000000000008</v>
      </c>
      <c r="H34" s="95">
        <v>35</v>
      </c>
      <c r="J34" s="96">
        <v>0</v>
      </c>
      <c r="K34" s="92" t="s">
        <v>670</v>
      </c>
      <c r="L34" s="92" t="s">
        <v>638</v>
      </c>
      <c r="O34" s="92" t="s">
        <v>671</v>
      </c>
      <c r="P34" s="92" t="s">
        <v>640</v>
      </c>
    </row>
    <row r="35" spans="2:16" x14ac:dyDescent="0.25">
      <c r="B35" s="92" t="s">
        <v>634</v>
      </c>
      <c r="C35" s="93">
        <v>43944</v>
      </c>
      <c r="D35" s="92" t="s">
        <v>669</v>
      </c>
      <c r="E35" s="92" t="s">
        <v>666</v>
      </c>
      <c r="F35" s="92" t="s">
        <v>54</v>
      </c>
      <c r="G35" s="94">
        <v>9.57</v>
      </c>
      <c r="H35" s="95">
        <v>37</v>
      </c>
      <c r="J35" s="96">
        <v>0</v>
      </c>
      <c r="K35" s="92" t="s">
        <v>670</v>
      </c>
      <c r="L35" s="92" t="s">
        <v>638</v>
      </c>
      <c r="O35" s="92" t="s">
        <v>671</v>
      </c>
      <c r="P35" s="92" t="s">
        <v>640</v>
      </c>
    </row>
    <row r="36" spans="2:16" x14ac:dyDescent="0.25">
      <c r="B36" s="92" t="s">
        <v>634</v>
      </c>
      <c r="C36" s="93">
        <v>43948</v>
      </c>
      <c r="D36" s="92" t="s">
        <v>672</v>
      </c>
      <c r="E36" s="92" t="s">
        <v>645</v>
      </c>
      <c r="F36" s="92" t="s">
        <v>54</v>
      </c>
      <c r="G36" s="94">
        <v>13</v>
      </c>
      <c r="H36" s="95">
        <v>9</v>
      </c>
      <c r="J36" s="96">
        <v>0</v>
      </c>
      <c r="K36" s="92" t="s">
        <v>646</v>
      </c>
      <c r="L36" s="92" t="s">
        <v>638</v>
      </c>
      <c r="O36" s="92" t="s">
        <v>673</v>
      </c>
      <c r="P36" s="92" t="s">
        <v>640</v>
      </c>
    </row>
    <row r="37" spans="2:16" x14ac:dyDescent="0.25">
      <c r="B37" s="92" t="s">
        <v>634</v>
      </c>
      <c r="C37" s="93">
        <v>43948</v>
      </c>
      <c r="D37" s="92" t="s">
        <v>672</v>
      </c>
      <c r="E37" s="92" t="s">
        <v>645</v>
      </c>
      <c r="F37" s="92" t="s">
        <v>54</v>
      </c>
      <c r="G37" s="94">
        <v>12</v>
      </c>
      <c r="H37" s="95">
        <v>11</v>
      </c>
      <c r="J37" s="96">
        <v>0</v>
      </c>
      <c r="K37" s="92" t="s">
        <v>646</v>
      </c>
      <c r="L37" s="92" t="s">
        <v>638</v>
      </c>
      <c r="O37" s="92" t="s">
        <v>673</v>
      </c>
      <c r="P37" s="92" t="s">
        <v>640</v>
      </c>
    </row>
    <row r="38" spans="2:16" x14ac:dyDescent="0.25">
      <c r="B38" s="92" t="s">
        <v>634</v>
      </c>
      <c r="C38" s="93">
        <v>43948</v>
      </c>
      <c r="D38" s="92" t="s">
        <v>672</v>
      </c>
      <c r="E38" s="92" t="s">
        <v>645</v>
      </c>
      <c r="F38" s="92" t="s">
        <v>54</v>
      </c>
      <c r="G38" s="94">
        <v>12.81</v>
      </c>
      <c r="H38" s="95">
        <v>19</v>
      </c>
      <c r="J38" s="96">
        <v>0</v>
      </c>
      <c r="K38" s="92" t="s">
        <v>659</v>
      </c>
      <c r="L38" s="92" t="s">
        <v>638</v>
      </c>
      <c r="O38" s="92" t="s">
        <v>674</v>
      </c>
      <c r="P38" s="92" t="s">
        <v>640</v>
      </c>
    </row>
    <row r="39" spans="2:16" x14ac:dyDescent="0.25">
      <c r="B39" s="92" t="s">
        <v>634</v>
      </c>
      <c r="C39" s="93">
        <v>43948</v>
      </c>
      <c r="D39" s="92" t="s">
        <v>672</v>
      </c>
      <c r="E39" s="92" t="s">
        <v>645</v>
      </c>
      <c r="F39" s="92" t="s">
        <v>54</v>
      </c>
      <c r="G39" s="94">
        <v>12.25</v>
      </c>
      <c r="H39" s="95">
        <v>21</v>
      </c>
      <c r="J39" s="96">
        <v>0</v>
      </c>
      <c r="K39" s="92" t="s">
        <v>659</v>
      </c>
      <c r="L39" s="92" t="s">
        <v>638</v>
      </c>
      <c r="O39" s="92" t="s">
        <v>674</v>
      </c>
      <c r="P39" s="92" t="s">
        <v>640</v>
      </c>
    </row>
    <row r="40" spans="2:16" x14ac:dyDescent="0.25">
      <c r="B40" s="92" t="s">
        <v>634</v>
      </c>
      <c r="C40" s="93">
        <v>43951</v>
      </c>
      <c r="D40" s="92" t="s">
        <v>675</v>
      </c>
      <c r="E40" s="92" t="s">
        <v>648</v>
      </c>
      <c r="F40" s="92" t="s">
        <v>54</v>
      </c>
      <c r="G40" s="94">
        <v>125.51</v>
      </c>
      <c r="H40" s="95">
        <v>3</v>
      </c>
      <c r="J40" s="96">
        <v>0</v>
      </c>
      <c r="K40" s="92" t="s">
        <v>661</v>
      </c>
      <c r="L40" s="92" t="s">
        <v>638</v>
      </c>
      <c r="O40" s="92" t="s">
        <v>676</v>
      </c>
      <c r="P40" s="92" t="s">
        <v>640</v>
      </c>
    </row>
    <row r="41" spans="2:16" x14ac:dyDescent="0.25">
      <c r="B41" s="92" t="s">
        <v>634</v>
      </c>
      <c r="C41" s="93">
        <v>43951</v>
      </c>
      <c r="D41" s="92" t="s">
        <v>675</v>
      </c>
      <c r="E41" s="92" t="s">
        <v>648</v>
      </c>
      <c r="F41" s="92" t="s">
        <v>54</v>
      </c>
      <c r="G41" s="94">
        <v>36.159999999999997</v>
      </c>
      <c r="H41" s="95">
        <v>5</v>
      </c>
      <c r="J41" s="96">
        <v>0</v>
      </c>
      <c r="K41" s="92" t="s">
        <v>661</v>
      </c>
      <c r="L41" s="92" t="s">
        <v>638</v>
      </c>
      <c r="O41" s="92" t="s">
        <v>676</v>
      </c>
      <c r="P41" s="92" t="s">
        <v>640</v>
      </c>
    </row>
    <row r="42" spans="2:16" x14ac:dyDescent="0.25">
      <c r="B42" s="92" t="s">
        <v>634</v>
      </c>
      <c r="C42" s="93">
        <v>43951</v>
      </c>
      <c r="D42" s="92" t="s">
        <v>675</v>
      </c>
      <c r="E42" s="92" t="s">
        <v>648</v>
      </c>
      <c r="F42" s="92" t="s">
        <v>54</v>
      </c>
      <c r="G42" s="94">
        <v>12.51</v>
      </c>
      <c r="H42" s="95">
        <v>7</v>
      </c>
      <c r="J42" s="96">
        <v>0</v>
      </c>
      <c r="K42" s="92" t="s">
        <v>661</v>
      </c>
      <c r="L42" s="92" t="s">
        <v>638</v>
      </c>
      <c r="O42" s="92" t="s">
        <v>676</v>
      </c>
      <c r="P42" s="92" t="s">
        <v>640</v>
      </c>
    </row>
    <row r="43" spans="2:16" x14ac:dyDescent="0.25">
      <c r="B43" s="92" t="s">
        <v>634</v>
      </c>
      <c r="C43" s="93">
        <v>43951</v>
      </c>
      <c r="D43" s="92" t="s">
        <v>675</v>
      </c>
      <c r="E43" s="92" t="s">
        <v>645</v>
      </c>
      <c r="F43" s="92" t="s">
        <v>54</v>
      </c>
      <c r="G43" s="94">
        <v>8.6</v>
      </c>
      <c r="H43" s="95">
        <v>9</v>
      </c>
      <c r="J43" s="96">
        <v>0</v>
      </c>
      <c r="K43" s="92" t="s">
        <v>677</v>
      </c>
      <c r="L43" s="92" t="s">
        <v>638</v>
      </c>
      <c r="O43" s="92" t="s">
        <v>678</v>
      </c>
      <c r="P43" s="92" t="s">
        <v>640</v>
      </c>
    </row>
    <row r="44" spans="2:16" x14ac:dyDescent="0.25">
      <c r="B44" s="92" t="s">
        <v>634</v>
      </c>
      <c r="C44" s="93">
        <v>43951</v>
      </c>
      <c r="D44" s="92" t="s">
        <v>675</v>
      </c>
      <c r="E44" s="92" t="s">
        <v>645</v>
      </c>
      <c r="F44" s="92" t="s">
        <v>54</v>
      </c>
      <c r="G44" s="94">
        <v>10.199999999999999</v>
      </c>
      <c r="H44" s="95">
        <v>11</v>
      </c>
      <c r="J44" s="96">
        <v>0</v>
      </c>
      <c r="K44" s="92" t="s">
        <v>677</v>
      </c>
      <c r="L44" s="92" t="s">
        <v>638</v>
      </c>
      <c r="O44" s="92" t="s">
        <v>678</v>
      </c>
      <c r="P44" s="92" t="s">
        <v>640</v>
      </c>
    </row>
    <row r="45" spans="2:16" x14ac:dyDescent="0.25">
      <c r="B45" s="92" t="s">
        <v>634</v>
      </c>
      <c r="C45" s="93">
        <v>43951</v>
      </c>
      <c r="D45" s="92" t="s">
        <v>675</v>
      </c>
      <c r="E45" s="92" t="s">
        <v>645</v>
      </c>
      <c r="F45" s="92" t="s">
        <v>54</v>
      </c>
      <c r="G45" s="94">
        <v>11.98</v>
      </c>
      <c r="H45" s="95">
        <v>13</v>
      </c>
      <c r="J45" s="96">
        <v>0</v>
      </c>
      <c r="K45" s="92" t="s">
        <v>677</v>
      </c>
      <c r="L45" s="92" t="s">
        <v>638</v>
      </c>
      <c r="O45" s="92" t="s">
        <v>679</v>
      </c>
      <c r="P45" s="92" t="s">
        <v>640</v>
      </c>
    </row>
    <row r="46" spans="2:16" x14ac:dyDescent="0.25">
      <c r="B46" s="92" t="s">
        <v>634</v>
      </c>
      <c r="C46" s="93">
        <v>43951</v>
      </c>
      <c r="D46" s="92" t="s">
        <v>675</v>
      </c>
      <c r="E46" s="92" t="s">
        <v>645</v>
      </c>
      <c r="F46" s="92" t="s">
        <v>54</v>
      </c>
      <c r="G46" s="94">
        <v>9.01</v>
      </c>
      <c r="H46" s="95">
        <v>15</v>
      </c>
      <c r="J46" s="96">
        <v>0</v>
      </c>
      <c r="K46" s="92" t="s">
        <v>677</v>
      </c>
      <c r="L46" s="92" t="s">
        <v>638</v>
      </c>
      <c r="O46" s="92" t="s">
        <v>679</v>
      </c>
      <c r="P46" s="92" t="s">
        <v>640</v>
      </c>
    </row>
    <row r="47" spans="2:16" x14ac:dyDescent="0.25">
      <c r="B47" s="92" t="s">
        <v>634</v>
      </c>
      <c r="C47" s="93">
        <v>43951</v>
      </c>
      <c r="D47" s="92" t="s">
        <v>675</v>
      </c>
      <c r="E47" s="92" t="s">
        <v>636</v>
      </c>
      <c r="F47" s="92" t="s">
        <v>54</v>
      </c>
      <c r="G47" s="94">
        <v>82.29</v>
      </c>
      <c r="H47" s="95">
        <v>19</v>
      </c>
      <c r="J47" s="96">
        <v>0</v>
      </c>
      <c r="K47" s="92" t="s">
        <v>642</v>
      </c>
      <c r="L47" s="92" t="s">
        <v>638</v>
      </c>
      <c r="O47" s="92" t="s">
        <v>680</v>
      </c>
      <c r="P47" s="92" t="s">
        <v>640</v>
      </c>
    </row>
    <row r="48" spans="2:16" x14ac:dyDescent="0.25">
      <c r="B48" s="92" t="s">
        <v>634</v>
      </c>
      <c r="C48" s="93">
        <v>43951</v>
      </c>
      <c r="D48" s="92" t="s">
        <v>675</v>
      </c>
      <c r="E48" s="92" t="s">
        <v>645</v>
      </c>
      <c r="F48" s="92" t="s">
        <v>54</v>
      </c>
      <c r="G48" s="94">
        <v>10.67</v>
      </c>
      <c r="H48" s="95">
        <v>23</v>
      </c>
      <c r="J48" s="96">
        <v>0</v>
      </c>
      <c r="K48" s="92" t="s">
        <v>663</v>
      </c>
      <c r="L48" s="92" t="s">
        <v>638</v>
      </c>
      <c r="O48" s="92" t="s">
        <v>681</v>
      </c>
      <c r="P48" s="92" t="s">
        <v>640</v>
      </c>
    </row>
    <row r="49" spans="2:16" x14ac:dyDescent="0.25">
      <c r="B49" s="92" t="s">
        <v>634</v>
      </c>
      <c r="C49" s="93">
        <v>43951</v>
      </c>
      <c r="D49" s="92" t="s">
        <v>675</v>
      </c>
      <c r="E49" s="92" t="s">
        <v>645</v>
      </c>
      <c r="F49" s="92" t="s">
        <v>54</v>
      </c>
      <c r="G49" s="94">
        <v>8.16</v>
      </c>
      <c r="H49" s="95">
        <v>25</v>
      </c>
      <c r="J49" s="96">
        <v>0</v>
      </c>
      <c r="K49" s="92" t="s">
        <v>663</v>
      </c>
      <c r="L49" s="92" t="s">
        <v>638</v>
      </c>
      <c r="O49" s="92" t="s">
        <v>681</v>
      </c>
      <c r="P49" s="92" t="s">
        <v>640</v>
      </c>
    </row>
    <row r="50" spans="2:16" x14ac:dyDescent="0.25">
      <c r="B50" s="92" t="s">
        <v>634</v>
      </c>
      <c r="C50" s="93">
        <v>43951</v>
      </c>
      <c r="D50" s="92" t="s">
        <v>675</v>
      </c>
      <c r="E50" s="92" t="s">
        <v>645</v>
      </c>
      <c r="F50" s="92" t="s">
        <v>54</v>
      </c>
      <c r="G50" s="94">
        <v>10.67</v>
      </c>
      <c r="H50" s="95">
        <v>27</v>
      </c>
      <c r="J50" s="96">
        <v>0</v>
      </c>
      <c r="K50" s="92" t="s">
        <v>663</v>
      </c>
      <c r="L50" s="92" t="s">
        <v>638</v>
      </c>
      <c r="O50" s="92" t="s">
        <v>681</v>
      </c>
      <c r="P50" s="92" t="s">
        <v>640</v>
      </c>
    </row>
    <row r="51" spans="2:16" x14ac:dyDescent="0.25">
      <c r="B51" s="92" t="s">
        <v>634</v>
      </c>
      <c r="C51" s="93">
        <v>43952</v>
      </c>
      <c r="D51" s="92" t="s">
        <v>682</v>
      </c>
      <c r="E51" s="92" t="s">
        <v>648</v>
      </c>
      <c r="F51" s="92" t="s">
        <v>54</v>
      </c>
      <c r="G51" s="94">
        <v>14.07</v>
      </c>
      <c r="H51" s="95">
        <v>1</v>
      </c>
      <c r="J51" s="96">
        <v>0</v>
      </c>
      <c r="K51" s="92" t="s">
        <v>683</v>
      </c>
      <c r="L51" s="92" t="s">
        <v>638</v>
      </c>
      <c r="O51" s="92" t="s">
        <v>684</v>
      </c>
      <c r="P51" s="92" t="s">
        <v>640</v>
      </c>
    </row>
    <row r="52" spans="2:16" x14ac:dyDescent="0.25">
      <c r="B52" s="92" t="s">
        <v>634</v>
      </c>
      <c r="C52" s="93">
        <v>43952</v>
      </c>
      <c r="D52" s="92" t="s">
        <v>682</v>
      </c>
      <c r="E52" s="92" t="s">
        <v>636</v>
      </c>
      <c r="F52" s="92" t="s">
        <v>54</v>
      </c>
      <c r="G52" s="94">
        <v>74.989999999999995</v>
      </c>
      <c r="H52" s="95">
        <v>9</v>
      </c>
      <c r="J52" s="96">
        <v>0</v>
      </c>
      <c r="K52" s="92" t="s">
        <v>637</v>
      </c>
      <c r="L52" s="92" t="s">
        <v>638</v>
      </c>
      <c r="O52" s="92" t="s">
        <v>685</v>
      </c>
      <c r="P52" s="92" t="s">
        <v>640</v>
      </c>
    </row>
    <row r="53" spans="2:16" x14ac:dyDescent="0.25">
      <c r="B53" s="92" t="s">
        <v>634</v>
      </c>
      <c r="C53" s="93">
        <v>43952</v>
      </c>
      <c r="D53" s="92" t="s">
        <v>682</v>
      </c>
      <c r="E53" s="92" t="s">
        <v>666</v>
      </c>
      <c r="F53" s="92" t="s">
        <v>54</v>
      </c>
      <c r="G53" s="94">
        <v>33.03</v>
      </c>
      <c r="H53" s="95">
        <v>25</v>
      </c>
      <c r="J53" s="96">
        <v>0</v>
      </c>
      <c r="K53" s="92" t="s">
        <v>667</v>
      </c>
      <c r="L53" s="92" t="s">
        <v>638</v>
      </c>
      <c r="O53" s="92" t="s">
        <v>686</v>
      </c>
      <c r="P53" s="92" t="s">
        <v>640</v>
      </c>
    </row>
    <row r="54" spans="2:16" x14ac:dyDescent="0.25">
      <c r="B54" s="92" t="s">
        <v>634</v>
      </c>
      <c r="C54" s="93">
        <v>43952</v>
      </c>
      <c r="D54" s="92" t="s">
        <v>682</v>
      </c>
      <c r="E54" s="92" t="s">
        <v>666</v>
      </c>
      <c r="F54" s="92" t="s">
        <v>54</v>
      </c>
      <c r="G54" s="94">
        <v>37.200000000000003</v>
      </c>
      <c r="H54" s="95">
        <v>27</v>
      </c>
      <c r="J54" s="96">
        <v>0</v>
      </c>
      <c r="K54" s="92" t="s">
        <v>667</v>
      </c>
      <c r="L54" s="92" t="s">
        <v>638</v>
      </c>
      <c r="O54" s="92" t="s">
        <v>686</v>
      </c>
      <c r="P54" s="92" t="s">
        <v>640</v>
      </c>
    </row>
    <row r="55" spans="2:16" x14ac:dyDescent="0.25">
      <c r="B55" s="92" t="s">
        <v>634</v>
      </c>
      <c r="C55" s="93">
        <v>43952</v>
      </c>
      <c r="D55" s="92" t="s">
        <v>682</v>
      </c>
      <c r="E55" s="92" t="s">
        <v>666</v>
      </c>
      <c r="F55" s="92" t="s">
        <v>54</v>
      </c>
      <c r="G55" s="94">
        <v>26.13</v>
      </c>
      <c r="H55" s="95">
        <v>29</v>
      </c>
      <c r="J55" s="96">
        <v>0</v>
      </c>
      <c r="K55" s="92" t="s">
        <v>667</v>
      </c>
      <c r="L55" s="92" t="s">
        <v>638</v>
      </c>
      <c r="O55" s="92" t="s">
        <v>686</v>
      </c>
      <c r="P55" s="92" t="s">
        <v>640</v>
      </c>
    </row>
    <row r="56" spans="2:16" x14ac:dyDescent="0.25">
      <c r="B56" s="92" t="s">
        <v>634</v>
      </c>
      <c r="C56" s="93">
        <v>43952</v>
      </c>
      <c r="D56" s="92" t="s">
        <v>682</v>
      </c>
      <c r="E56" s="92" t="s">
        <v>666</v>
      </c>
      <c r="F56" s="92" t="s">
        <v>54</v>
      </c>
      <c r="G56" s="94">
        <v>8.74</v>
      </c>
      <c r="H56" s="95">
        <v>33</v>
      </c>
      <c r="J56" s="96">
        <v>0</v>
      </c>
      <c r="K56" s="92" t="s">
        <v>670</v>
      </c>
      <c r="L56" s="92" t="s">
        <v>638</v>
      </c>
      <c r="O56" s="92" t="s">
        <v>687</v>
      </c>
      <c r="P56" s="92" t="s">
        <v>640</v>
      </c>
    </row>
    <row r="57" spans="2:16" x14ac:dyDescent="0.25">
      <c r="B57" s="92" t="s">
        <v>634</v>
      </c>
      <c r="C57" s="93">
        <v>43952</v>
      </c>
      <c r="D57" s="92" t="s">
        <v>682</v>
      </c>
      <c r="E57" s="92" t="s">
        <v>666</v>
      </c>
      <c r="F57" s="92" t="s">
        <v>54</v>
      </c>
      <c r="G57" s="94">
        <v>22.21</v>
      </c>
      <c r="H57" s="95">
        <v>35</v>
      </c>
      <c r="J57" s="96">
        <v>0</v>
      </c>
      <c r="K57" s="92" t="s">
        <v>670</v>
      </c>
      <c r="L57" s="92" t="s">
        <v>638</v>
      </c>
      <c r="O57" s="92" t="s">
        <v>687</v>
      </c>
      <c r="P57" s="92" t="s">
        <v>640</v>
      </c>
    </row>
    <row r="58" spans="2:16" x14ac:dyDescent="0.25">
      <c r="B58" s="92" t="s">
        <v>634</v>
      </c>
      <c r="C58" s="93">
        <v>43952</v>
      </c>
      <c r="D58" s="92" t="s">
        <v>682</v>
      </c>
      <c r="E58" s="92" t="s">
        <v>666</v>
      </c>
      <c r="F58" s="92" t="s">
        <v>54</v>
      </c>
      <c r="G58" s="94">
        <v>10.09</v>
      </c>
      <c r="H58" s="95">
        <v>37</v>
      </c>
      <c r="J58" s="96">
        <v>0</v>
      </c>
      <c r="K58" s="92" t="s">
        <v>670</v>
      </c>
      <c r="L58" s="92" t="s">
        <v>638</v>
      </c>
      <c r="O58" s="92" t="s">
        <v>687</v>
      </c>
      <c r="P58" s="92" t="s">
        <v>640</v>
      </c>
    </row>
    <row r="59" spans="2:16" x14ac:dyDescent="0.25">
      <c r="B59" s="92" t="s">
        <v>634</v>
      </c>
      <c r="C59" s="93">
        <v>43955</v>
      </c>
      <c r="D59" s="92" t="s">
        <v>688</v>
      </c>
      <c r="E59" s="92" t="s">
        <v>652</v>
      </c>
      <c r="F59" s="92" t="s">
        <v>54</v>
      </c>
      <c r="G59" s="94">
        <v>8.82</v>
      </c>
      <c r="H59" s="95">
        <v>7</v>
      </c>
      <c r="J59" s="96">
        <v>0</v>
      </c>
      <c r="K59" s="92" t="s">
        <v>689</v>
      </c>
      <c r="L59" s="92" t="s">
        <v>638</v>
      </c>
      <c r="O59" s="92" t="s">
        <v>690</v>
      </c>
      <c r="P59" s="92" t="s">
        <v>640</v>
      </c>
    </row>
    <row r="60" spans="2:16" x14ac:dyDescent="0.25">
      <c r="B60" s="92" t="s">
        <v>634</v>
      </c>
      <c r="C60" s="93">
        <v>43955</v>
      </c>
      <c r="D60" s="92" t="s">
        <v>688</v>
      </c>
      <c r="E60" s="92" t="s">
        <v>652</v>
      </c>
      <c r="F60" s="92" t="s">
        <v>54</v>
      </c>
      <c r="G60" s="94">
        <v>10.93</v>
      </c>
      <c r="H60" s="95">
        <v>9</v>
      </c>
      <c r="J60" s="96">
        <v>0</v>
      </c>
      <c r="K60" s="92" t="s">
        <v>653</v>
      </c>
      <c r="L60" s="92" t="s">
        <v>638</v>
      </c>
      <c r="O60" s="92" t="s">
        <v>691</v>
      </c>
      <c r="P60" s="92" t="s">
        <v>640</v>
      </c>
    </row>
    <row r="61" spans="2:16" x14ac:dyDescent="0.25">
      <c r="B61" s="92" t="s">
        <v>634</v>
      </c>
      <c r="C61" s="93">
        <v>43955</v>
      </c>
      <c r="D61" s="92" t="s">
        <v>688</v>
      </c>
      <c r="E61" s="92" t="s">
        <v>652</v>
      </c>
      <c r="F61" s="92" t="s">
        <v>54</v>
      </c>
      <c r="G61" s="94">
        <v>10.93</v>
      </c>
      <c r="H61" s="95">
        <v>11</v>
      </c>
      <c r="J61" s="96">
        <v>0</v>
      </c>
      <c r="K61" s="92" t="s">
        <v>653</v>
      </c>
      <c r="L61" s="92" t="s">
        <v>638</v>
      </c>
      <c r="O61" s="92" t="s">
        <v>692</v>
      </c>
      <c r="P61" s="92" t="s">
        <v>640</v>
      </c>
    </row>
    <row r="62" spans="2:16" x14ac:dyDescent="0.25">
      <c r="B62" s="92" t="s">
        <v>634</v>
      </c>
      <c r="C62" s="93">
        <v>43955</v>
      </c>
      <c r="D62" s="92" t="s">
        <v>688</v>
      </c>
      <c r="E62" s="92" t="s">
        <v>652</v>
      </c>
      <c r="F62" s="92" t="s">
        <v>54</v>
      </c>
      <c r="G62" s="94">
        <v>10.56</v>
      </c>
      <c r="H62" s="95">
        <v>13</v>
      </c>
      <c r="J62" s="96">
        <v>0</v>
      </c>
      <c r="K62" s="92" t="s">
        <v>653</v>
      </c>
      <c r="L62" s="92" t="s">
        <v>638</v>
      </c>
      <c r="O62" s="92" t="s">
        <v>693</v>
      </c>
      <c r="P62" s="92" t="s">
        <v>640</v>
      </c>
    </row>
    <row r="63" spans="2:16" x14ac:dyDescent="0.25">
      <c r="B63" s="92" t="s">
        <v>634</v>
      </c>
      <c r="C63" s="93">
        <v>43956</v>
      </c>
      <c r="D63" s="92" t="s">
        <v>694</v>
      </c>
      <c r="E63" s="92" t="s">
        <v>666</v>
      </c>
      <c r="F63" s="92" t="s">
        <v>60</v>
      </c>
      <c r="G63" s="94">
        <v>236.3</v>
      </c>
      <c r="H63" s="95">
        <v>17</v>
      </c>
      <c r="J63" s="96">
        <v>0</v>
      </c>
      <c r="K63" s="92" t="s">
        <v>695</v>
      </c>
      <c r="L63" s="92" t="s">
        <v>638</v>
      </c>
      <c r="O63" s="92" t="s">
        <v>696</v>
      </c>
      <c r="P63" s="92" t="s">
        <v>640</v>
      </c>
    </row>
    <row r="64" spans="2:16" x14ac:dyDescent="0.25">
      <c r="B64" s="92" t="s">
        <v>634</v>
      </c>
      <c r="C64" s="93">
        <v>43956</v>
      </c>
      <c r="D64" s="92" t="s">
        <v>694</v>
      </c>
      <c r="E64" s="92" t="s">
        <v>666</v>
      </c>
      <c r="F64" s="92" t="s">
        <v>60</v>
      </c>
      <c r="G64" s="94">
        <v>99.24</v>
      </c>
      <c r="H64" s="95">
        <v>31</v>
      </c>
      <c r="J64" s="96">
        <v>0</v>
      </c>
      <c r="K64" s="92" t="s">
        <v>695</v>
      </c>
      <c r="L64" s="92" t="s">
        <v>638</v>
      </c>
      <c r="O64" s="92" t="s">
        <v>697</v>
      </c>
      <c r="P64" s="92" t="s">
        <v>640</v>
      </c>
    </row>
    <row r="65" spans="2:16" x14ac:dyDescent="0.25">
      <c r="B65" s="92" t="s">
        <v>634</v>
      </c>
      <c r="C65" s="93">
        <v>43956</v>
      </c>
      <c r="D65" s="92" t="s">
        <v>694</v>
      </c>
      <c r="E65" s="92" t="s">
        <v>666</v>
      </c>
      <c r="F65" s="92" t="s">
        <v>60</v>
      </c>
      <c r="G65" s="94">
        <v>237.27</v>
      </c>
      <c r="H65" s="95">
        <v>33</v>
      </c>
      <c r="J65" s="96">
        <v>0</v>
      </c>
      <c r="K65" s="92" t="s">
        <v>695</v>
      </c>
      <c r="L65" s="92" t="s">
        <v>638</v>
      </c>
      <c r="O65" s="92" t="s">
        <v>698</v>
      </c>
      <c r="P65" s="92" t="s">
        <v>640</v>
      </c>
    </row>
    <row r="66" spans="2:16" x14ac:dyDescent="0.25">
      <c r="B66" s="92" t="s">
        <v>634</v>
      </c>
      <c r="C66" s="93">
        <v>43956</v>
      </c>
      <c r="D66" s="92" t="s">
        <v>694</v>
      </c>
      <c r="E66" s="92" t="s">
        <v>666</v>
      </c>
      <c r="F66" s="92" t="s">
        <v>60</v>
      </c>
      <c r="G66" s="94">
        <v>195.08</v>
      </c>
      <c r="H66" s="95">
        <v>35</v>
      </c>
      <c r="J66" s="96">
        <v>0</v>
      </c>
      <c r="K66" s="92" t="s">
        <v>695</v>
      </c>
      <c r="L66" s="92" t="s">
        <v>638</v>
      </c>
      <c r="O66" s="92" t="s">
        <v>699</v>
      </c>
      <c r="P66" s="92" t="s">
        <v>640</v>
      </c>
    </row>
    <row r="67" spans="2:16" x14ac:dyDescent="0.25">
      <c r="B67" s="92" t="s">
        <v>634</v>
      </c>
      <c r="C67" s="93">
        <v>43956</v>
      </c>
      <c r="D67" s="92" t="s">
        <v>694</v>
      </c>
      <c r="E67" s="92" t="s">
        <v>666</v>
      </c>
      <c r="F67" s="92" t="s">
        <v>60</v>
      </c>
      <c r="G67" s="94">
        <v>34.880000000000003</v>
      </c>
      <c r="H67" s="95">
        <v>37</v>
      </c>
      <c r="J67" s="96">
        <v>0</v>
      </c>
      <c r="K67" s="92" t="s">
        <v>695</v>
      </c>
      <c r="L67" s="92" t="s">
        <v>638</v>
      </c>
      <c r="O67" s="92" t="s">
        <v>700</v>
      </c>
      <c r="P67" s="92" t="s">
        <v>640</v>
      </c>
    </row>
    <row r="68" spans="2:16" x14ac:dyDescent="0.25">
      <c r="B68" s="92" t="s">
        <v>634</v>
      </c>
      <c r="C68" s="93">
        <v>43956</v>
      </c>
      <c r="D68" s="92" t="s">
        <v>694</v>
      </c>
      <c r="E68" s="92" t="s">
        <v>652</v>
      </c>
      <c r="F68" s="92" t="s">
        <v>54</v>
      </c>
      <c r="G68" s="94">
        <v>10.92</v>
      </c>
      <c r="H68" s="95">
        <v>43</v>
      </c>
      <c r="J68" s="96">
        <v>0</v>
      </c>
      <c r="K68" s="92" t="s">
        <v>701</v>
      </c>
      <c r="L68" s="92" t="s">
        <v>638</v>
      </c>
      <c r="O68" s="92" t="s">
        <v>702</v>
      </c>
      <c r="P68" s="92" t="s">
        <v>640</v>
      </c>
    </row>
    <row r="69" spans="2:16" x14ac:dyDescent="0.25">
      <c r="B69" s="92" t="s">
        <v>634</v>
      </c>
      <c r="C69" s="93">
        <v>43958</v>
      </c>
      <c r="D69" s="92" t="s">
        <v>703</v>
      </c>
      <c r="E69" s="92" t="s">
        <v>645</v>
      </c>
      <c r="F69" s="92" t="s">
        <v>54</v>
      </c>
      <c r="G69" s="94">
        <v>10.81</v>
      </c>
      <c r="H69" s="95">
        <v>3</v>
      </c>
      <c r="J69" s="96">
        <v>0</v>
      </c>
      <c r="K69" s="92" t="s">
        <v>659</v>
      </c>
      <c r="L69" s="92" t="s">
        <v>638</v>
      </c>
      <c r="O69" s="92" t="s">
        <v>704</v>
      </c>
      <c r="P69" s="92" t="s">
        <v>640</v>
      </c>
    </row>
    <row r="70" spans="2:16" x14ac:dyDescent="0.25">
      <c r="B70" s="92" t="s">
        <v>634</v>
      </c>
      <c r="C70" s="93">
        <v>43958</v>
      </c>
      <c r="D70" s="92" t="s">
        <v>703</v>
      </c>
      <c r="E70" s="92" t="s">
        <v>645</v>
      </c>
      <c r="F70" s="92" t="s">
        <v>54</v>
      </c>
      <c r="G70" s="94">
        <v>12.18</v>
      </c>
      <c r="H70" s="95">
        <v>5</v>
      </c>
      <c r="J70" s="96">
        <v>0</v>
      </c>
      <c r="K70" s="92" t="s">
        <v>659</v>
      </c>
      <c r="L70" s="92" t="s">
        <v>638</v>
      </c>
      <c r="O70" s="92" t="s">
        <v>704</v>
      </c>
      <c r="P70" s="92" t="s">
        <v>640</v>
      </c>
    </row>
    <row r="71" spans="2:16" x14ac:dyDescent="0.25">
      <c r="B71" s="92" t="s">
        <v>634</v>
      </c>
      <c r="C71" s="93">
        <v>43958</v>
      </c>
      <c r="D71" s="92" t="s">
        <v>703</v>
      </c>
      <c r="E71" s="92" t="s">
        <v>636</v>
      </c>
      <c r="F71" s="92" t="s">
        <v>54</v>
      </c>
      <c r="G71" s="94">
        <v>131.07</v>
      </c>
      <c r="H71" s="95">
        <v>9</v>
      </c>
      <c r="J71" s="96">
        <v>0</v>
      </c>
      <c r="K71" s="92" t="s">
        <v>642</v>
      </c>
      <c r="L71" s="92" t="s">
        <v>638</v>
      </c>
      <c r="O71" s="92" t="s">
        <v>705</v>
      </c>
      <c r="P71" s="92" t="s">
        <v>640</v>
      </c>
    </row>
    <row r="72" spans="2:16" x14ac:dyDescent="0.25">
      <c r="B72" s="92" t="s">
        <v>634</v>
      </c>
      <c r="C72" s="93">
        <v>43958</v>
      </c>
      <c r="D72" s="92" t="s">
        <v>703</v>
      </c>
      <c r="E72" s="92" t="s">
        <v>636</v>
      </c>
      <c r="F72" s="92" t="s">
        <v>54</v>
      </c>
      <c r="G72" s="94">
        <v>64.87</v>
      </c>
      <c r="H72" s="95">
        <v>11</v>
      </c>
      <c r="J72" s="96">
        <v>0</v>
      </c>
      <c r="K72" s="92" t="s">
        <v>642</v>
      </c>
      <c r="L72" s="92" t="s">
        <v>638</v>
      </c>
      <c r="O72" s="92" t="s">
        <v>705</v>
      </c>
      <c r="P72" s="92" t="s">
        <v>640</v>
      </c>
    </row>
    <row r="73" spans="2:16" x14ac:dyDescent="0.25">
      <c r="B73" s="92" t="s">
        <v>634</v>
      </c>
      <c r="C73" s="93">
        <v>43958</v>
      </c>
      <c r="D73" s="92" t="s">
        <v>703</v>
      </c>
      <c r="E73" s="92" t="s">
        <v>636</v>
      </c>
      <c r="F73" s="92" t="s">
        <v>54</v>
      </c>
      <c r="G73" s="94">
        <v>86.18</v>
      </c>
      <c r="H73" s="95">
        <v>13</v>
      </c>
      <c r="J73" s="96">
        <v>0</v>
      </c>
      <c r="K73" s="92" t="s">
        <v>642</v>
      </c>
      <c r="L73" s="92" t="s">
        <v>638</v>
      </c>
      <c r="O73" s="92" t="s">
        <v>705</v>
      </c>
      <c r="P73" s="92" t="s">
        <v>640</v>
      </c>
    </row>
    <row r="74" spans="2:16" x14ac:dyDescent="0.25">
      <c r="B74" s="92" t="s">
        <v>634</v>
      </c>
      <c r="C74" s="93">
        <v>43964</v>
      </c>
      <c r="D74" s="92" t="s">
        <v>706</v>
      </c>
      <c r="E74" s="92" t="s">
        <v>648</v>
      </c>
      <c r="F74" s="92" t="s">
        <v>54</v>
      </c>
      <c r="G74" s="94">
        <v>9.68</v>
      </c>
      <c r="H74" s="95">
        <v>7</v>
      </c>
      <c r="J74" s="96">
        <v>0</v>
      </c>
      <c r="K74" s="92" t="s">
        <v>649</v>
      </c>
      <c r="L74" s="92" t="s">
        <v>638</v>
      </c>
      <c r="O74" s="92" t="s">
        <v>707</v>
      </c>
      <c r="P74" s="92" t="s">
        <v>640</v>
      </c>
    </row>
    <row r="75" spans="2:16" x14ac:dyDescent="0.25">
      <c r="B75" s="92" t="s">
        <v>634</v>
      </c>
      <c r="C75" s="93">
        <v>43964</v>
      </c>
      <c r="D75" s="92" t="s">
        <v>706</v>
      </c>
      <c r="E75" s="92" t="s">
        <v>648</v>
      </c>
      <c r="F75" s="92" t="s">
        <v>54</v>
      </c>
      <c r="G75" s="94">
        <v>39.75</v>
      </c>
      <c r="H75" s="95">
        <v>11</v>
      </c>
      <c r="J75" s="96">
        <v>0</v>
      </c>
      <c r="K75" s="92" t="s">
        <v>683</v>
      </c>
      <c r="L75" s="92" t="s">
        <v>638</v>
      </c>
      <c r="O75" s="92" t="s">
        <v>708</v>
      </c>
      <c r="P75" s="92" t="s">
        <v>640</v>
      </c>
    </row>
    <row r="76" spans="2:16" x14ac:dyDescent="0.25">
      <c r="B76" s="92" t="s">
        <v>634</v>
      </c>
      <c r="C76" s="93">
        <v>43964</v>
      </c>
      <c r="D76" s="92" t="s">
        <v>706</v>
      </c>
      <c r="E76" s="92" t="s">
        <v>648</v>
      </c>
      <c r="F76" s="92" t="s">
        <v>54</v>
      </c>
      <c r="G76" s="94">
        <v>18.5</v>
      </c>
      <c r="H76" s="95">
        <v>13</v>
      </c>
      <c r="J76" s="96">
        <v>0</v>
      </c>
      <c r="K76" s="92" t="s">
        <v>683</v>
      </c>
      <c r="L76" s="92" t="s">
        <v>638</v>
      </c>
      <c r="O76" s="92" t="s">
        <v>708</v>
      </c>
      <c r="P76" s="92" t="s">
        <v>640</v>
      </c>
    </row>
    <row r="77" spans="2:16" x14ac:dyDescent="0.25">
      <c r="B77" s="92" t="s">
        <v>634</v>
      </c>
      <c r="C77" s="93">
        <v>43964</v>
      </c>
      <c r="D77" s="92" t="s">
        <v>706</v>
      </c>
      <c r="E77" s="92" t="s">
        <v>652</v>
      </c>
      <c r="F77" s="92" t="s">
        <v>54</v>
      </c>
      <c r="G77" s="94">
        <v>10.56</v>
      </c>
      <c r="H77" s="95">
        <v>15</v>
      </c>
      <c r="J77" s="96">
        <v>0</v>
      </c>
      <c r="K77" s="92" t="s">
        <v>653</v>
      </c>
      <c r="L77" s="92" t="s">
        <v>638</v>
      </c>
      <c r="O77" s="92" t="s">
        <v>709</v>
      </c>
      <c r="P77" s="92" t="s">
        <v>640</v>
      </c>
    </row>
    <row r="78" spans="2:16" x14ac:dyDescent="0.25">
      <c r="B78" s="92" t="s">
        <v>634</v>
      </c>
      <c r="C78" s="93">
        <v>43964</v>
      </c>
      <c r="D78" s="92" t="s">
        <v>706</v>
      </c>
      <c r="E78" s="92" t="s">
        <v>645</v>
      </c>
      <c r="F78" s="92" t="s">
        <v>54</v>
      </c>
      <c r="G78" s="94">
        <v>14.02</v>
      </c>
      <c r="H78" s="95">
        <v>17</v>
      </c>
      <c r="J78" s="96">
        <v>0</v>
      </c>
      <c r="K78" s="92" t="s">
        <v>646</v>
      </c>
      <c r="L78" s="92" t="s">
        <v>638</v>
      </c>
      <c r="O78" s="92" t="s">
        <v>710</v>
      </c>
      <c r="P78" s="92" t="s">
        <v>640</v>
      </c>
    </row>
    <row r="79" spans="2:16" x14ac:dyDescent="0.25">
      <c r="B79" s="92" t="s">
        <v>634</v>
      </c>
      <c r="C79" s="93">
        <v>43964</v>
      </c>
      <c r="D79" s="92" t="s">
        <v>706</v>
      </c>
      <c r="E79" s="92" t="s">
        <v>645</v>
      </c>
      <c r="F79" s="92" t="s">
        <v>54</v>
      </c>
      <c r="G79" s="94">
        <v>10.36</v>
      </c>
      <c r="H79" s="95">
        <v>19</v>
      </c>
      <c r="J79" s="96">
        <v>0</v>
      </c>
      <c r="K79" s="92" t="s">
        <v>646</v>
      </c>
      <c r="L79" s="92" t="s">
        <v>638</v>
      </c>
      <c r="O79" s="92" t="s">
        <v>710</v>
      </c>
      <c r="P79" s="92" t="s">
        <v>640</v>
      </c>
    </row>
    <row r="80" spans="2:16" x14ac:dyDescent="0.25">
      <c r="B80" s="92" t="s">
        <v>634</v>
      </c>
      <c r="C80" s="93">
        <v>43964</v>
      </c>
      <c r="D80" s="92" t="s">
        <v>706</v>
      </c>
      <c r="E80" s="92" t="s">
        <v>645</v>
      </c>
      <c r="F80" s="92" t="s">
        <v>54</v>
      </c>
      <c r="G80" s="94">
        <v>10.36</v>
      </c>
      <c r="H80" s="95">
        <v>21</v>
      </c>
      <c r="J80" s="96">
        <v>0</v>
      </c>
      <c r="K80" s="92" t="s">
        <v>646</v>
      </c>
      <c r="L80" s="92" t="s">
        <v>638</v>
      </c>
      <c r="O80" s="92" t="s">
        <v>710</v>
      </c>
      <c r="P80" s="92" t="s">
        <v>640</v>
      </c>
    </row>
    <row r="81" spans="2:16" x14ac:dyDescent="0.25">
      <c r="B81" s="92" t="s">
        <v>634</v>
      </c>
      <c r="C81" s="93">
        <v>43964</v>
      </c>
      <c r="D81" s="92" t="s">
        <v>706</v>
      </c>
      <c r="E81" s="92" t="s">
        <v>645</v>
      </c>
      <c r="F81" s="92" t="s">
        <v>54</v>
      </c>
      <c r="G81" s="94">
        <v>10.36</v>
      </c>
      <c r="H81" s="95">
        <v>23</v>
      </c>
      <c r="J81" s="96">
        <v>0</v>
      </c>
      <c r="K81" s="92" t="s">
        <v>646</v>
      </c>
      <c r="L81" s="92" t="s">
        <v>638</v>
      </c>
      <c r="O81" s="92" t="s">
        <v>710</v>
      </c>
      <c r="P81" s="92" t="s">
        <v>640</v>
      </c>
    </row>
    <row r="82" spans="2:16" x14ac:dyDescent="0.25">
      <c r="B82" s="92" t="s">
        <v>634</v>
      </c>
      <c r="C82" s="93">
        <v>43965</v>
      </c>
      <c r="D82" s="92" t="s">
        <v>711</v>
      </c>
      <c r="E82" s="92" t="s">
        <v>648</v>
      </c>
      <c r="F82" s="92" t="s">
        <v>54</v>
      </c>
      <c r="G82" s="94">
        <v>13.38</v>
      </c>
      <c r="H82" s="95">
        <v>21</v>
      </c>
      <c r="J82" s="96">
        <v>0</v>
      </c>
      <c r="K82" s="92" t="s">
        <v>649</v>
      </c>
      <c r="L82" s="92" t="s">
        <v>638</v>
      </c>
      <c r="O82" s="92" t="s">
        <v>712</v>
      </c>
      <c r="P82" s="92" t="s">
        <v>640</v>
      </c>
    </row>
    <row r="83" spans="2:16" x14ac:dyDescent="0.25">
      <c r="B83" s="92" t="s">
        <v>634</v>
      </c>
      <c r="C83" s="93">
        <v>43965</v>
      </c>
      <c r="D83" s="92" t="s">
        <v>711</v>
      </c>
      <c r="E83" s="92" t="s">
        <v>648</v>
      </c>
      <c r="F83" s="92" t="s">
        <v>54</v>
      </c>
      <c r="G83" s="94">
        <v>20.85</v>
      </c>
      <c r="H83" s="95">
        <v>23</v>
      </c>
      <c r="J83" s="96">
        <v>0</v>
      </c>
      <c r="K83" s="92" t="s">
        <v>649</v>
      </c>
      <c r="L83" s="92" t="s">
        <v>638</v>
      </c>
      <c r="O83" s="92" t="s">
        <v>713</v>
      </c>
      <c r="P83" s="92" t="s">
        <v>640</v>
      </c>
    </row>
    <row r="84" spans="2:16" x14ac:dyDescent="0.25">
      <c r="B84" s="92" t="s">
        <v>634</v>
      </c>
      <c r="C84" s="93">
        <v>43971</v>
      </c>
      <c r="D84" s="92" t="s">
        <v>714</v>
      </c>
      <c r="E84" s="92" t="s">
        <v>645</v>
      </c>
      <c r="F84" s="92" t="s">
        <v>54</v>
      </c>
      <c r="G84" s="94">
        <v>9.02</v>
      </c>
      <c r="H84" s="95">
        <v>3</v>
      </c>
      <c r="J84" s="96">
        <v>0</v>
      </c>
      <c r="K84" s="92" t="s">
        <v>677</v>
      </c>
      <c r="L84" s="92" t="s">
        <v>638</v>
      </c>
      <c r="O84" s="92" t="s">
        <v>715</v>
      </c>
      <c r="P84" s="92" t="s">
        <v>640</v>
      </c>
    </row>
    <row r="85" spans="2:16" x14ac:dyDescent="0.25">
      <c r="B85" s="92" t="s">
        <v>634</v>
      </c>
      <c r="C85" s="93">
        <v>43971</v>
      </c>
      <c r="D85" s="92" t="s">
        <v>714</v>
      </c>
      <c r="E85" s="92" t="s">
        <v>645</v>
      </c>
      <c r="F85" s="92" t="s">
        <v>54</v>
      </c>
      <c r="G85" s="94">
        <v>9.02</v>
      </c>
      <c r="H85" s="95">
        <v>5</v>
      </c>
      <c r="J85" s="96">
        <v>0</v>
      </c>
      <c r="K85" s="92" t="s">
        <v>677</v>
      </c>
      <c r="L85" s="92" t="s">
        <v>638</v>
      </c>
      <c r="O85" s="92" t="s">
        <v>716</v>
      </c>
      <c r="P85" s="92" t="s">
        <v>640</v>
      </c>
    </row>
    <row r="86" spans="2:16" x14ac:dyDescent="0.25">
      <c r="B86" s="92" t="s">
        <v>634</v>
      </c>
      <c r="C86" s="93">
        <v>43971</v>
      </c>
      <c r="D86" s="92" t="s">
        <v>717</v>
      </c>
      <c r="E86" s="92" t="s">
        <v>652</v>
      </c>
      <c r="F86" s="92" t="s">
        <v>54</v>
      </c>
      <c r="G86" s="94">
        <v>17.39</v>
      </c>
      <c r="H86" s="95">
        <v>1</v>
      </c>
      <c r="J86" s="96">
        <v>0</v>
      </c>
      <c r="K86" s="92" t="s">
        <v>653</v>
      </c>
      <c r="L86" s="92" t="s">
        <v>638</v>
      </c>
      <c r="O86" s="92" t="s">
        <v>718</v>
      </c>
      <c r="P86" s="92" t="s">
        <v>640</v>
      </c>
    </row>
    <row r="87" spans="2:16" x14ac:dyDescent="0.25">
      <c r="B87" s="92" t="s">
        <v>634</v>
      </c>
      <c r="C87" s="93">
        <v>43971</v>
      </c>
      <c r="D87" s="92" t="s">
        <v>717</v>
      </c>
      <c r="E87" s="92" t="s">
        <v>652</v>
      </c>
      <c r="F87" s="92" t="s">
        <v>54</v>
      </c>
      <c r="G87" s="94">
        <v>18.03</v>
      </c>
      <c r="H87" s="95">
        <v>3</v>
      </c>
      <c r="J87" s="96">
        <v>0</v>
      </c>
      <c r="K87" s="92" t="s">
        <v>653</v>
      </c>
      <c r="L87" s="92" t="s">
        <v>638</v>
      </c>
      <c r="O87" s="92" t="s">
        <v>719</v>
      </c>
      <c r="P87" s="92" t="s">
        <v>640</v>
      </c>
    </row>
    <row r="88" spans="2:16" x14ac:dyDescent="0.25">
      <c r="B88" s="92" t="s">
        <v>634</v>
      </c>
      <c r="C88" s="93">
        <v>43973</v>
      </c>
      <c r="D88" s="92" t="s">
        <v>720</v>
      </c>
      <c r="E88" s="92" t="s">
        <v>652</v>
      </c>
      <c r="F88" s="92" t="s">
        <v>54</v>
      </c>
      <c r="G88" s="94">
        <v>10.93</v>
      </c>
      <c r="H88" s="95">
        <v>1</v>
      </c>
      <c r="J88" s="96">
        <v>0</v>
      </c>
      <c r="K88" s="92" t="s">
        <v>653</v>
      </c>
      <c r="L88" s="92" t="s">
        <v>638</v>
      </c>
      <c r="O88" s="92" t="s">
        <v>721</v>
      </c>
      <c r="P88" s="92" t="s">
        <v>640</v>
      </c>
    </row>
    <row r="89" spans="2:16" x14ac:dyDescent="0.25">
      <c r="B89" s="92" t="s">
        <v>634</v>
      </c>
      <c r="C89" s="93">
        <v>43973</v>
      </c>
      <c r="D89" s="92" t="s">
        <v>720</v>
      </c>
      <c r="E89" s="92" t="s">
        <v>652</v>
      </c>
      <c r="F89" s="92" t="s">
        <v>54</v>
      </c>
      <c r="G89" s="94">
        <v>9</v>
      </c>
      <c r="H89" s="95">
        <v>3</v>
      </c>
      <c r="J89" s="96">
        <v>0</v>
      </c>
      <c r="K89" s="92" t="s">
        <v>653</v>
      </c>
      <c r="L89" s="92" t="s">
        <v>638</v>
      </c>
      <c r="O89" s="92" t="s">
        <v>722</v>
      </c>
      <c r="P89" s="92" t="s">
        <v>640</v>
      </c>
    </row>
    <row r="90" spans="2:16" x14ac:dyDescent="0.25">
      <c r="B90" s="92" t="s">
        <v>634</v>
      </c>
      <c r="C90" s="93">
        <v>43979</v>
      </c>
      <c r="D90" s="92" t="s">
        <v>723</v>
      </c>
      <c r="E90" s="92" t="s">
        <v>636</v>
      </c>
      <c r="F90" s="92" t="s">
        <v>54</v>
      </c>
      <c r="G90" s="94">
        <v>121.92</v>
      </c>
      <c r="H90" s="95">
        <v>3</v>
      </c>
      <c r="J90" s="96">
        <v>0</v>
      </c>
      <c r="K90" s="92" t="s">
        <v>642</v>
      </c>
      <c r="L90" s="92" t="s">
        <v>638</v>
      </c>
      <c r="O90" s="92" t="s">
        <v>724</v>
      </c>
      <c r="P90" s="92" t="s">
        <v>640</v>
      </c>
    </row>
    <row r="91" spans="2:16" x14ac:dyDescent="0.25">
      <c r="B91" s="92" t="s">
        <v>634</v>
      </c>
      <c r="C91" s="93">
        <v>43982</v>
      </c>
      <c r="D91" s="92" t="s">
        <v>725</v>
      </c>
      <c r="E91" s="92" t="s">
        <v>666</v>
      </c>
      <c r="F91" s="92" t="s">
        <v>54</v>
      </c>
      <c r="G91" s="94">
        <v>12.56</v>
      </c>
      <c r="H91" s="95">
        <v>7</v>
      </c>
      <c r="J91" s="96">
        <v>0</v>
      </c>
      <c r="K91" s="92" t="s">
        <v>726</v>
      </c>
      <c r="L91" s="92" t="s">
        <v>727</v>
      </c>
      <c r="P91" s="92" t="s">
        <v>640</v>
      </c>
    </row>
    <row r="92" spans="2:16" x14ac:dyDescent="0.25">
      <c r="B92" s="92" t="s">
        <v>634</v>
      </c>
      <c r="C92" s="93">
        <v>43982</v>
      </c>
      <c r="D92" s="92" t="s">
        <v>725</v>
      </c>
      <c r="E92" s="92" t="s">
        <v>666</v>
      </c>
      <c r="F92" s="92" t="s">
        <v>54</v>
      </c>
      <c r="G92" s="94">
        <v>12.66</v>
      </c>
      <c r="H92" s="95">
        <v>8</v>
      </c>
      <c r="J92" s="96">
        <v>0</v>
      </c>
      <c r="K92" s="92" t="s">
        <v>726</v>
      </c>
      <c r="L92" s="92" t="s">
        <v>727</v>
      </c>
      <c r="P92" s="92" t="s">
        <v>640</v>
      </c>
    </row>
    <row r="93" spans="2:16" x14ac:dyDescent="0.25">
      <c r="B93" s="92" t="s">
        <v>634</v>
      </c>
      <c r="C93" s="93">
        <v>43985</v>
      </c>
      <c r="D93" s="92" t="s">
        <v>728</v>
      </c>
      <c r="E93" s="92" t="s">
        <v>729</v>
      </c>
      <c r="F93" s="92" t="s">
        <v>54</v>
      </c>
      <c r="G93" s="94">
        <v>16.510000000000002</v>
      </c>
      <c r="H93" s="95">
        <v>1</v>
      </c>
      <c r="J93" s="96">
        <v>0</v>
      </c>
      <c r="K93" s="92" t="s">
        <v>730</v>
      </c>
      <c r="L93" s="92" t="s">
        <v>638</v>
      </c>
      <c r="O93" s="92" t="s">
        <v>731</v>
      </c>
      <c r="P93" s="92" t="s">
        <v>640</v>
      </c>
    </row>
    <row r="94" spans="2:16" x14ac:dyDescent="0.25">
      <c r="B94" s="92" t="s">
        <v>634</v>
      </c>
      <c r="C94" s="93">
        <v>43985</v>
      </c>
      <c r="D94" s="92" t="s">
        <v>728</v>
      </c>
      <c r="E94" s="92" t="s">
        <v>729</v>
      </c>
      <c r="F94" s="92" t="s">
        <v>54</v>
      </c>
      <c r="G94" s="94">
        <v>18.350000000000001</v>
      </c>
      <c r="H94" s="95">
        <v>3</v>
      </c>
      <c r="J94" s="96">
        <v>0</v>
      </c>
      <c r="K94" s="92" t="s">
        <v>730</v>
      </c>
      <c r="L94" s="92" t="s">
        <v>638</v>
      </c>
      <c r="O94" s="92" t="s">
        <v>731</v>
      </c>
      <c r="P94" s="92" t="s">
        <v>640</v>
      </c>
    </row>
    <row r="95" spans="2:16" x14ac:dyDescent="0.25">
      <c r="B95" s="92" t="s">
        <v>634</v>
      </c>
      <c r="C95" s="93">
        <v>43985</v>
      </c>
      <c r="D95" s="92" t="s">
        <v>728</v>
      </c>
      <c r="E95" s="92" t="s">
        <v>729</v>
      </c>
      <c r="F95" s="92" t="s">
        <v>54</v>
      </c>
      <c r="G95" s="94">
        <v>14.88</v>
      </c>
      <c r="H95" s="95">
        <v>5</v>
      </c>
      <c r="J95" s="96">
        <v>0</v>
      </c>
      <c r="K95" s="92" t="s">
        <v>730</v>
      </c>
      <c r="L95" s="92" t="s">
        <v>638</v>
      </c>
      <c r="O95" s="92" t="s">
        <v>731</v>
      </c>
      <c r="P95" s="92" t="s">
        <v>640</v>
      </c>
    </row>
    <row r="96" spans="2:16" x14ac:dyDescent="0.25">
      <c r="B96" s="92" t="s">
        <v>634</v>
      </c>
      <c r="C96" s="93">
        <v>43985</v>
      </c>
      <c r="D96" s="92" t="s">
        <v>728</v>
      </c>
      <c r="E96" s="92" t="s">
        <v>729</v>
      </c>
      <c r="F96" s="92" t="s">
        <v>54</v>
      </c>
      <c r="G96" s="94">
        <v>8.09</v>
      </c>
      <c r="H96" s="95">
        <v>9</v>
      </c>
      <c r="J96" s="96">
        <v>0</v>
      </c>
      <c r="K96" s="92" t="s">
        <v>730</v>
      </c>
      <c r="L96" s="92" t="s">
        <v>638</v>
      </c>
      <c r="O96" s="92" t="s">
        <v>731</v>
      </c>
      <c r="P96" s="92" t="s">
        <v>640</v>
      </c>
    </row>
    <row r="97" spans="2:16" x14ac:dyDescent="0.25">
      <c r="B97" s="92" t="s">
        <v>634</v>
      </c>
      <c r="C97" s="93">
        <v>43985</v>
      </c>
      <c r="D97" s="92" t="s">
        <v>728</v>
      </c>
      <c r="E97" s="92" t="s">
        <v>729</v>
      </c>
      <c r="F97" s="92" t="s">
        <v>54</v>
      </c>
      <c r="G97" s="94">
        <v>10.26</v>
      </c>
      <c r="H97" s="95">
        <v>11</v>
      </c>
      <c r="J97" s="96">
        <v>0</v>
      </c>
      <c r="K97" s="92" t="s">
        <v>730</v>
      </c>
      <c r="L97" s="92" t="s">
        <v>638</v>
      </c>
      <c r="O97" s="92" t="s">
        <v>731</v>
      </c>
      <c r="P97" s="92" t="s">
        <v>640</v>
      </c>
    </row>
    <row r="98" spans="2:16" x14ac:dyDescent="0.25">
      <c r="B98" s="92" t="s">
        <v>634</v>
      </c>
      <c r="C98" s="93">
        <v>43986</v>
      </c>
      <c r="D98" s="92" t="s">
        <v>732</v>
      </c>
      <c r="E98" s="92" t="s">
        <v>648</v>
      </c>
      <c r="F98" s="92" t="s">
        <v>54</v>
      </c>
      <c r="G98" s="94">
        <v>17.22</v>
      </c>
      <c r="H98" s="95">
        <v>5</v>
      </c>
      <c r="J98" s="96">
        <v>0</v>
      </c>
      <c r="K98" s="92" t="s">
        <v>683</v>
      </c>
      <c r="L98" s="92" t="s">
        <v>638</v>
      </c>
      <c r="O98" s="92" t="s">
        <v>733</v>
      </c>
      <c r="P98" s="92" t="s">
        <v>640</v>
      </c>
    </row>
    <row r="99" spans="2:16" x14ac:dyDescent="0.25">
      <c r="B99" s="92" t="s">
        <v>634</v>
      </c>
      <c r="C99" s="93">
        <v>43986</v>
      </c>
      <c r="D99" s="92" t="s">
        <v>732</v>
      </c>
      <c r="E99" s="92" t="s">
        <v>648</v>
      </c>
      <c r="F99" s="92" t="s">
        <v>54</v>
      </c>
      <c r="G99" s="94">
        <v>10.039999999999999</v>
      </c>
      <c r="H99" s="95">
        <v>7</v>
      </c>
      <c r="J99" s="96">
        <v>0</v>
      </c>
      <c r="K99" s="92" t="s">
        <v>683</v>
      </c>
      <c r="L99" s="92" t="s">
        <v>638</v>
      </c>
      <c r="O99" s="92" t="s">
        <v>733</v>
      </c>
      <c r="P99" s="92" t="s">
        <v>640</v>
      </c>
    </row>
    <row r="100" spans="2:16" x14ac:dyDescent="0.25">
      <c r="B100" s="92" t="s">
        <v>634</v>
      </c>
      <c r="C100" s="93">
        <v>43986</v>
      </c>
      <c r="D100" s="92" t="s">
        <v>732</v>
      </c>
      <c r="E100" s="92" t="s">
        <v>648</v>
      </c>
      <c r="F100" s="92" t="s">
        <v>54</v>
      </c>
      <c r="G100" s="94">
        <v>3.97</v>
      </c>
      <c r="H100" s="95">
        <v>9</v>
      </c>
      <c r="J100" s="96">
        <v>0</v>
      </c>
      <c r="K100" s="92" t="s">
        <v>683</v>
      </c>
      <c r="L100" s="92" t="s">
        <v>638</v>
      </c>
      <c r="O100" s="92" t="s">
        <v>733</v>
      </c>
      <c r="P100" s="92" t="s">
        <v>640</v>
      </c>
    </row>
    <row r="101" spans="2:16" x14ac:dyDescent="0.25">
      <c r="B101" s="92" t="s">
        <v>634</v>
      </c>
      <c r="C101" s="93">
        <v>43986</v>
      </c>
      <c r="D101" s="92" t="s">
        <v>732</v>
      </c>
      <c r="E101" s="92" t="s">
        <v>648</v>
      </c>
      <c r="F101" s="92" t="s">
        <v>54</v>
      </c>
      <c r="G101" s="94">
        <v>15.11</v>
      </c>
      <c r="H101" s="95">
        <v>11</v>
      </c>
      <c r="J101" s="96">
        <v>0</v>
      </c>
      <c r="K101" s="92" t="s">
        <v>683</v>
      </c>
      <c r="L101" s="92" t="s">
        <v>638</v>
      </c>
      <c r="O101" s="92" t="s">
        <v>733</v>
      </c>
      <c r="P101" s="92" t="s">
        <v>640</v>
      </c>
    </row>
    <row r="102" spans="2:16" x14ac:dyDescent="0.25">
      <c r="B102" s="92" t="s">
        <v>634</v>
      </c>
      <c r="C102" s="93">
        <v>43986</v>
      </c>
      <c r="D102" s="92" t="s">
        <v>732</v>
      </c>
      <c r="E102" s="92" t="s">
        <v>648</v>
      </c>
      <c r="F102" s="92" t="s">
        <v>54</v>
      </c>
      <c r="G102" s="94">
        <v>68.06</v>
      </c>
      <c r="H102" s="95">
        <v>21</v>
      </c>
      <c r="J102" s="96">
        <v>0</v>
      </c>
      <c r="K102" s="92" t="s">
        <v>649</v>
      </c>
      <c r="L102" s="92" t="s">
        <v>638</v>
      </c>
      <c r="O102" s="92" t="s">
        <v>734</v>
      </c>
      <c r="P102" s="92" t="s">
        <v>640</v>
      </c>
    </row>
    <row r="103" spans="2:16" x14ac:dyDescent="0.25">
      <c r="B103" s="92" t="s">
        <v>634</v>
      </c>
      <c r="C103" s="93">
        <v>43986</v>
      </c>
      <c r="D103" s="92" t="s">
        <v>732</v>
      </c>
      <c r="E103" s="92" t="s">
        <v>648</v>
      </c>
      <c r="F103" s="92" t="s">
        <v>54</v>
      </c>
      <c r="G103" s="94">
        <v>62.81</v>
      </c>
      <c r="H103" s="95">
        <v>41</v>
      </c>
      <c r="J103" s="96">
        <v>0</v>
      </c>
      <c r="K103" s="92" t="s">
        <v>661</v>
      </c>
      <c r="L103" s="92" t="s">
        <v>638</v>
      </c>
      <c r="O103" s="92" t="s">
        <v>735</v>
      </c>
      <c r="P103" s="92" t="s">
        <v>640</v>
      </c>
    </row>
    <row r="104" spans="2:16" x14ac:dyDescent="0.25">
      <c r="B104" s="92" t="s">
        <v>634</v>
      </c>
      <c r="C104" s="93">
        <v>43986</v>
      </c>
      <c r="D104" s="92" t="s">
        <v>732</v>
      </c>
      <c r="E104" s="92" t="s">
        <v>648</v>
      </c>
      <c r="F104" s="92" t="s">
        <v>54</v>
      </c>
      <c r="G104" s="94">
        <v>12.5</v>
      </c>
      <c r="H104" s="95">
        <v>43</v>
      </c>
      <c r="J104" s="96">
        <v>0</v>
      </c>
      <c r="K104" s="92" t="s">
        <v>649</v>
      </c>
      <c r="L104" s="92" t="s">
        <v>638</v>
      </c>
      <c r="O104" s="92" t="s">
        <v>736</v>
      </c>
      <c r="P104" s="92" t="s">
        <v>640</v>
      </c>
    </row>
    <row r="105" spans="2:16" x14ac:dyDescent="0.25">
      <c r="B105" s="92" t="s">
        <v>634</v>
      </c>
      <c r="C105" s="93">
        <v>43986</v>
      </c>
      <c r="D105" s="92" t="s">
        <v>732</v>
      </c>
      <c r="E105" s="92" t="s">
        <v>648</v>
      </c>
      <c r="F105" s="92" t="s">
        <v>54</v>
      </c>
      <c r="G105" s="94">
        <v>21.06</v>
      </c>
      <c r="H105" s="95">
        <v>59</v>
      </c>
      <c r="J105" s="96">
        <v>0</v>
      </c>
      <c r="K105" s="92" t="s">
        <v>649</v>
      </c>
      <c r="L105" s="92" t="s">
        <v>638</v>
      </c>
      <c r="O105" s="92" t="s">
        <v>737</v>
      </c>
      <c r="P105" s="92" t="s">
        <v>640</v>
      </c>
    </row>
    <row r="106" spans="2:16" x14ac:dyDescent="0.25">
      <c r="B106" s="92" t="s">
        <v>634</v>
      </c>
      <c r="C106" s="93">
        <v>43986</v>
      </c>
      <c r="D106" s="92" t="s">
        <v>732</v>
      </c>
      <c r="E106" s="92" t="s">
        <v>666</v>
      </c>
      <c r="F106" s="92" t="s">
        <v>54</v>
      </c>
      <c r="G106" s="94">
        <v>17.25</v>
      </c>
      <c r="H106" s="95">
        <v>65</v>
      </c>
      <c r="J106" s="96">
        <v>0</v>
      </c>
      <c r="K106" s="92" t="s">
        <v>667</v>
      </c>
      <c r="L106" s="92" t="s">
        <v>638</v>
      </c>
      <c r="O106" s="92" t="s">
        <v>738</v>
      </c>
      <c r="P106" s="92" t="s">
        <v>640</v>
      </c>
    </row>
    <row r="107" spans="2:16" x14ac:dyDescent="0.25">
      <c r="B107" s="92" t="s">
        <v>634</v>
      </c>
      <c r="C107" s="93">
        <v>43986</v>
      </c>
      <c r="D107" s="92" t="s">
        <v>732</v>
      </c>
      <c r="E107" s="92" t="s">
        <v>666</v>
      </c>
      <c r="F107" s="92" t="s">
        <v>54</v>
      </c>
      <c r="G107" s="94">
        <v>16.73</v>
      </c>
      <c r="H107" s="95">
        <v>67</v>
      </c>
      <c r="J107" s="96">
        <v>0</v>
      </c>
      <c r="K107" s="92" t="s">
        <v>667</v>
      </c>
      <c r="L107" s="92" t="s">
        <v>638</v>
      </c>
      <c r="O107" s="92" t="s">
        <v>738</v>
      </c>
      <c r="P107" s="92" t="s">
        <v>640</v>
      </c>
    </row>
    <row r="108" spans="2:16" x14ac:dyDescent="0.25">
      <c r="B108" s="92" t="s">
        <v>634</v>
      </c>
      <c r="C108" s="93">
        <v>43986</v>
      </c>
      <c r="D108" s="92" t="s">
        <v>732</v>
      </c>
      <c r="E108" s="92" t="s">
        <v>666</v>
      </c>
      <c r="F108" s="92" t="s">
        <v>54</v>
      </c>
      <c r="G108" s="94">
        <v>20.05</v>
      </c>
      <c r="H108" s="95">
        <v>69</v>
      </c>
      <c r="J108" s="96">
        <v>0</v>
      </c>
      <c r="K108" s="92" t="s">
        <v>667</v>
      </c>
      <c r="L108" s="92" t="s">
        <v>638</v>
      </c>
      <c r="O108" s="92" t="s">
        <v>738</v>
      </c>
      <c r="P108" s="92" t="s">
        <v>640</v>
      </c>
    </row>
    <row r="109" spans="2:16" x14ac:dyDescent="0.25">
      <c r="B109" s="92" t="s">
        <v>634</v>
      </c>
      <c r="C109" s="93">
        <v>43986</v>
      </c>
      <c r="D109" s="92" t="s">
        <v>732</v>
      </c>
      <c r="E109" s="92" t="s">
        <v>666</v>
      </c>
      <c r="F109" s="92" t="s">
        <v>54</v>
      </c>
      <c r="G109" s="94">
        <v>29.54</v>
      </c>
      <c r="H109" s="95">
        <v>71</v>
      </c>
      <c r="J109" s="96">
        <v>0</v>
      </c>
      <c r="K109" s="92" t="s">
        <v>667</v>
      </c>
      <c r="L109" s="92" t="s">
        <v>638</v>
      </c>
      <c r="O109" s="92" t="s">
        <v>738</v>
      </c>
      <c r="P109" s="92" t="s">
        <v>640</v>
      </c>
    </row>
    <row r="110" spans="2:16" x14ac:dyDescent="0.25">
      <c r="B110" s="92" t="s">
        <v>634</v>
      </c>
      <c r="C110" s="93">
        <v>43986</v>
      </c>
      <c r="D110" s="92" t="s">
        <v>732</v>
      </c>
      <c r="E110" s="92" t="s">
        <v>666</v>
      </c>
      <c r="F110" s="92" t="s">
        <v>54</v>
      </c>
      <c r="G110" s="94">
        <v>20.149999999999999</v>
      </c>
      <c r="H110" s="95">
        <v>73</v>
      </c>
      <c r="J110" s="96">
        <v>0</v>
      </c>
      <c r="K110" s="92" t="s">
        <v>667</v>
      </c>
      <c r="L110" s="92" t="s">
        <v>638</v>
      </c>
      <c r="O110" s="92" t="s">
        <v>738</v>
      </c>
      <c r="P110" s="92" t="s">
        <v>640</v>
      </c>
    </row>
    <row r="111" spans="2:16" x14ac:dyDescent="0.25">
      <c r="B111" s="92" t="s">
        <v>634</v>
      </c>
      <c r="C111" s="93">
        <v>43986</v>
      </c>
      <c r="D111" s="92" t="s">
        <v>732</v>
      </c>
      <c r="E111" s="92" t="s">
        <v>666</v>
      </c>
      <c r="F111" s="92" t="s">
        <v>54</v>
      </c>
      <c r="G111" s="94">
        <v>17.37</v>
      </c>
      <c r="H111" s="95">
        <v>75</v>
      </c>
      <c r="J111" s="96">
        <v>0</v>
      </c>
      <c r="K111" s="92" t="s">
        <v>667</v>
      </c>
      <c r="L111" s="92" t="s">
        <v>638</v>
      </c>
      <c r="O111" s="92" t="s">
        <v>738</v>
      </c>
      <c r="P111" s="92" t="s">
        <v>640</v>
      </c>
    </row>
    <row r="112" spans="2:16" x14ac:dyDescent="0.25">
      <c r="B112" s="92" t="s">
        <v>634</v>
      </c>
      <c r="C112" s="93">
        <v>43986</v>
      </c>
      <c r="D112" s="92" t="s">
        <v>732</v>
      </c>
      <c r="E112" s="92" t="s">
        <v>666</v>
      </c>
      <c r="F112" s="92" t="s">
        <v>54</v>
      </c>
      <c r="G112" s="94">
        <v>17.36</v>
      </c>
      <c r="H112" s="95">
        <v>77</v>
      </c>
      <c r="J112" s="96">
        <v>0</v>
      </c>
      <c r="K112" s="92" t="s">
        <v>667</v>
      </c>
      <c r="L112" s="92" t="s">
        <v>638</v>
      </c>
      <c r="O112" s="92" t="s">
        <v>738</v>
      </c>
      <c r="P112" s="92" t="s">
        <v>640</v>
      </c>
    </row>
    <row r="113" spans="2:16" x14ac:dyDescent="0.25">
      <c r="B113" s="92" t="s">
        <v>634</v>
      </c>
      <c r="C113" s="93">
        <v>43986</v>
      </c>
      <c r="D113" s="92" t="s">
        <v>732</v>
      </c>
      <c r="E113" s="92" t="s">
        <v>636</v>
      </c>
      <c r="F113" s="92" t="s">
        <v>54</v>
      </c>
      <c r="G113" s="94">
        <v>71.709999999999994</v>
      </c>
      <c r="H113" s="95">
        <v>81</v>
      </c>
      <c r="J113" s="96">
        <v>0</v>
      </c>
      <c r="K113" s="92" t="s">
        <v>637</v>
      </c>
      <c r="L113" s="92" t="s">
        <v>638</v>
      </c>
      <c r="O113" s="92" t="s">
        <v>739</v>
      </c>
      <c r="P113" s="92" t="s">
        <v>640</v>
      </c>
    </row>
    <row r="114" spans="2:16" x14ac:dyDescent="0.25">
      <c r="B114" s="92" t="s">
        <v>634</v>
      </c>
      <c r="C114" s="93">
        <v>43986</v>
      </c>
      <c r="D114" s="92" t="s">
        <v>732</v>
      </c>
      <c r="E114" s="92" t="s">
        <v>636</v>
      </c>
      <c r="F114" s="92" t="s">
        <v>54</v>
      </c>
      <c r="G114" s="94">
        <v>167.23</v>
      </c>
      <c r="H114" s="95">
        <v>83</v>
      </c>
      <c r="J114" s="96">
        <v>0</v>
      </c>
      <c r="K114" s="92" t="s">
        <v>637</v>
      </c>
      <c r="L114" s="92" t="s">
        <v>638</v>
      </c>
      <c r="O114" s="92" t="s">
        <v>740</v>
      </c>
      <c r="P114" s="92" t="s">
        <v>640</v>
      </c>
    </row>
    <row r="115" spans="2:16" x14ac:dyDescent="0.25">
      <c r="B115" s="92" t="s">
        <v>634</v>
      </c>
      <c r="C115" s="93">
        <v>43986</v>
      </c>
      <c r="D115" s="92" t="s">
        <v>732</v>
      </c>
      <c r="E115" s="92" t="s">
        <v>636</v>
      </c>
      <c r="F115" s="92" t="s">
        <v>54</v>
      </c>
      <c r="G115" s="94">
        <v>126.74</v>
      </c>
      <c r="H115" s="95">
        <v>85</v>
      </c>
      <c r="J115" s="96">
        <v>0</v>
      </c>
      <c r="K115" s="92" t="s">
        <v>637</v>
      </c>
      <c r="L115" s="92" t="s">
        <v>638</v>
      </c>
      <c r="O115" s="92" t="s">
        <v>741</v>
      </c>
      <c r="P115" s="92" t="s">
        <v>640</v>
      </c>
    </row>
    <row r="116" spans="2:16" x14ac:dyDescent="0.25">
      <c r="B116" s="92" t="s">
        <v>634</v>
      </c>
      <c r="C116" s="93">
        <v>43986</v>
      </c>
      <c r="D116" s="92" t="s">
        <v>732</v>
      </c>
      <c r="E116" s="92" t="s">
        <v>636</v>
      </c>
      <c r="F116" s="92" t="s">
        <v>54</v>
      </c>
      <c r="G116" s="94">
        <v>121.7</v>
      </c>
      <c r="H116" s="95">
        <v>87</v>
      </c>
      <c r="J116" s="96">
        <v>0</v>
      </c>
      <c r="K116" s="92" t="s">
        <v>637</v>
      </c>
      <c r="L116" s="92" t="s">
        <v>638</v>
      </c>
      <c r="O116" s="92" t="s">
        <v>742</v>
      </c>
      <c r="P116" s="92" t="s">
        <v>640</v>
      </c>
    </row>
    <row r="117" spans="2:16" x14ac:dyDescent="0.25">
      <c r="B117" s="92" t="s">
        <v>634</v>
      </c>
      <c r="C117" s="93">
        <v>43986</v>
      </c>
      <c r="D117" s="92" t="s">
        <v>732</v>
      </c>
      <c r="E117" s="92" t="s">
        <v>636</v>
      </c>
      <c r="F117" s="92" t="s">
        <v>54</v>
      </c>
      <c r="G117" s="94">
        <v>117.65</v>
      </c>
      <c r="H117" s="95">
        <v>91</v>
      </c>
      <c r="J117" s="96">
        <v>0</v>
      </c>
      <c r="K117" s="92" t="s">
        <v>642</v>
      </c>
      <c r="L117" s="92" t="s">
        <v>638</v>
      </c>
      <c r="O117" s="92" t="s">
        <v>743</v>
      </c>
      <c r="P117" s="92" t="s">
        <v>640</v>
      </c>
    </row>
    <row r="118" spans="2:16" x14ac:dyDescent="0.25">
      <c r="B118" s="92" t="s">
        <v>634</v>
      </c>
      <c r="C118" s="93">
        <v>43987</v>
      </c>
      <c r="D118" s="92" t="s">
        <v>744</v>
      </c>
      <c r="E118" s="92" t="s">
        <v>648</v>
      </c>
      <c r="F118" s="92" t="s">
        <v>54</v>
      </c>
      <c r="G118" s="94">
        <v>145.69999999999999</v>
      </c>
      <c r="H118" s="95">
        <v>25</v>
      </c>
      <c r="J118" s="96">
        <v>0</v>
      </c>
      <c r="K118" s="92" t="s">
        <v>745</v>
      </c>
      <c r="L118" s="92" t="s">
        <v>638</v>
      </c>
      <c r="O118" s="92" t="s">
        <v>746</v>
      </c>
      <c r="P118" s="92" t="s">
        <v>640</v>
      </c>
    </row>
    <row r="119" spans="2:16" x14ac:dyDescent="0.25">
      <c r="B119" s="92" t="s">
        <v>634</v>
      </c>
      <c r="C119" s="93">
        <v>43987</v>
      </c>
      <c r="D119" s="92" t="s">
        <v>744</v>
      </c>
      <c r="E119" s="92" t="s">
        <v>666</v>
      </c>
      <c r="F119" s="92" t="s">
        <v>54</v>
      </c>
      <c r="G119" s="94">
        <v>32.340000000000003</v>
      </c>
      <c r="H119" s="95">
        <v>33</v>
      </c>
      <c r="J119" s="96">
        <v>0</v>
      </c>
      <c r="K119" s="92" t="s">
        <v>667</v>
      </c>
      <c r="L119" s="92" t="s">
        <v>638</v>
      </c>
      <c r="O119" s="92" t="s">
        <v>747</v>
      </c>
      <c r="P119" s="92" t="s">
        <v>640</v>
      </c>
    </row>
    <row r="120" spans="2:16" x14ac:dyDescent="0.25">
      <c r="B120" s="92" t="s">
        <v>634</v>
      </c>
      <c r="C120" s="93">
        <v>43987</v>
      </c>
      <c r="D120" s="92" t="s">
        <v>744</v>
      </c>
      <c r="E120" s="92" t="s">
        <v>666</v>
      </c>
      <c r="F120" s="92" t="s">
        <v>54</v>
      </c>
      <c r="G120" s="94">
        <v>10</v>
      </c>
      <c r="H120" s="95">
        <v>35</v>
      </c>
      <c r="J120" s="96">
        <v>0</v>
      </c>
      <c r="K120" s="92" t="s">
        <v>667</v>
      </c>
      <c r="L120" s="92" t="s">
        <v>638</v>
      </c>
      <c r="O120" s="92" t="s">
        <v>747</v>
      </c>
      <c r="P120" s="92" t="s">
        <v>640</v>
      </c>
    </row>
    <row r="121" spans="2:16" x14ac:dyDescent="0.25">
      <c r="B121" s="92" t="s">
        <v>634</v>
      </c>
      <c r="C121" s="93">
        <v>43987</v>
      </c>
      <c r="D121" s="92" t="s">
        <v>744</v>
      </c>
      <c r="E121" s="92" t="s">
        <v>666</v>
      </c>
      <c r="F121" s="92" t="s">
        <v>54</v>
      </c>
      <c r="G121" s="94">
        <v>26.89</v>
      </c>
      <c r="H121" s="95">
        <v>37</v>
      </c>
      <c r="J121" s="96">
        <v>0</v>
      </c>
      <c r="K121" s="92" t="s">
        <v>667</v>
      </c>
      <c r="L121" s="92" t="s">
        <v>638</v>
      </c>
      <c r="O121" s="92" t="s">
        <v>747</v>
      </c>
      <c r="P121" s="92" t="s">
        <v>640</v>
      </c>
    </row>
    <row r="122" spans="2:16" x14ac:dyDescent="0.25">
      <c r="B122" s="92" t="s">
        <v>634</v>
      </c>
      <c r="C122" s="93">
        <v>43987</v>
      </c>
      <c r="D122" s="92" t="s">
        <v>744</v>
      </c>
      <c r="E122" s="92" t="s">
        <v>636</v>
      </c>
      <c r="F122" s="92" t="s">
        <v>54</v>
      </c>
      <c r="G122" s="94">
        <v>106.17</v>
      </c>
      <c r="H122" s="95">
        <v>49</v>
      </c>
      <c r="J122" s="96">
        <v>0</v>
      </c>
      <c r="K122" s="92" t="s">
        <v>637</v>
      </c>
      <c r="L122" s="92" t="s">
        <v>638</v>
      </c>
      <c r="O122" s="92" t="s">
        <v>748</v>
      </c>
      <c r="P122" s="92" t="s">
        <v>640</v>
      </c>
    </row>
    <row r="123" spans="2:16" x14ac:dyDescent="0.25">
      <c r="B123" s="92" t="s">
        <v>634</v>
      </c>
      <c r="C123" s="93">
        <v>43987</v>
      </c>
      <c r="D123" s="92" t="s">
        <v>744</v>
      </c>
      <c r="E123" s="92" t="s">
        <v>636</v>
      </c>
      <c r="F123" s="92" t="s">
        <v>54</v>
      </c>
      <c r="G123" s="94">
        <v>171.44</v>
      </c>
      <c r="H123" s="95">
        <v>51</v>
      </c>
      <c r="J123" s="96">
        <v>0</v>
      </c>
      <c r="K123" s="92" t="s">
        <v>637</v>
      </c>
      <c r="L123" s="92" t="s">
        <v>638</v>
      </c>
      <c r="O123" s="92" t="s">
        <v>749</v>
      </c>
      <c r="P123" s="92" t="s">
        <v>640</v>
      </c>
    </row>
    <row r="124" spans="2:16" x14ac:dyDescent="0.25">
      <c r="B124" s="92" t="s">
        <v>634</v>
      </c>
      <c r="C124" s="93">
        <v>43990</v>
      </c>
      <c r="D124" s="92" t="s">
        <v>750</v>
      </c>
      <c r="E124" s="92" t="s">
        <v>652</v>
      </c>
      <c r="F124" s="92" t="s">
        <v>54</v>
      </c>
      <c r="G124" s="94">
        <v>10.56</v>
      </c>
      <c r="H124" s="95">
        <v>11</v>
      </c>
      <c r="J124" s="96">
        <v>0</v>
      </c>
      <c r="K124" s="92" t="s">
        <v>653</v>
      </c>
      <c r="L124" s="92" t="s">
        <v>638</v>
      </c>
      <c r="O124" s="92" t="s">
        <v>751</v>
      </c>
      <c r="P124" s="92" t="s">
        <v>640</v>
      </c>
    </row>
    <row r="125" spans="2:16" x14ac:dyDescent="0.25">
      <c r="B125" s="92" t="s">
        <v>634</v>
      </c>
      <c r="C125" s="93">
        <v>43990</v>
      </c>
      <c r="D125" s="92" t="s">
        <v>750</v>
      </c>
      <c r="E125" s="92" t="s">
        <v>652</v>
      </c>
      <c r="F125" s="92" t="s">
        <v>54</v>
      </c>
      <c r="G125" s="94">
        <v>10.56</v>
      </c>
      <c r="H125" s="95">
        <v>13</v>
      </c>
      <c r="J125" s="96">
        <v>0</v>
      </c>
      <c r="K125" s="92" t="s">
        <v>653</v>
      </c>
      <c r="L125" s="92" t="s">
        <v>638</v>
      </c>
      <c r="O125" s="92" t="s">
        <v>752</v>
      </c>
      <c r="P125" s="92" t="s">
        <v>640</v>
      </c>
    </row>
    <row r="126" spans="2:16" x14ac:dyDescent="0.25">
      <c r="B126" s="92" t="s">
        <v>634</v>
      </c>
      <c r="C126" s="93">
        <v>43990</v>
      </c>
      <c r="D126" s="92" t="s">
        <v>750</v>
      </c>
      <c r="E126" s="92" t="s">
        <v>753</v>
      </c>
      <c r="F126" s="92" t="s">
        <v>293</v>
      </c>
      <c r="G126" s="94">
        <v>10.66</v>
      </c>
      <c r="H126" s="95">
        <v>15</v>
      </c>
      <c r="J126" s="96">
        <v>0</v>
      </c>
      <c r="K126" s="92" t="s">
        <v>754</v>
      </c>
      <c r="L126" s="92" t="s">
        <v>638</v>
      </c>
      <c r="O126" s="92" t="s">
        <v>755</v>
      </c>
      <c r="P126" s="92" t="s">
        <v>640</v>
      </c>
    </row>
    <row r="127" spans="2:16" x14ac:dyDescent="0.25">
      <c r="B127" s="92" t="s">
        <v>634</v>
      </c>
      <c r="C127" s="93">
        <v>43991</v>
      </c>
      <c r="D127" s="92" t="s">
        <v>756</v>
      </c>
      <c r="E127" s="92" t="s">
        <v>645</v>
      </c>
      <c r="F127" s="92" t="s">
        <v>158</v>
      </c>
      <c r="G127" s="94">
        <v>673.3</v>
      </c>
      <c r="H127" s="95">
        <v>104</v>
      </c>
      <c r="J127" s="96">
        <v>0</v>
      </c>
      <c r="K127" s="92" t="s">
        <v>757</v>
      </c>
      <c r="L127" s="92" t="s">
        <v>758</v>
      </c>
      <c r="O127" s="92" t="s">
        <v>759</v>
      </c>
      <c r="P127" s="92" t="s">
        <v>640</v>
      </c>
    </row>
    <row r="128" spans="2:16" x14ac:dyDescent="0.25">
      <c r="B128" s="92" t="s">
        <v>634</v>
      </c>
      <c r="C128" s="93">
        <v>43992</v>
      </c>
      <c r="D128" s="92" t="s">
        <v>760</v>
      </c>
      <c r="E128" s="92" t="s">
        <v>645</v>
      </c>
      <c r="F128" s="92" t="s">
        <v>54</v>
      </c>
      <c r="G128" s="94">
        <v>13.18</v>
      </c>
      <c r="H128" s="95">
        <v>15</v>
      </c>
      <c r="J128" s="96">
        <v>0</v>
      </c>
      <c r="K128" s="92" t="s">
        <v>677</v>
      </c>
      <c r="L128" s="92" t="s">
        <v>638</v>
      </c>
      <c r="O128" s="92" t="s">
        <v>761</v>
      </c>
      <c r="P128" s="92" t="s">
        <v>640</v>
      </c>
    </row>
    <row r="129" spans="2:16" x14ac:dyDescent="0.25">
      <c r="B129" s="92" t="s">
        <v>634</v>
      </c>
      <c r="C129" s="93">
        <v>43992</v>
      </c>
      <c r="D129" s="92" t="s">
        <v>760</v>
      </c>
      <c r="E129" s="92" t="s">
        <v>645</v>
      </c>
      <c r="F129" s="92" t="s">
        <v>54</v>
      </c>
      <c r="G129" s="94">
        <v>12.7</v>
      </c>
      <c r="H129" s="95">
        <v>17</v>
      </c>
      <c r="J129" s="96">
        <v>0</v>
      </c>
      <c r="K129" s="92" t="s">
        <v>677</v>
      </c>
      <c r="L129" s="92" t="s">
        <v>638</v>
      </c>
      <c r="O129" s="92" t="s">
        <v>762</v>
      </c>
      <c r="P129" s="92" t="s">
        <v>640</v>
      </c>
    </row>
    <row r="130" spans="2:16" x14ac:dyDescent="0.25">
      <c r="B130" s="92" t="s">
        <v>634</v>
      </c>
      <c r="C130" s="93">
        <v>43992</v>
      </c>
      <c r="D130" s="92" t="s">
        <v>760</v>
      </c>
      <c r="E130" s="92" t="s">
        <v>652</v>
      </c>
      <c r="F130" s="92" t="s">
        <v>54</v>
      </c>
      <c r="G130" s="94">
        <v>10.55</v>
      </c>
      <c r="H130" s="95">
        <v>21</v>
      </c>
      <c r="J130" s="96">
        <v>0</v>
      </c>
      <c r="K130" s="92" t="s">
        <v>754</v>
      </c>
      <c r="L130" s="92" t="s">
        <v>638</v>
      </c>
      <c r="O130" s="92" t="s">
        <v>763</v>
      </c>
      <c r="P130" s="92" t="s">
        <v>640</v>
      </c>
    </row>
    <row r="131" spans="2:16" x14ac:dyDescent="0.25">
      <c r="B131" s="92" t="s">
        <v>634</v>
      </c>
      <c r="C131" s="93">
        <v>43992</v>
      </c>
      <c r="D131" s="92" t="s">
        <v>760</v>
      </c>
      <c r="E131" s="92" t="s">
        <v>652</v>
      </c>
      <c r="F131" s="92" t="s">
        <v>54</v>
      </c>
      <c r="G131" s="94">
        <v>11.62</v>
      </c>
      <c r="H131" s="95">
        <v>23</v>
      </c>
      <c r="J131" s="96">
        <v>0</v>
      </c>
      <c r="K131" s="92" t="s">
        <v>754</v>
      </c>
      <c r="L131" s="92" t="s">
        <v>638</v>
      </c>
      <c r="O131" s="92" t="s">
        <v>763</v>
      </c>
      <c r="P131" s="92" t="s">
        <v>640</v>
      </c>
    </row>
    <row r="132" spans="2:16" x14ac:dyDescent="0.25">
      <c r="B132" s="92" t="s">
        <v>634</v>
      </c>
      <c r="C132" s="93">
        <v>43992</v>
      </c>
      <c r="D132" s="92" t="s">
        <v>760</v>
      </c>
      <c r="E132" s="92" t="s">
        <v>652</v>
      </c>
      <c r="F132" s="92" t="s">
        <v>54</v>
      </c>
      <c r="G132" s="94">
        <v>12.71</v>
      </c>
      <c r="H132" s="95">
        <v>25</v>
      </c>
      <c r="J132" s="96">
        <v>0</v>
      </c>
      <c r="K132" s="92" t="s">
        <v>754</v>
      </c>
      <c r="L132" s="92" t="s">
        <v>638</v>
      </c>
      <c r="O132" s="92" t="s">
        <v>763</v>
      </c>
      <c r="P132" s="92" t="s">
        <v>640</v>
      </c>
    </row>
    <row r="133" spans="2:16" x14ac:dyDescent="0.25">
      <c r="B133" s="92" t="s">
        <v>634</v>
      </c>
      <c r="C133" s="93">
        <v>43992</v>
      </c>
      <c r="D133" s="92" t="s">
        <v>760</v>
      </c>
      <c r="E133" s="92" t="s">
        <v>645</v>
      </c>
      <c r="F133" s="92" t="s">
        <v>54</v>
      </c>
      <c r="G133" s="94">
        <v>9.02</v>
      </c>
      <c r="H133" s="95">
        <v>27</v>
      </c>
      <c r="J133" s="96">
        <v>0</v>
      </c>
      <c r="K133" s="92" t="s">
        <v>677</v>
      </c>
      <c r="L133" s="92" t="s">
        <v>638</v>
      </c>
      <c r="O133" s="92" t="s">
        <v>764</v>
      </c>
      <c r="P133" s="92" t="s">
        <v>640</v>
      </c>
    </row>
    <row r="134" spans="2:16" x14ac:dyDescent="0.25">
      <c r="B134" s="92" t="s">
        <v>634</v>
      </c>
      <c r="C134" s="93">
        <v>43992</v>
      </c>
      <c r="D134" s="92" t="s">
        <v>760</v>
      </c>
      <c r="E134" s="92" t="s">
        <v>645</v>
      </c>
      <c r="F134" s="92" t="s">
        <v>54</v>
      </c>
      <c r="G134" s="94">
        <v>10.67</v>
      </c>
      <c r="H134" s="95">
        <v>31</v>
      </c>
      <c r="J134" s="96">
        <v>0</v>
      </c>
      <c r="K134" s="92" t="s">
        <v>663</v>
      </c>
      <c r="L134" s="92" t="s">
        <v>638</v>
      </c>
      <c r="O134" s="92" t="s">
        <v>765</v>
      </c>
      <c r="P134" s="92" t="s">
        <v>640</v>
      </c>
    </row>
    <row r="135" spans="2:16" x14ac:dyDescent="0.25">
      <c r="B135" s="92" t="s">
        <v>634</v>
      </c>
      <c r="C135" s="93">
        <v>43992</v>
      </c>
      <c r="D135" s="92" t="s">
        <v>760</v>
      </c>
      <c r="E135" s="92" t="s">
        <v>645</v>
      </c>
      <c r="F135" s="92" t="s">
        <v>54</v>
      </c>
      <c r="G135" s="94">
        <v>10.67</v>
      </c>
      <c r="H135" s="95">
        <v>33</v>
      </c>
      <c r="J135" s="96">
        <v>0</v>
      </c>
      <c r="K135" s="92" t="s">
        <v>663</v>
      </c>
      <c r="L135" s="92" t="s">
        <v>638</v>
      </c>
      <c r="O135" s="92" t="s">
        <v>765</v>
      </c>
      <c r="P135" s="92" t="s">
        <v>640</v>
      </c>
    </row>
    <row r="136" spans="2:16" x14ac:dyDescent="0.25">
      <c r="B136" s="92" t="s">
        <v>634</v>
      </c>
      <c r="C136" s="93">
        <v>43992</v>
      </c>
      <c r="D136" s="92" t="s">
        <v>760</v>
      </c>
      <c r="E136" s="92" t="s">
        <v>645</v>
      </c>
      <c r="F136" s="92" t="s">
        <v>54</v>
      </c>
      <c r="G136" s="94">
        <v>7.07</v>
      </c>
      <c r="H136" s="95">
        <v>35</v>
      </c>
      <c r="J136" s="96">
        <v>0</v>
      </c>
      <c r="K136" s="92" t="s">
        <v>663</v>
      </c>
      <c r="L136" s="92" t="s">
        <v>638</v>
      </c>
      <c r="O136" s="92" t="s">
        <v>765</v>
      </c>
      <c r="P136" s="92" t="s">
        <v>640</v>
      </c>
    </row>
    <row r="137" spans="2:16" x14ac:dyDescent="0.25">
      <c r="B137" s="92" t="s">
        <v>634</v>
      </c>
      <c r="C137" s="93">
        <v>43992</v>
      </c>
      <c r="D137" s="92" t="s">
        <v>760</v>
      </c>
      <c r="E137" s="92" t="s">
        <v>645</v>
      </c>
      <c r="F137" s="92" t="s">
        <v>54</v>
      </c>
      <c r="G137" s="94">
        <v>7.07</v>
      </c>
      <c r="H137" s="95">
        <v>37</v>
      </c>
      <c r="J137" s="96">
        <v>0</v>
      </c>
      <c r="K137" s="92" t="s">
        <v>663</v>
      </c>
      <c r="L137" s="92" t="s">
        <v>638</v>
      </c>
      <c r="O137" s="92" t="s">
        <v>765</v>
      </c>
      <c r="P137" s="92" t="s">
        <v>640</v>
      </c>
    </row>
    <row r="138" spans="2:16" x14ac:dyDescent="0.25">
      <c r="B138" s="92" t="s">
        <v>634</v>
      </c>
      <c r="C138" s="93">
        <v>43992</v>
      </c>
      <c r="D138" s="92" t="s">
        <v>760</v>
      </c>
      <c r="E138" s="92" t="s">
        <v>645</v>
      </c>
      <c r="F138" s="92" t="s">
        <v>54</v>
      </c>
      <c r="G138" s="94">
        <v>7.07</v>
      </c>
      <c r="H138" s="95">
        <v>39</v>
      </c>
      <c r="J138" s="96">
        <v>0</v>
      </c>
      <c r="K138" s="92" t="s">
        <v>663</v>
      </c>
      <c r="L138" s="92" t="s">
        <v>638</v>
      </c>
      <c r="O138" s="92" t="s">
        <v>765</v>
      </c>
      <c r="P138" s="92" t="s">
        <v>640</v>
      </c>
    </row>
    <row r="139" spans="2:16" x14ac:dyDescent="0.25">
      <c r="B139" s="92" t="s">
        <v>634</v>
      </c>
      <c r="C139" s="93">
        <v>43992</v>
      </c>
      <c r="D139" s="92" t="s">
        <v>760</v>
      </c>
      <c r="E139" s="92" t="s">
        <v>645</v>
      </c>
      <c r="F139" s="92" t="s">
        <v>54</v>
      </c>
      <c r="G139" s="94">
        <v>7.07</v>
      </c>
      <c r="H139" s="95">
        <v>41</v>
      </c>
      <c r="J139" s="96">
        <v>0</v>
      </c>
      <c r="K139" s="92" t="s">
        <v>663</v>
      </c>
      <c r="L139" s="92" t="s">
        <v>638</v>
      </c>
      <c r="O139" s="92" t="s">
        <v>765</v>
      </c>
      <c r="P139" s="92" t="s">
        <v>640</v>
      </c>
    </row>
    <row r="140" spans="2:16" x14ac:dyDescent="0.25">
      <c r="B140" s="92" t="s">
        <v>634</v>
      </c>
      <c r="C140" s="93">
        <v>43992</v>
      </c>
      <c r="D140" s="92" t="s">
        <v>760</v>
      </c>
      <c r="E140" s="92" t="s">
        <v>645</v>
      </c>
      <c r="F140" s="92" t="s">
        <v>54</v>
      </c>
      <c r="G140" s="94">
        <v>7.07</v>
      </c>
      <c r="H140" s="95">
        <v>43</v>
      </c>
      <c r="J140" s="96">
        <v>0</v>
      </c>
      <c r="K140" s="92" t="s">
        <v>663</v>
      </c>
      <c r="L140" s="92" t="s">
        <v>638</v>
      </c>
      <c r="O140" s="92" t="s">
        <v>765</v>
      </c>
      <c r="P140" s="92" t="s">
        <v>640</v>
      </c>
    </row>
    <row r="141" spans="2:16" x14ac:dyDescent="0.25">
      <c r="B141" s="92" t="s">
        <v>634</v>
      </c>
      <c r="C141" s="93">
        <v>43992</v>
      </c>
      <c r="D141" s="92" t="s">
        <v>760</v>
      </c>
      <c r="E141" s="92" t="s">
        <v>645</v>
      </c>
      <c r="F141" s="92" t="s">
        <v>54</v>
      </c>
      <c r="G141" s="94">
        <v>10.89</v>
      </c>
      <c r="H141" s="95">
        <v>45</v>
      </c>
      <c r="J141" s="96">
        <v>0</v>
      </c>
      <c r="K141" s="92" t="s">
        <v>663</v>
      </c>
      <c r="L141" s="92" t="s">
        <v>638</v>
      </c>
      <c r="O141" s="92" t="s">
        <v>765</v>
      </c>
      <c r="P141" s="92" t="s">
        <v>640</v>
      </c>
    </row>
    <row r="142" spans="2:16" x14ac:dyDescent="0.25">
      <c r="B142" s="92" t="s">
        <v>634</v>
      </c>
      <c r="C142" s="93">
        <v>43997</v>
      </c>
      <c r="D142" s="92" t="s">
        <v>766</v>
      </c>
      <c r="E142" s="92" t="s">
        <v>652</v>
      </c>
      <c r="F142" s="92" t="s">
        <v>54</v>
      </c>
      <c r="G142" s="94">
        <v>10.93</v>
      </c>
      <c r="H142" s="95">
        <v>15</v>
      </c>
      <c r="J142" s="96">
        <v>0</v>
      </c>
      <c r="K142" s="92" t="s">
        <v>653</v>
      </c>
      <c r="L142" s="92" t="s">
        <v>638</v>
      </c>
      <c r="O142" s="92" t="s">
        <v>767</v>
      </c>
      <c r="P142" s="92" t="s">
        <v>640</v>
      </c>
    </row>
    <row r="143" spans="2:16" x14ac:dyDescent="0.25">
      <c r="B143" s="92" t="s">
        <v>634</v>
      </c>
      <c r="C143" s="93">
        <v>43998</v>
      </c>
      <c r="D143" s="92" t="s">
        <v>768</v>
      </c>
      <c r="E143" s="92" t="s">
        <v>666</v>
      </c>
      <c r="F143" s="92" t="s">
        <v>54</v>
      </c>
      <c r="G143" s="94">
        <v>5.97</v>
      </c>
      <c r="H143" s="95">
        <v>3</v>
      </c>
      <c r="J143" s="96">
        <v>0</v>
      </c>
      <c r="K143" s="92" t="s">
        <v>769</v>
      </c>
      <c r="L143" s="92" t="s">
        <v>638</v>
      </c>
      <c r="O143" s="92" t="s">
        <v>770</v>
      </c>
      <c r="P143" s="92" t="s">
        <v>640</v>
      </c>
    </row>
    <row r="144" spans="2:16" x14ac:dyDescent="0.25">
      <c r="B144" s="92" t="s">
        <v>634</v>
      </c>
      <c r="C144" s="93">
        <v>44004</v>
      </c>
      <c r="D144" s="92" t="s">
        <v>771</v>
      </c>
      <c r="E144" s="92" t="s">
        <v>645</v>
      </c>
      <c r="F144" s="92" t="s">
        <v>54</v>
      </c>
      <c r="G144" s="94">
        <v>13.83</v>
      </c>
      <c r="H144" s="95">
        <v>1</v>
      </c>
      <c r="J144" s="96">
        <v>0</v>
      </c>
      <c r="K144" s="92" t="s">
        <v>769</v>
      </c>
      <c r="L144" s="92" t="s">
        <v>638</v>
      </c>
      <c r="O144" s="92" t="s">
        <v>772</v>
      </c>
      <c r="P144" s="92" t="s">
        <v>640</v>
      </c>
    </row>
    <row r="145" spans="2:16" x14ac:dyDescent="0.25">
      <c r="B145" s="92" t="s">
        <v>634</v>
      </c>
      <c r="C145" s="93">
        <v>44005</v>
      </c>
      <c r="D145" s="92" t="s">
        <v>773</v>
      </c>
      <c r="E145" s="92" t="s">
        <v>666</v>
      </c>
      <c r="F145" s="92" t="s">
        <v>54</v>
      </c>
      <c r="G145" s="94">
        <v>178.44</v>
      </c>
      <c r="H145" s="95">
        <v>9</v>
      </c>
      <c r="J145" s="96">
        <v>0</v>
      </c>
      <c r="K145" s="92" t="s">
        <v>774</v>
      </c>
      <c r="L145" s="92" t="s">
        <v>638</v>
      </c>
      <c r="O145" s="92" t="s">
        <v>775</v>
      </c>
      <c r="P145" s="92" t="s">
        <v>640</v>
      </c>
    </row>
    <row r="146" spans="2:16" x14ac:dyDescent="0.25">
      <c r="B146" s="92" t="s">
        <v>634</v>
      </c>
      <c r="C146" s="93">
        <v>44005</v>
      </c>
      <c r="D146" s="92" t="s">
        <v>773</v>
      </c>
      <c r="E146" s="92" t="s">
        <v>666</v>
      </c>
      <c r="F146" s="92" t="s">
        <v>79</v>
      </c>
      <c r="G146" s="94">
        <v>175.77</v>
      </c>
      <c r="H146" s="95">
        <v>11</v>
      </c>
      <c r="J146" s="96">
        <v>0</v>
      </c>
      <c r="K146" s="92" t="s">
        <v>774</v>
      </c>
      <c r="L146" s="92" t="s">
        <v>638</v>
      </c>
      <c r="O146" s="92" t="s">
        <v>776</v>
      </c>
      <c r="P146" s="92" t="s">
        <v>640</v>
      </c>
    </row>
    <row r="147" spans="2:16" x14ac:dyDescent="0.25">
      <c r="B147" s="92" t="s">
        <v>634</v>
      </c>
      <c r="C147" s="93">
        <v>44005</v>
      </c>
      <c r="D147" s="92" t="s">
        <v>773</v>
      </c>
      <c r="E147" s="92" t="s">
        <v>666</v>
      </c>
      <c r="F147" s="92" t="s">
        <v>54</v>
      </c>
      <c r="G147" s="94">
        <v>127.13</v>
      </c>
      <c r="H147" s="95">
        <v>15</v>
      </c>
      <c r="J147" s="96">
        <v>0</v>
      </c>
      <c r="K147" s="92" t="s">
        <v>774</v>
      </c>
      <c r="L147" s="92" t="s">
        <v>638</v>
      </c>
      <c r="O147" s="92" t="s">
        <v>777</v>
      </c>
      <c r="P147" s="92" t="s">
        <v>640</v>
      </c>
    </row>
    <row r="148" spans="2:16" x14ac:dyDescent="0.25">
      <c r="B148" s="92" t="s">
        <v>634</v>
      </c>
      <c r="C148" s="93">
        <v>44013</v>
      </c>
      <c r="D148" s="92" t="s">
        <v>778</v>
      </c>
      <c r="E148" s="92" t="s">
        <v>652</v>
      </c>
      <c r="F148" s="92" t="s">
        <v>146</v>
      </c>
      <c r="G148" s="94">
        <v>13.55</v>
      </c>
      <c r="H148" s="95">
        <v>1</v>
      </c>
      <c r="J148" s="96">
        <v>0</v>
      </c>
      <c r="K148" s="92" t="s">
        <v>689</v>
      </c>
      <c r="L148" s="92" t="s">
        <v>638</v>
      </c>
      <c r="O148" s="92" t="s">
        <v>779</v>
      </c>
      <c r="P148" s="92" t="s">
        <v>640</v>
      </c>
    </row>
    <row r="149" spans="2:16" x14ac:dyDescent="0.25">
      <c r="B149" s="92" t="s">
        <v>634</v>
      </c>
      <c r="C149" s="93">
        <v>44013</v>
      </c>
      <c r="D149" s="92" t="s">
        <v>780</v>
      </c>
      <c r="E149" s="92" t="s">
        <v>652</v>
      </c>
      <c r="F149" s="92" t="s">
        <v>229</v>
      </c>
      <c r="G149" s="94">
        <v>14.06</v>
      </c>
      <c r="H149" s="95">
        <v>7</v>
      </c>
      <c r="J149" s="96">
        <v>0</v>
      </c>
      <c r="K149" s="92" t="s">
        <v>689</v>
      </c>
      <c r="L149" s="92" t="s">
        <v>638</v>
      </c>
      <c r="O149" s="92" t="s">
        <v>781</v>
      </c>
      <c r="P149" s="92" t="s">
        <v>640</v>
      </c>
    </row>
    <row r="150" spans="2:16" x14ac:dyDescent="0.25">
      <c r="B150" s="92" t="s">
        <v>634</v>
      </c>
      <c r="C150" s="93">
        <v>44013</v>
      </c>
      <c r="D150" s="92" t="s">
        <v>780</v>
      </c>
      <c r="E150" s="92" t="s">
        <v>652</v>
      </c>
      <c r="F150" s="92" t="s">
        <v>54</v>
      </c>
      <c r="G150" s="94">
        <v>10.39</v>
      </c>
      <c r="H150" s="95">
        <v>11</v>
      </c>
      <c r="J150" s="96">
        <v>0</v>
      </c>
      <c r="K150" s="92" t="s">
        <v>653</v>
      </c>
      <c r="L150" s="92" t="s">
        <v>638</v>
      </c>
      <c r="O150" s="92" t="s">
        <v>782</v>
      </c>
      <c r="P150" s="92" t="s">
        <v>640</v>
      </c>
    </row>
    <row r="151" spans="2:16" x14ac:dyDescent="0.25">
      <c r="B151" s="92" t="s">
        <v>634</v>
      </c>
      <c r="C151" s="93">
        <v>44013</v>
      </c>
      <c r="D151" s="92" t="s">
        <v>780</v>
      </c>
      <c r="E151" s="92" t="s">
        <v>652</v>
      </c>
      <c r="F151" s="92" t="s">
        <v>54</v>
      </c>
      <c r="G151" s="94">
        <v>22.66</v>
      </c>
      <c r="H151" s="95">
        <v>13</v>
      </c>
      <c r="J151" s="96">
        <v>0</v>
      </c>
      <c r="K151" s="92" t="s">
        <v>653</v>
      </c>
      <c r="L151" s="92" t="s">
        <v>638</v>
      </c>
      <c r="O151" s="92" t="s">
        <v>783</v>
      </c>
      <c r="P151" s="92" t="s">
        <v>640</v>
      </c>
    </row>
    <row r="152" spans="2:16" x14ac:dyDescent="0.25">
      <c r="B152" s="92" t="s">
        <v>634</v>
      </c>
      <c r="C152" s="93">
        <v>44013</v>
      </c>
      <c r="D152" s="92" t="s">
        <v>780</v>
      </c>
      <c r="E152" s="92" t="s">
        <v>652</v>
      </c>
      <c r="F152" s="92" t="s">
        <v>54</v>
      </c>
      <c r="G152" s="94">
        <v>11.65</v>
      </c>
      <c r="H152" s="95">
        <v>15</v>
      </c>
      <c r="J152" s="96">
        <v>0</v>
      </c>
      <c r="K152" s="92" t="s">
        <v>653</v>
      </c>
      <c r="L152" s="92" t="s">
        <v>638</v>
      </c>
      <c r="O152" s="92" t="s">
        <v>784</v>
      </c>
      <c r="P152" s="92" t="s">
        <v>640</v>
      </c>
    </row>
    <row r="153" spans="2:16" x14ac:dyDescent="0.25">
      <c r="B153" s="92" t="s">
        <v>634</v>
      </c>
      <c r="C153" s="93">
        <v>44013</v>
      </c>
      <c r="D153" s="92" t="s">
        <v>780</v>
      </c>
      <c r="E153" s="92" t="s">
        <v>652</v>
      </c>
      <c r="F153" s="92" t="s">
        <v>54</v>
      </c>
      <c r="G153" s="94">
        <v>10.93</v>
      </c>
      <c r="H153" s="95">
        <v>17</v>
      </c>
      <c r="J153" s="96">
        <v>0</v>
      </c>
      <c r="K153" s="92" t="s">
        <v>653</v>
      </c>
      <c r="L153" s="92" t="s">
        <v>638</v>
      </c>
      <c r="O153" s="92" t="s">
        <v>785</v>
      </c>
      <c r="P153" s="92" t="s">
        <v>640</v>
      </c>
    </row>
    <row r="154" spans="2:16" x14ac:dyDescent="0.25">
      <c r="B154" s="92" t="s">
        <v>634</v>
      </c>
      <c r="C154" s="93">
        <v>44013</v>
      </c>
      <c r="D154" s="92" t="s">
        <v>780</v>
      </c>
      <c r="E154" s="92" t="s">
        <v>636</v>
      </c>
      <c r="F154" s="92" t="s">
        <v>54</v>
      </c>
      <c r="G154" s="94">
        <v>12.14</v>
      </c>
      <c r="H154" s="95">
        <v>19</v>
      </c>
      <c r="J154" s="96">
        <v>0</v>
      </c>
      <c r="K154" s="92" t="s">
        <v>786</v>
      </c>
      <c r="L154" s="92" t="s">
        <v>638</v>
      </c>
      <c r="O154" s="92" t="s">
        <v>787</v>
      </c>
      <c r="P154" s="92" t="s">
        <v>640</v>
      </c>
    </row>
    <row r="155" spans="2:16" x14ac:dyDescent="0.25">
      <c r="B155" s="92" t="s">
        <v>634</v>
      </c>
      <c r="C155" s="93">
        <v>44013</v>
      </c>
      <c r="D155" s="92" t="s">
        <v>780</v>
      </c>
      <c r="E155" s="92" t="s">
        <v>666</v>
      </c>
      <c r="F155" s="92" t="s">
        <v>54</v>
      </c>
      <c r="G155" s="94">
        <v>204.57</v>
      </c>
      <c r="H155" s="95">
        <v>21</v>
      </c>
      <c r="J155" s="96">
        <v>0</v>
      </c>
      <c r="K155" s="92" t="s">
        <v>774</v>
      </c>
      <c r="L155" s="92" t="s">
        <v>638</v>
      </c>
      <c r="O155" s="92" t="s">
        <v>788</v>
      </c>
      <c r="P155" s="92" t="s">
        <v>640</v>
      </c>
    </row>
    <row r="156" spans="2:16" x14ac:dyDescent="0.25">
      <c r="B156" s="92" t="s">
        <v>634</v>
      </c>
      <c r="C156" s="93">
        <v>44013</v>
      </c>
      <c r="D156" s="92" t="s">
        <v>780</v>
      </c>
      <c r="E156" s="92" t="s">
        <v>652</v>
      </c>
      <c r="F156" s="92" t="s">
        <v>54</v>
      </c>
      <c r="G156" s="94">
        <v>15.52</v>
      </c>
      <c r="H156" s="95">
        <v>25</v>
      </c>
      <c r="J156" s="96">
        <v>0</v>
      </c>
      <c r="K156" s="92" t="s">
        <v>754</v>
      </c>
      <c r="L156" s="92" t="s">
        <v>638</v>
      </c>
      <c r="O156" s="92" t="s">
        <v>789</v>
      </c>
      <c r="P156" s="92" t="s">
        <v>640</v>
      </c>
    </row>
    <row r="157" spans="2:16" x14ac:dyDescent="0.25">
      <c r="B157" s="92" t="s">
        <v>634</v>
      </c>
      <c r="C157" s="93">
        <v>44013</v>
      </c>
      <c r="D157" s="92" t="s">
        <v>780</v>
      </c>
      <c r="E157" s="92" t="s">
        <v>645</v>
      </c>
      <c r="F157" s="92" t="s">
        <v>54</v>
      </c>
      <c r="G157" s="94">
        <v>10.58</v>
      </c>
      <c r="H157" s="95">
        <v>27</v>
      </c>
      <c r="J157" s="96">
        <v>0</v>
      </c>
      <c r="K157" s="92" t="s">
        <v>677</v>
      </c>
      <c r="L157" s="92" t="s">
        <v>638</v>
      </c>
      <c r="O157" s="92" t="s">
        <v>790</v>
      </c>
      <c r="P157" s="92" t="s">
        <v>640</v>
      </c>
    </row>
    <row r="158" spans="2:16" x14ac:dyDescent="0.25">
      <c r="B158" s="92" t="s">
        <v>634</v>
      </c>
      <c r="C158" s="93">
        <v>44013</v>
      </c>
      <c r="D158" s="92" t="s">
        <v>780</v>
      </c>
      <c r="E158" s="92" t="s">
        <v>645</v>
      </c>
      <c r="F158" s="92" t="s">
        <v>54</v>
      </c>
      <c r="G158" s="94">
        <v>8.6</v>
      </c>
      <c r="H158" s="95">
        <v>29</v>
      </c>
      <c r="J158" s="96">
        <v>0</v>
      </c>
      <c r="K158" s="92" t="s">
        <v>677</v>
      </c>
      <c r="L158" s="92" t="s">
        <v>638</v>
      </c>
      <c r="O158" s="92" t="s">
        <v>790</v>
      </c>
      <c r="P158" s="92" t="s">
        <v>640</v>
      </c>
    </row>
    <row r="159" spans="2:16" x14ac:dyDescent="0.25">
      <c r="B159" s="92" t="s">
        <v>634</v>
      </c>
      <c r="C159" s="93">
        <v>44014</v>
      </c>
      <c r="D159" s="92" t="s">
        <v>791</v>
      </c>
      <c r="E159" s="92" t="s">
        <v>666</v>
      </c>
      <c r="F159" s="92" t="s">
        <v>54</v>
      </c>
      <c r="G159" s="94">
        <v>10.039999999999999</v>
      </c>
      <c r="H159" s="95">
        <v>3</v>
      </c>
      <c r="J159" s="96">
        <v>0</v>
      </c>
      <c r="K159" s="92" t="s">
        <v>774</v>
      </c>
      <c r="L159" s="92" t="s">
        <v>638</v>
      </c>
      <c r="O159" s="92" t="s">
        <v>792</v>
      </c>
      <c r="P159" s="92" t="s">
        <v>640</v>
      </c>
    </row>
    <row r="160" spans="2:16" x14ac:dyDescent="0.25">
      <c r="B160" s="92" t="s">
        <v>634</v>
      </c>
      <c r="C160" s="93">
        <v>44014</v>
      </c>
      <c r="D160" s="92" t="s">
        <v>791</v>
      </c>
      <c r="E160" s="92" t="s">
        <v>645</v>
      </c>
      <c r="F160" s="92" t="s">
        <v>54</v>
      </c>
      <c r="G160" s="94">
        <v>21.26</v>
      </c>
      <c r="H160" s="95">
        <v>9</v>
      </c>
      <c r="J160" s="96">
        <v>0</v>
      </c>
      <c r="K160" s="92" t="s">
        <v>667</v>
      </c>
      <c r="L160" s="92" t="s">
        <v>638</v>
      </c>
      <c r="O160" s="92" t="s">
        <v>793</v>
      </c>
      <c r="P160" s="92" t="s">
        <v>640</v>
      </c>
    </row>
    <row r="161" spans="2:16" x14ac:dyDescent="0.25">
      <c r="B161" s="92" t="s">
        <v>634</v>
      </c>
      <c r="C161" s="93">
        <v>44014</v>
      </c>
      <c r="D161" s="92" t="s">
        <v>791</v>
      </c>
      <c r="E161" s="92" t="s">
        <v>645</v>
      </c>
      <c r="F161" s="92" t="s">
        <v>54</v>
      </c>
      <c r="G161" s="94">
        <v>17.14</v>
      </c>
      <c r="H161" s="95">
        <v>11</v>
      </c>
      <c r="J161" s="96">
        <v>0</v>
      </c>
      <c r="K161" s="92" t="s">
        <v>667</v>
      </c>
      <c r="L161" s="92" t="s">
        <v>638</v>
      </c>
      <c r="O161" s="92" t="s">
        <v>793</v>
      </c>
      <c r="P161" s="92" t="s">
        <v>640</v>
      </c>
    </row>
    <row r="162" spans="2:16" x14ac:dyDescent="0.25">
      <c r="B162" s="92" t="s">
        <v>634</v>
      </c>
      <c r="C162" s="93">
        <v>44014</v>
      </c>
      <c r="D162" s="92" t="s">
        <v>791</v>
      </c>
      <c r="E162" s="92" t="s">
        <v>645</v>
      </c>
      <c r="F162" s="92" t="s">
        <v>54</v>
      </c>
      <c r="G162" s="94">
        <v>19.34</v>
      </c>
      <c r="H162" s="95">
        <v>13</v>
      </c>
      <c r="J162" s="96">
        <v>0</v>
      </c>
      <c r="K162" s="92" t="s">
        <v>667</v>
      </c>
      <c r="L162" s="92" t="s">
        <v>638</v>
      </c>
      <c r="O162" s="92" t="s">
        <v>793</v>
      </c>
      <c r="P162" s="92" t="s">
        <v>640</v>
      </c>
    </row>
    <row r="163" spans="2:16" x14ac:dyDescent="0.25">
      <c r="B163" s="92" t="s">
        <v>634</v>
      </c>
      <c r="C163" s="93">
        <v>44014</v>
      </c>
      <c r="D163" s="92" t="s">
        <v>791</v>
      </c>
      <c r="E163" s="92" t="s">
        <v>645</v>
      </c>
      <c r="F163" s="92" t="s">
        <v>54</v>
      </c>
      <c r="G163" s="94">
        <v>10.77</v>
      </c>
      <c r="H163" s="95">
        <v>15</v>
      </c>
      <c r="J163" s="96">
        <v>0</v>
      </c>
      <c r="K163" s="92" t="s">
        <v>667</v>
      </c>
      <c r="L163" s="92" t="s">
        <v>638</v>
      </c>
      <c r="O163" s="92" t="s">
        <v>793</v>
      </c>
      <c r="P163" s="92" t="s">
        <v>640</v>
      </c>
    </row>
    <row r="164" spans="2:16" x14ac:dyDescent="0.25">
      <c r="B164" s="92" t="s">
        <v>634</v>
      </c>
      <c r="C164" s="93">
        <v>44014</v>
      </c>
      <c r="D164" s="92" t="s">
        <v>791</v>
      </c>
      <c r="E164" s="92" t="s">
        <v>645</v>
      </c>
      <c r="F164" s="92" t="s">
        <v>54</v>
      </c>
      <c r="G164" s="94">
        <v>24.72</v>
      </c>
      <c r="H164" s="95">
        <v>17</v>
      </c>
      <c r="J164" s="96">
        <v>0</v>
      </c>
      <c r="K164" s="92" t="s">
        <v>667</v>
      </c>
      <c r="L164" s="92" t="s">
        <v>638</v>
      </c>
      <c r="O164" s="92" t="s">
        <v>793</v>
      </c>
      <c r="P164" s="92" t="s">
        <v>640</v>
      </c>
    </row>
    <row r="165" spans="2:16" x14ac:dyDescent="0.25">
      <c r="B165" s="92" t="s">
        <v>634</v>
      </c>
      <c r="C165" s="93">
        <v>44014</v>
      </c>
      <c r="D165" s="92" t="s">
        <v>791</v>
      </c>
      <c r="E165" s="92" t="s">
        <v>645</v>
      </c>
      <c r="F165" s="92" t="s">
        <v>54</v>
      </c>
      <c r="G165" s="94">
        <v>14.19</v>
      </c>
      <c r="H165" s="95">
        <v>21</v>
      </c>
      <c r="J165" s="96">
        <v>0</v>
      </c>
      <c r="K165" s="92" t="s">
        <v>769</v>
      </c>
      <c r="L165" s="92" t="s">
        <v>638</v>
      </c>
      <c r="O165" s="92" t="s">
        <v>794</v>
      </c>
      <c r="P165" s="92" t="s">
        <v>640</v>
      </c>
    </row>
    <row r="166" spans="2:16" x14ac:dyDescent="0.25">
      <c r="B166" s="92" t="s">
        <v>634</v>
      </c>
      <c r="C166" s="93">
        <v>44018</v>
      </c>
      <c r="D166" s="92" t="s">
        <v>795</v>
      </c>
      <c r="E166" s="92" t="s">
        <v>645</v>
      </c>
      <c r="F166" s="92" t="s">
        <v>54</v>
      </c>
      <c r="G166" s="94">
        <v>7.07</v>
      </c>
      <c r="H166" s="95">
        <v>1</v>
      </c>
      <c r="J166" s="96">
        <v>0</v>
      </c>
      <c r="K166" s="92" t="s">
        <v>663</v>
      </c>
      <c r="L166" s="92" t="s">
        <v>638</v>
      </c>
      <c r="O166" s="92" t="s">
        <v>796</v>
      </c>
      <c r="P166" s="92" t="s">
        <v>640</v>
      </c>
    </row>
    <row r="167" spans="2:16" x14ac:dyDescent="0.25">
      <c r="B167" s="92" t="s">
        <v>634</v>
      </c>
      <c r="C167" s="93">
        <v>44018</v>
      </c>
      <c r="D167" s="92" t="s">
        <v>795</v>
      </c>
      <c r="E167" s="92" t="s">
        <v>645</v>
      </c>
      <c r="F167" s="92" t="s">
        <v>54</v>
      </c>
      <c r="G167" s="94">
        <v>7.07</v>
      </c>
      <c r="H167" s="95">
        <v>3</v>
      </c>
      <c r="J167" s="96">
        <v>0</v>
      </c>
      <c r="K167" s="92" t="s">
        <v>663</v>
      </c>
      <c r="L167" s="92" t="s">
        <v>638</v>
      </c>
      <c r="O167" s="92" t="s">
        <v>796</v>
      </c>
      <c r="P167" s="92" t="s">
        <v>640</v>
      </c>
    </row>
    <row r="168" spans="2:16" x14ac:dyDescent="0.25">
      <c r="B168" s="92" t="s">
        <v>634</v>
      </c>
      <c r="C168" s="93">
        <v>44018</v>
      </c>
      <c r="D168" s="92" t="s">
        <v>795</v>
      </c>
      <c r="E168" s="92" t="s">
        <v>645</v>
      </c>
      <c r="F168" s="92" t="s">
        <v>54</v>
      </c>
      <c r="G168" s="94">
        <v>7.07</v>
      </c>
      <c r="H168" s="95">
        <v>5</v>
      </c>
      <c r="J168" s="96">
        <v>0</v>
      </c>
      <c r="K168" s="92" t="s">
        <v>663</v>
      </c>
      <c r="L168" s="92" t="s">
        <v>638</v>
      </c>
      <c r="O168" s="92" t="s">
        <v>796</v>
      </c>
      <c r="P168" s="92" t="s">
        <v>640</v>
      </c>
    </row>
    <row r="169" spans="2:16" x14ac:dyDescent="0.25">
      <c r="B169" s="92" t="s">
        <v>634</v>
      </c>
      <c r="C169" s="93">
        <v>44018</v>
      </c>
      <c r="D169" s="92" t="s">
        <v>795</v>
      </c>
      <c r="E169" s="92" t="s">
        <v>645</v>
      </c>
      <c r="F169" s="92" t="s">
        <v>54</v>
      </c>
      <c r="G169" s="94">
        <v>10.119999999999999</v>
      </c>
      <c r="H169" s="95">
        <v>7</v>
      </c>
      <c r="J169" s="96">
        <v>0</v>
      </c>
      <c r="K169" s="92" t="s">
        <v>663</v>
      </c>
      <c r="L169" s="92" t="s">
        <v>638</v>
      </c>
      <c r="O169" s="92" t="s">
        <v>796</v>
      </c>
      <c r="P169" s="92" t="s">
        <v>640</v>
      </c>
    </row>
    <row r="170" spans="2:16" x14ac:dyDescent="0.25">
      <c r="B170" s="92" t="s">
        <v>634</v>
      </c>
      <c r="C170" s="93">
        <v>44018</v>
      </c>
      <c r="D170" s="92" t="s">
        <v>795</v>
      </c>
      <c r="E170" s="92" t="s">
        <v>645</v>
      </c>
      <c r="F170" s="92" t="s">
        <v>54</v>
      </c>
      <c r="G170" s="94">
        <v>10.66</v>
      </c>
      <c r="H170" s="95">
        <v>9</v>
      </c>
      <c r="J170" s="96">
        <v>0</v>
      </c>
      <c r="K170" s="92" t="s">
        <v>656</v>
      </c>
      <c r="L170" s="92" t="s">
        <v>638</v>
      </c>
      <c r="O170" s="92" t="s">
        <v>797</v>
      </c>
      <c r="P170" s="92" t="s">
        <v>640</v>
      </c>
    </row>
    <row r="171" spans="2:16" x14ac:dyDescent="0.25">
      <c r="B171" s="92" t="s">
        <v>634</v>
      </c>
      <c r="C171" s="93">
        <v>44018</v>
      </c>
      <c r="D171" s="92" t="s">
        <v>795</v>
      </c>
      <c r="E171" s="92" t="s">
        <v>645</v>
      </c>
      <c r="F171" s="92" t="s">
        <v>54</v>
      </c>
      <c r="G171" s="94">
        <v>12.48</v>
      </c>
      <c r="H171" s="95">
        <v>11</v>
      </c>
      <c r="J171" s="96">
        <v>0</v>
      </c>
      <c r="K171" s="92" t="s">
        <v>677</v>
      </c>
      <c r="L171" s="92" t="s">
        <v>638</v>
      </c>
      <c r="O171" s="92" t="s">
        <v>798</v>
      </c>
      <c r="P171" s="92" t="s">
        <v>640</v>
      </c>
    </row>
    <row r="172" spans="2:16" x14ac:dyDescent="0.25">
      <c r="B172" s="92" t="s">
        <v>634</v>
      </c>
      <c r="C172" s="93">
        <v>44018</v>
      </c>
      <c r="D172" s="92" t="s">
        <v>795</v>
      </c>
      <c r="E172" s="92" t="s">
        <v>645</v>
      </c>
      <c r="F172" s="92" t="s">
        <v>54</v>
      </c>
      <c r="G172" s="94">
        <v>9.02</v>
      </c>
      <c r="H172" s="95">
        <v>13</v>
      </c>
      <c r="J172" s="96">
        <v>0</v>
      </c>
      <c r="K172" s="92" t="s">
        <v>677</v>
      </c>
      <c r="L172" s="92" t="s">
        <v>638</v>
      </c>
      <c r="O172" s="92" t="s">
        <v>798</v>
      </c>
      <c r="P172" s="92" t="s">
        <v>640</v>
      </c>
    </row>
    <row r="173" spans="2:16" x14ac:dyDescent="0.25">
      <c r="B173" s="92" t="s">
        <v>634</v>
      </c>
      <c r="C173" s="93">
        <v>44019</v>
      </c>
      <c r="D173" s="92" t="s">
        <v>799</v>
      </c>
      <c r="E173" s="92" t="s">
        <v>666</v>
      </c>
      <c r="F173" s="92" t="s">
        <v>60</v>
      </c>
      <c r="G173" s="94">
        <v>118.66</v>
      </c>
      <c r="H173" s="95">
        <v>1</v>
      </c>
      <c r="J173" s="96">
        <v>0</v>
      </c>
      <c r="K173" s="92" t="s">
        <v>695</v>
      </c>
      <c r="L173" s="92" t="s">
        <v>638</v>
      </c>
      <c r="O173" s="92" t="s">
        <v>800</v>
      </c>
      <c r="P173" s="92" t="s">
        <v>640</v>
      </c>
    </row>
    <row r="174" spans="2:16" x14ac:dyDescent="0.25">
      <c r="B174" s="92" t="s">
        <v>634</v>
      </c>
      <c r="C174" s="93">
        <v>44019</v>
      </c>
      <c r="D174" s="92" t="s">
        <v>799</v>
      </c>
      <c r="E174" s="92" t="s">
        <v>666</v>
      </c>
      <c r="F174" s="92" t="s">
        <v>60</v>
      </c>
      <c r="G174" s="94">
        <v>16.170000000000002</v>
      </c>
      <c r="H174" s="95">
        <v>5</v>
      </c>
      <c r="J174" s="96">
        <v>0</v>
      </c>
      <c r="K174" s="92" t="s">
        <v>695</v>
      </c>
      <c r="L174" s="92" t="s">
        <v>638</v>
      </c>
      <c r="O174" s="92" t="s">
        <v>801</v>
      </c>
      <c r="P174" s="92" t="s">
        <v>640</v>
      </c>
    </row>
    <row r="175" spans="2:16" x14ac:dyDescent="0.25">
      <c r="B175" s="92" t="s">
        <v>634</v>
      </c>
      <c r="C175" s="93">
        <v>44019</v>
      </c>
      <c r="D175" s="92" t="s">
        <v>799</v>
      </c>
      <c r="E175" s="92" t="s">
        <v>666</v>
      </c>
      <c r="F175" s="92" t="s">
        <v>60</v>
      </c>
      <c r="G175" s="94">
        <v>34.47</v>
      </c>
      <c r="H175" s="95">
        <v>7</v>
      </c>
      <c r="J175" s="96">
        <v>0</v>
      </c>
      <c r="K175" s="92" t="s">
        <v>695</v>
      </c>
      <c r="L175" s="92" t="s">
        <v>638</v>
      </c>
      <c r="O175" s="92" t="s">
        <v>802</v>
      </c>
      <c r="P175" s="92" t="s">
        <v>640</v>
      </c>
    </row>
    <row r="176" spans="2:16" x14ac:dyDescent="0.25">
      <c r="B176" s="92" t="s">
        <v>634</v>
      </c>
      <c r="C176" s="93">
        <v>44019</v>
      </c>
      <c r="D176" s="92" t="s">
        <v>799</v>
      </c>
      <c r="E176" s="92" t="s">
        <v>666</v>
      </c>
      <c r="F176" s="92" t="s">
        <v>60</v>
      </c>
      <c r="G176" s="94">
        <v>26.96</v>
      </c>
      <c r="H176" s="95">
        <v>9</v>
      </c>
      <c r="J176" s="96">
        <v>0</v>
      </c>
      <c r="K176" s="92" t="s">
        <v>695</v>
      </c>
      <c r="L176" s="92" t="s">
        <v>638</v>
      </c>
      <c r="O176" s="92" t="s">
        <v>803</v>
      </c>
      <c r="P176" s="92" t="s">
        <v>640</v>
      </c>
    </row>
    <row r="177" spans="2:16" x14ac:dyDescent="0.25">
      <c r="B177" s="92" t="s">
        <v>634</v>
      </c>
      <c r="C177" s="93">
        <v>44020</v>
      </c>
      <c r="D177" s="92" t="s">
        <v>804</v>
      </c>
      <c r="E177" s="92" t="s">
        <v>636</v>
      </c>
      <c r="F177" s="92" t="s">
        <v>54</v>
      </c>
      <c r="G177" s="94">
        <v>180.95</v>
      </c>
      <c r="H177" s="95">
        <v>11</v>
      </c>
      <c r="J177" s="96">
        <v>0</v>
      </c>
      <c r="K177" s="92" t="s">
        <v>637</v>
      </c>
      <c r="L177" s="92" t="s">
        <v>638</v>
      </c>
      <c r="O177" s="92" t="s">
        <v>805</v>
      </c>
      <c r="P177" s="92" t="s">
        <v>640</v>
      </c>
    </row>
    <row r="178" spans="2:16" x14ac:dyDescent="0.25">
      <c r="B178" s="92" t="s">
        <v>634</v>
      </c>
      <c r="C178" s="93">
        <v>44020</v>
      </c>
      <c r="D178" s="92" t="s">
        <v>804</v>
      </c>
      <c r="E178" s="92" t="s">
        <v>636</v>
      </c>
      <c r="F178" s="92" t="s">
        <v>54</v>
      </c>
      <c r="G178" s="94">
        <v>63.62</v>
      </c>
      <c r="H178" s="95">
        <v>19</v>
      </c>
      <c r="J178" s="96">
        <v>0</v>
      </c>
      <c r="K178" s="92" t="s">
        <v>637</v>
      </c>
      <c r="L178" s="92" t="s">
        <v>638</v>
      </c>
      <c r="O178" s="92" t="s">
        <v>806</v>
      </c>
      <c r="P178" s="92" t="s">
        <v>640</v>
      </c>
    </row>
    <row r="179" spans="2:16" x14ac:dyDescent="0.25">
      <c r="B179" s="92" t="s">
        <v>634</v>
      </c>
      <c r="C179" s="93">
        <v>44020</v>
      </c>
      <c r="D179" s="92" t="s">
        <v>804</v>
      </c>
      <c r="E179" s="92" t="s">
        <v>636</v>
      </c>
      <c r="F179" s="92" t="s">
        <v>54</v>
      </c>
      <c r="G179" s="94">
        <v>57.63</v>
      </c>
      <c r="H179" s="95">
        <v>21</v>
      </c>
      <c r="J179" s="96">
        <v>0</v>
      </c>
      <c r="K179" s="92" t="s">
        <v>637</v>
      </c>
      <c r="L179" s="92" t="s">
        <v>638</v>
      </c>
      <c r="O179" s="92" t="s">
        <v>807</v>
      </c>
      <c r="P179" s="92" t="s">
        <v>640</v>
      </c>
    </row>
    <row r="180" spans="2:16" x14ac:dyDescent="0.25">
      <c r="B180" s="92" t="s">
        <v>634</v>
      </c>
      <c r="C180" s="93">
        <v>44025</v>
      </c>
      <c r="D180" s="92" t="s">
        <v>808</v>
      </c>
      <c r="E180" s="92" t="s">
        <v>636</v>
      </c>
      <c r="F180" s="92" t="s">
        <v>54</v>
      </c>
      <c r="G180" s="94">
        <v>13.46</v>
      </c>
      <c r="H180" s="95">
        <v>5</v>
      </c>
      <c r="J180" s="96">
        <v>0</v>
      </c>
      <c r="K180" s="92" t="s">
        <v>642</v>
      </c>
      <c r="L180" s="92" t="s">
        <v>638</v>
      </c>
      <c r="O180" s="92" t="s">
        <v>809</v>
      </c>
      <c r="P180" s="92" t="s">
        <v>640</v>
      </c>
    </row>
    <row r="181" spans="2:16" x14ac:dyDescent="0.25">
      <c r="B181" s="92" t="s">
        <v>634</v>
      </c>
      <c r="C181" s="93">
        <v>44025</v>
      </c>
      <c r="D181" s="92" t="s">
        <v>808</v>
      </c>
      <c r="E181" s="92" t="s">
        <v>636</v>
      </c>
      <c r="F181" s="92" t="s">
        <v>54</v>
      </c>
      <c r="G181" s="94">
        <v>109.09</v>
      </c>
      <c r="H181" s="95">
        <v>7</v>
      </c>
      <c r="J181" s="96">
        <v>0</v>
      </c>
      <c r="K181" s="92" t="s">
        <v>642</v>
      </c>
      <c r="L181" s="92" t="s">
        <v>638</v>
      </c>
      <c r="O181" s="92" t="s">
        <v>809</v>
      </c>
      <c r="P181" s="92" t="s">
        <v>640</v>
      </c>
    </row>
    <row r="182" spans="2:16" x14ac:dyDescent="0.25">
      <c r="B182" s="92" t="s">
        <v>634</v>
      </c>
      <c r="C182" s="93">
        <v>44025</v>
      </c>
      <c r="D182" s="92" t="s">
        <v>808</v>
      </c>
      <c r="E182" s="92" t="s">
        <v>636</v>
      </c>
      <c r="F182" s="92" t="s">
        <v>54</v>
      </c>
      <c r="G182" s="94">
        <v>128.16</v>
      </c>
      <c r="H182" s="95">
        <v>9</v>
      </c>
      <c r="J182" s="96">
        <v>0</v>
      </c>
      <c r="K182" s="92" t="s">
        <v>642</v>
      </c>
      <c r="L182" s="92" t="s">
        <v>638</v>
      </c>
      <c r="O182" s="92" t="s">
        <v>809</v>
      </c>
      <c r="P182" s="92" t="s">
        <v>640</v>
      </c>
    </row>
    <row r="183" spans="2:16" x14ac:dyDescent="0.25">
      <c r="B183" s="92" t="s">
        <v>634</v>
      </c>
      <c r="C183" s="93">
        <v>44025</v>
      </c>
      <c r="D183" s="92" t="s">
        <v>808</v>
      </c>
      <c r="E183" s="92" t="s">
        <v>645</v>
      </c>
      <c r="F183" s="92" t="s">
        <v>54</v>
      </c>
      <c r="G183" s="94">
        <v>14.91</v>
      </c>
      <c r="H183" s="95">
        <v>15</v>
      </c>
      <c r="J183" s="96">
        <v>0</v>
      </c>
      <c r="K183" s="92" t="s">
        <v>769</v>
      </c>
      <c r="L183" s="92" t="s">
        <v>638</v>
      </c>
      <c r="O183" s="92" t="s">
        <v>810</v>
      </c>
      <c r="P183" s="92" t="s">
        <v>640</v>
      </c>
    </row>
    <row r="184" spans="2:16" x14ac:dyDescent="0.25">
      <c r="B184" s="92" t="s">
        <v>634</v>
      </c>
      <c r="C184" s="93">
        <v>44029</v>
      </c>
      <c r="D184" s="92" t="s">
        <v>811</v>
      </c>
      <c r="E184" s="92" t="s">
        <v>648</v>
      </c>
      <c r="F184" s="92" t="s">
        <v>54</v>
      </c>
      <c r="G184" s="94">
        <v>56.64</v>
      </c>
      <c r="H184" s="95">
        <v>9</v>
      </c>
      <c r="J184" s="96">
        <v>0</v>
      </c>
      <c r="K184" s="92" t="s">
        <v>649</v>
      </c>
      <c r="L184" s="92" t="s">
        <v>638</v>
      </c>
      <c r="O184" s="92" t="s">
        <v>812</v>
      </c>
      <c r="P184" s="92" t="s">
        <v>640</v>
      </c>
    </row>
    <row r="185" spans="2:16" x14ac:dyDescent="0.25">
      <c r="B185" s="92" t="s">
        <v>634</v>
      </c>
      <c r="C185" s="93">
        <v>44029</v>
      </c>
      <c r="D185" s="92" t="s">
        <v>811</v>
      </c>
      <c r="E185" s="92" t="s">
        <v>666</v>
      </c>
      <c r="F185" s="92" t="s">
        <v>54</v>
      </c>
      <c r="G185" s="94">
        <v>171.81</v>
      </c>
      <c r="H185" s="95">
        <v>19</v>
      </c>
      <c r="J185" s="96">
        <v>0</v>
      </c>
      <c r="K185" s="92" t="s">
        <v>774</v>
      </c>
      <c r="L185" s="92" t="s">
        <v>638</v>
      </c>
      <c r="O185" s="92" t="s">
        <v>813</v>
      </c>
      <c r="P185" s="92" t="s">
        <v>640</v>
      </c>
    </row>
    <row r="186" spans="2:16" x14ac:dyDescent="0.25">
      <c r="B186" s="92" t="s">
        <v>634</v>
      </c>
      <c r="C186" s="93">
        <v>44029</v>
      </c>
      <c r="D186" s="92" t="s">
        <v>811</v>
      </c>
      <c r="E186" s="92" t="s">
        <v>645</v>
      </c>
      <c r="F186" s="92" t="s">
        <v>54</v>
      </c>
      <c r="G186" s="94">
        <v>14.95</v>
      </c>
      <c r="H186" s="95">
        <v>27</v>
      </c>
      <c r="J186" s="96">
        <v>0</v>
      </c>
      <c r="K186" s="92" t="s">
        <v>667</v>
      </c>
      <c r="L186" s="92" t="s">
        <v>638</v>
      </c>
      <c r="O186" s="92" t="s">
        <v>814</v>
      </c>
      <c r="P186" s="92" t="s">
        <v>640</v>
      </c>
    </row>
    <row r="187" spans="2:16" x14ac:dyDescent="0.25">
      <c r="B187" s="92" t="s">
        <v>634</v>
      </c>
      <c r="C187" s="93">
        <v>44029</v>
      </c>
      <c r="D187" s="92" t="s">
        <v>811</v>
      </c>
      <c r="E187" s="92" t="s">
        <v>645</v>
      </c>
      <c r="F187" s="92" t="s">
        <v>54</v>
      </c>
      <c r="G187" s="94">
        <v>39.17</v>
      </c>
      <c r="H187" s="95">
        <v>29</v>
      </c>
      <c r="J187" s="96">
        <v>0</v>
      </c>
      <c r="K187" s="92" t="s">
        <v>667</v>
      </c>
      <c r="L187" s="92" t="s">
        <v>638</v>
      </c>
      <c r="O187" s="92" t="s">
        <v>814</v>
      </c>
      <c r="P187" s="92" t="s">
        <v>640</v>
      </c>
    </row>
    <row r="188" spans="2:16" x14ac:dyDescent="0.25">
      <c r="B188" s="92" t="s">
        <v>634</v>
      </c>
      <c r="C188" s="93">
        <v>44033</v>
      </c>
      <c r="D188" s="92" t="s">
        <v>815</v>
      </c>
      <c r="E188" s="92" t="s">
        <v>648</v>
      </c>
      <c r="F188" s="92" t="s">
        <v>54</v>
      </c>
      <c r="G188" s="94">
        <v>14.44</v>
      </c>
      <c r="H188" s="95">
        <v>11</v>
      </c>
      <c r="J188" s="96">
        <v>0</v>
      </c>
      <c r="K188" s="92" t="s">
        <v>683</v>
      </c>
      <c r="L188" s="92" t="s">
        <v>638</v>
      </c>
      <c r="O188" s="92" t="s">
        <v>816</v>
      </c>
      <c r="P188" s="92" t="s">
        <v>640</v>
      </c>
    </row>
    <row r="189" spans="2:16" x14ac:dyDescent="0.25">
      <c r="B189" s="92" t="s">
        <v>634</v>
      </c>
      <c r="C189" s="93">
        <v>44033</v>
      </c>
      <c r="D189" s="92" t="s">
        <v>815</v>
      </c>
      <c r="E189" s="92" t="s">
        <v>648</v>
      </c>
      <c r="F189" s="92" t="s">
        <v>50</v>
      </c>
      <c r="G189" s="94">
        <v>22.9</v>
      </c>
      <c r="H189" s="95">
        <v>15</v>
      </c>
      <c r="J189" s="96">
        <v>0</v>
      </c>
      <c r="K189" s="92" t="s">
        <v>745</v>
      </c>
      <c r="L189" s="92" t="s">
        <v>638</v>
      </c>
      <c r="O189" s="92" t="s">
        <v>817</v>
      </c>
      <c r="P189" s="92" t="s">
        <v>640</v>
      </c>
    </row>
    <row r="190" spans="2:16" x14ac:dyDescent="0.25">
      <c r="B190" s="92" t="s">
        <v>634</v>
      </c>
      <c r="C190" s="93">
        <v>44033</v>
      </c>
      <c r="D190" s="92" t="s">
        <v>815</v>
      </c>
      <c r="E190" s="92" t="s">
        <v>666</v>
      </c>
      <c r="F190" s="92" t="s">
        <v>54</v>
      </c>
      <c r="G190" s="94">
        <v>236.8</v>
      </c>
      <c r="H190" s="95">
        <v>23</v>
      </c>
      <c r="J190" s="96">
        <v>0</v>
      </c>
      <c r="K190" s="92" t="s">
        <v>774</v>
      </c>
      <c r="L190" s="92" t="s">
        <v>638</v>
      </c>
      <c r="O190" s="92" t="s">
        <v>818</v>
      </c>
      <c r="P190" s="92" t="s">
        <v>640</v>
      </c>
    </row>
    <row r="191" spans="2:16" x14ac:dyDescent="0.25">
      <c r="B191" s="92" t="s">
        <v>634</v>
      </c>
      <c r="C191" s="93">
        <v>44033</v>
      </c>
      <c r="D191" s="92" t="s">
        <v>815</v>
      </c>
      <c r="E191" s="92" t="s">
        <v>666</v>
      </c>
      <c r="F191" s="92" t="s">
        <v>54</v>
      </c>
      <c r="G191" s="94">
        <v>288.38</v>
      </c>
      <c r="H191" s="95">
        <v>27</v>
      </c>
      <c r="J191" s="96">
        <v>0</v>
      </c>
      <c r="K191" s="92" t="s">
        <v>774</v>
      </c>
      <c r="L191" s="92" t="s">
        <v>638</v>
      </c>
      <c r="O191" s="92" t="s">
        <v>819</v>
      </c>
      <c r="P191" s="92" t="s">
        <v>640</v>
      </c>
    </row>
    <row r="192" spans="2:16" x14ac:dyDescent="0.25">
      <c r="B192" s="92" t="s">
        <v>634</v>
      </c>
      <c r="C192" s="93">
        <v>44040</v>
      </c>
      <c r="D192" s="92" t="s">
        <v>820</v>
      </c>
      <c r="E192" s="92" t="s">
        <v>648</v>
      </c>
      <c r="F192" s="92" t="s">
        <v>54</v>
      </c>
      <c r="G192" s="94">
        <v>73.2</v>
      </c>
      <c r="H192" s="95">
        <v>5</v>
      </c>
      <c r="J192" s="96">
        <v>0</v>
      </c>
      <c r="K192" s="92" t="s">
        <v>745</v>
      </c>
      <c r="L192" s="92" t="s">
        <v>638</v>
      </c>
      <c r="O192" s="92" t="s">
        <v>821</v>
      </c>
      <c r="P192" s="92" t="s">
        <v>640</v>
      </c>
    </row>
    <row r="193" spans="2:16" x14ac:dyDescent="0.25">
      <c r="B193" s="92" t="s">
        <v>634</v>
      </c>
      <c r="C193" s="93">
        <v>44041</v>
      </c>
      <c r="D193" s="92" t="s">
        <v>822</v>
      </c>
      <c r="E193" s="92" t="s">
        <v>648</v>
      </c>
      <c r="F193" s="92" t="s">
        <v>158</v>
      </c>
      <c r="G193" s="94">
        <v>27.9</v>
      </c>
      <c r="H193" s="95">
        <v>3</v>
      </c>
      <c r="J193" s="96">
        <v>0</v>
      </c>
      <c r="K193" s="92" t="s">
        <v>823</v>
      </c>
      <c r="L193" s="92" t="s">
        <v>638</v>
      </c>
      <c r="O193" s="92" t="s">
        <v>824</v>
      </c>
      <c r="P193" s="92" t="s">
        <v>640</v>
      </c>
    </row>
    <row r="194" spans="2:16" x14ac:dyDescent="0.25">
      <c r="B194" s="92" t="s">
        <v>634</v>
      </c>
      <c r="C194" s="93">
        <v>44041</v>
      </c>
      <c r="D194" s="92" t="s">
        <v>822</v>
      </c>
      <c r="E194" s="92" t="s">
        <v>648</v>
      </c>
      <c r="F194" s="92" t="s">
        <v>54</v>
      </c>
      <c r="G194" s="94">
        <v>51.11</v>
      </c>
      <c r="H194" s="95">
        <v>5</v>
      </c>
      <c r="J194" s="96">
        <v>0</v>
      </c>
      <c r="K194" s="92" t="s">
        <v>745</v>
      </c>
      <c r="L194" s="92" t="s">
        <v>638</v>
      </c>
      <c r="O194" s="92" t="s">
        <v>825</v>
      </c>
      <c r="P194" s="92" t="s">
        <v>640</v>
      </c>
    </row>
    <row r="195" spans="2:16" x14ac:dyDescent="0.25">
      <c r="B195" s="92" t="s">
        <v>634</v>
      </c>
      <c r="C195" s="93">
        <v>44041</v>
      </c>
      <c r="D195" s="92" t="s">
        <v>822</v>
      </c>
      <c r="E195" s="92" t="s">
        <v>645</v>
      </c>
      <c r="F195" s="92" t="s">
        <v>54</v>
      </c>
      <c r="G195" s="94">
        <v>7.07</v>
      </c>
      <c r="H195" s="95">
        <v>7</v>
      </c>
      <c r="J195" s="96">
        <v>0</v>
      </c>
      <c r="K195" s="92" t="s">
        <v>663</v>
      </c>
      <c r="L195" s="92" t="s">
        <v>638</v>
      </c>
      <c r="O195" s="92" t="s">
        <v>826</v>
      </c>
      <c r="P195" s="92" t="s">
        <v>640</v>
      </c>
    </row>
    <row r="196" spans="2:16" x14ac:dyDescent="0.25">
      <c r="B196" s="92" t="s">
        <v>634</v>
      </c>
      <c r="C196" s="93">
        <v>44041</v>
      </c>
      <c r="D196" s="92" t="s">
        <v>822</v>
      </c>
      <c r="E196" s="92" t="s">
        <v>645</v>
      </c>
      <c r="F196" s="92" t="s">
        <v>54</v>
      </c>
      <c r="G196" s="94">
        <v>7.07</v>
      </c>
      <c r="H196" s="95">
        <v>9</v>
      </c>
      <c r="J196" s="96">
        <v>0</v>
      </c>
      <c r="K196" s="92" t="s">
        <v>663</v>
      </c>
      <c r="L196" s="92" t="s">
        <v>638</v>
      </c>
      <c r="O196" s="92" t="s">
        <v>826</v>
      </c>
      <c r="P196" s="92" t="s">
        <v>640</v>
      </c>
    </row>
    <row r="197" spans="2:16" x14ac:dyDescent="0.25">
      <c r="B197" s="92" t="s">
        <v>634</v>
      </c>
      <c r="C197" s="93">
        <v>44042</v>
      </c>
      <c r="D197" s="92" t="s">
        <v>827</v>
      </c>
      <c r="E197" s="92" t="s">
        <v>666</v>
      </c>
      <c r="F197" s="92" t="s">
        <v>60</v>
      </c>
      <c r="G197" s="94">
        <v>28.04</v>
      </c>
      <c r="H197" s="95">
        <v>9</v>
      </c>
      <c r="J197" s="96">
        <v>0</v>
      </c>
      <c r="K197" s="92" t="s">
        <v>695</v>
      </c>
      <c r="L197" s="92" t="s">
        <v>638</v>
      </c>
      <c r="O197" s="92" t="s">
        <v>828</v>
      </c>
      <c r="P197" s="92" t="s">
        <v>640</v>
      </c>
    </row>
    <row r="198" spans="2:16" x14ac:dyDescent="0.25">
      <c r="B198" s="92" t="s">
        <v>634</v>
      </c>
      <c r="C198" s="93">
        <v>44042</v>
      </c>
      <c r="D198" s="92" t="s">
        <v>827</v>
      </c>
      <c r="E198" s="92" t="s">
        <v>666</v>
      </c>
      <c r="F198" s="92" t="s">
        <v>60</v>
      </c>
      <c r="G198" s="94">
        <v>109.98</v>
      </c>
      <c r="H198" s="95">
        <v>11</v>
      </c>
      <c r="J198" s="96">
        <v>0</v>
      </c>
      <c r="K198" s="92" t="s">
        <v>695</v>
      </c>
      <c r="L198" s="92" t="s">
        <v>638</v>
      </c>
      <c r="O198" s="92" t="s">
        <v>828</v>
      </c>
      <c r="P198" s="92" t="s">
        <v>640</v>
      </c>
    </row>
    <row r="199" spans="2:16" x14ac:dyDescent="0.25">
      <c r="B199" s="92" t="s">
        <v>634</v>
      </c>
      <c r="C199" s="93">
        <v>44042</v>
      </c>
      <c r="D199" s="92" t="s">
        <v>827</v>
      </c>
      <c r="E199" s="92" t="s">
        <v>666</v>
      </c>
      <c r="F199" s="92" t="s">
        <v>60</v>
      </c>
      <c r="G199" s="94">
        <v>33.82</v>
      </c>
      <c r="H199" s="95">
        <v>13</v>
      </c>
      <c r="J199" s="96">
        <v>0</v>
      </c>
      <c r="K199" s="92" t="s">
        <v>695</v>
      </c>
      <c r="L199" s="92" t="s">
        <v>638</v>
      </c>
      <c r="O199" s="92" t="s">
        <v>828</v>
      </c>
      <c r="P199" s="92" t="s">
        <v>640</v>
      </c>
    </row>
    <row r="200" spans="2:16" x14ac:dyDescent="0.25">
      <c r="B200" s="92" t="s">
        <v>634</v>
      </c>
      <c r="C200" s="93">
        <v>44042</v>
      </c>
      <c r="D200" s="92" t="s">
        <v>827</v>
      </c>
      <c r="E200" s="92" t="s">
        <v>666</v>
      </c>
      <c r="F200" s="92" t="s">
        <v>60</v>
      </c>
      <c r="G200" s="94">
        <v>62.53</v>
      </c>
      <c r="H200" s="95">
        <v>15</v>
      </c>
      <c r="J200" s="96">
        <v>0</v>
      </c>
      <c r="K200" s="92" t="s">
        <v>695</v>
      </c>
      <c r="L200" s="92" t="s">
        <v>638</v>
      </c>
      <c r="O200" s="92" t="s">
        <v>828</v>
      </c>
      <c r="P200" s="92" t="s">
        <v>640</v>
      </c>
    </row>
    <row r="201" spans="2:16" x14ac:dyDescent="0.25">
      <c r="B201" s="92" t="s">
        <v>634</v>
      </c>
      <c r="C201" s="93">
        <v>44042</v>
      </c>
      <c r="D201" s="92" t="s">
        <v>827</v>
      </c>
      <c r="E201" s="92" t="s">
        <v>666</v>
      </c>
      <c r="F201" s="92" t="s">
        <v>60</v>
      </c>
      <c r="G201" s="94">
        <v>164.29</v>
      </c>
      <c r="H201" s="95">
        <v>17</v>
      </c>
      <c r="J201" s="96">
        <v>0</v>
      </c>
      <c r="K201" s="92" t="s">
        <v>695</v>
      </c>
      <c r="L201" s="92" t="s">
        <v>638</v>
      </c>
      <c r="O201" s="92" t="s">
        <v>829</v>
      </c>
      <c r="P201" s="92" t="s">
        <v>640</v>
      </c>
    </row>
    <row r="202" spans="2:16" x14ac:dyDescent="0.25">
      <c r="B202" s="92" t="s">
        <v>634</v>
      </c>
      <c r="C202" s="93">
        <v>44042</v>
      </c>
      <c r="D202" s="92" t="s">
        <v>827</v>
      </c>
      <c r="E202" s="92" t="s">
        <v>666</v>
      </c>
      <c r="F202" s="92" t="s">
        <v>54</v>
      </c>
      <c r="G202" s="94">
        <v>213.57</v>
      </c>
      <c r="H202" s="95">
        <v>19</v>
      </c>
      <c r="J202" s="96">
        <v>0</v>
      </c>
      <c r="K202" s="92" t="s">
        <v>830</v>
      </c>
      <c r="L202" s="92" t="s">
        <v>638</v>
      </c>
      <c r="O202" s="92" t="s">
        <v>831</v>
      </c>
      <c r="P202" s="92" t="s">
        <v>640</v>
      </c>
    </row>
    <row r="203" spans="2:16" x14ac:dyDescent="0.25">
      <c r="B203" s="92" t="s">
        <v>634</v>
      </c>
      <c r="C203" s="93">
        <v>44042</v>
      </c>
      <c r="D203" s="92" t="s">
        <v>827</v>
      </c>
      <c r="E203" s="92" t="s">
        <v>652</v>
      </c>
      <c r="F203" s="92" t="s">
        <v>54</v>
      </c>
      <c r="G203" s="94">
        <v>15.5</v>
      </c>
      <c r="H203" s="95">
        <v>25</v>
      </c>
      <c r="J203" s="96">
        <v>0</v>
      </c>
      <c r="K203" s="92" t="s">
        <v>701</v>
      </c>
      <c r="L203" s="92" t="s">
        <v>638</v>
      </c>
      <c r="O203" s="92" t="s">
        <v>832</v>
      </c>
      <c r="P203" s="92" t="s">
        <v>640</v>
      </c>
    </row>
    <row r="204" spans="2:16" x14ac:dyDescent="0.25">
      <c r="B204" s="92" t="s">
        <v>634</v>
      </c>
      <c r="C204" s="93">
        <v>44042</v>
      </c>
      <c r="D204" s="92" t="s">
        <v>827</v>
      </c>
      <c r="E204" s="92" t="s">
        <v>833</v>
      </c>
      <c r="F204" s="92" t="s">
        <v>54</v>
      </c>
      <c r="G204" s="94">
        <v>18.34</v>
      </c>
      <c r="H204" s="95">
        <v>39</v>
      </c>
      <c r="J204" s="96">
        <v>0</v>
      </c>
      <c r="K204" s="92" t="s">
        <v>834</v>
      </c>
      <c r="L204" s="92" t="s">
        <v>638</v>
      </c>
      <c r="O204" s="92" t="s">
        <v>835</v>
      </c>
      <c r="P204" s="92" t="s">
        <v>640</v>
      </c>
    </row>
    <row r="205" spans="2:16" x14ac:dyDescent="0.25">
      <c r="B205" s="92" t="s">
        <v>634</v>
      </c>
      <c r="C205" s="93">
        <v>44042</v>
      </c>
      <c r="D205" s="92" t="s">
        <v>827</v>
      </c>
      <c r="E205" s="92" t="s">
        <v>833</v>
      </c>
      <c r="F205" s="92" t="s">
        <v>54</v>
      </c>
      <c r="G205" s="94">
        <v>12.33</v>
      </c>
      <c r="H205" s="95">
        <v>41</v>
      </c>
      <c r="J205" s="96">
        <v>0</v>
      </c>
      <c r="K205" s="92" t="s">
        <v>834</v>
      </c>
      <c r="L205" s="92" t="s">
        <v>638</v>
      </c>
      <c r="O205" s="92" t="s">
        <v>835</v>
      </c>
      <c r="P205" s="92" t="s">
        <v>640</v>
      </c>
    </row>
    <row r="206" spans="2:16" x14ac:dyDescent="0.25">
      <c r="B206" s="92" t="s">
        <v>634</v>
      </c>
      <c r="C206" s="93">
        <v>44042</v>
      </c>
      <c r="D206" s="92" t="s">
        <v>827</v>
      </c>
      <c r="E206" s="92" t="s">
        <v>833</v>
      </c>
      <c r="F206" s="92" t="s">
        <v>54</v>
      </c>
      <c r="G206" s="94">
        <v>12.44</v>
      </c>
      <c r="H206" s="95">
        <v>45</v>
      </c>
      <c r="J206" s="96">
        <v>0</v>
      </c>
      <c r="K206" s="92" t="s">
        <v>836</v>
      </c>
      <c r="L206" s="92" t="s">
        <v>638</v>
      </c>
      <c r="O206" s="92" t="s">
        <v>837</v>
      </c>
      <c r="P206" s="92" t="s">
        <v>640</v>
      </c>
    </row>
    <row r="207" spans="2:16" x14ac:dyDescent="0.25">
      <c r="B207" s="92" t="s">
        <v>634</v>
      </c>
      <c r="C207" s="93">
        <v>44042</v>
      </c>
      <c r="D207" s="92" t="s">
        <v>827</v>
      </c>
      <c r="E207" s="92" t="s">
        <v>833</v>
      </c>
      <c r="F207" s="92" t="s">
        <v>54</v>
      </c>
      <c r="G207" s="94">
        <v>12.33</v>
      </c>
      <c r="H207" s="95">
        <v>47</v>
      </c>
      <c r="J207" s="96">
        <v>0</v>
      </c>
      <c r="K207" s="92" t="s">
        <v>836</v>
      </c>
      <c r="L207" s="92" t="s">
        <v>638</v>
      </c>
      <c r="O207" s="92" t="s">
        <v>837</v>
      </c>
      <c r="P207" s="92" t="s">
        <v>640</v>
      </c>
    </row>
    <row r="208" spans="2:16" x14ac:dyDescent="0.25">
      <c r="B208" s="92" t="s">
        <v>634</v>
      </c>
      <c r="C208" s="93">
        <v>44042</v>
      </c>
      <c r="D208" s="92" t="s">
        <v>827</v>
      </c>
      <c r="E208" s="92" t="s">
        <v>833</v>
      </c>
      <c r="F208" s="92" t="s">
        <v>54</v>
      </c>
      <c r="G208" s="94">
        <v>20.57</v>
      </c>
      <c r="H208" s="95">
        <v>49</v>
      </c>
      <c r="J208" s="96">
        <v>0</v>
      </c>
      <c r="K208" s="92" t="s">
        <v>838</v>
      </c>
      <c r="L208" s="92" t="s">
        <v>638</v>
      </c>
      <c r="O208" s="92" t="s">
        <v>839</v>
      </c>
      <c r="P208" s="92" t="s">
        <v>640</v>
      </c>
    </row>
    <row r="209" spans="2:16" x14ac:dyDescent="0.25">
      <c r="B209" s="92" t="s">
        <v>634</v>
      </c>
      <c r="C209" s="93">
        <v>44042</v>
      </c>
      <c r="D209" s="92" t="s">
        <v>827</v>
      </c>
      <c r="E209" s="92" t="s">
        <v>833</v>
      </c>
      <c r="F209" s="92" t="s">
        <v>54</v>
      </c>
      <c r="G209" s="94">
        <v>12.55</v>
      </c>
      <c r="H209" s="95">
        <v>51</v>
      </c>
      <c r="J209" s="96">
        <v>0</v>
      </c>
      <c r="K209" s="92" t="s">
        <v>838</v>
      </c>
      <c r="L209" s="92" t="s">
        <v>638</v>
      </c>
      <c r="O209" s="92" t="s">
        <v>839</v>
      </c>
      <c r="P209" s="92" t="s">
        <v>640</v>
      </c>
    </row>
    <row r="210" spans="2:16" x14ac:dyDescent="0.25">
      <c r="B210" s="92" t="s">
        <v>634</v>
      </c>
      <c r="C210" s="93">
        <v>44043</v>
      </c>
      <c r="D210" s="92" t="s">
        <v>840</v>
      </c>
      <c r="E210" s="92" t="s">
        <v>648</v>
      </c>
      <c r="F210" s="92" t="s">
        <v>54</v>
      </c>
      <c r="G210" s="94">
        <v>25.71</v>
      </c>
      <c r="H210" s="95">
        <v>51</v>
      </c>
      <c r="J210" s="96">
        <v>0</v>
      </c>
      <c r="K210" s="92" t="s">
        <v>649</v>
      </c>
      <c r="L210" s="92" t="s">
        <v>638</v>
      </c>
      <c r="O210" s="92" t="s">
        <v>841</v>
      </c>
      <c r="P210" s="92" t="s">
        <v>640</v>
      </c>
    </row>
    <row r="211" spans="2:16" x14ac:dyDescent="0.25">
      <c r="B211" s="92" t="s">
        <v>634</v>
      </c>
      <c r="C211" s="93">
        <v>44043</v>
      </c>
      <c r="D211" s="92" t="s">
        <v>840</v>
      </c>
      <c r="E211" s="92" t="s">
        <v>648</v>
      </c>
      <c r="F211" s="92" t="s">
        <v>54</v>
      </c>
      <c r="G211" s="94">
        <v>71.39</v>
      </c>
      <c r="H211" s="95">
        <v>79</v>
      </c>
      <c r="J211" s="96">
        <v>0</v>
      </c>
      <c r="K211" s="92" t="s">
        <v>842</v>
      </c>
      <c r="L211" s="92" t="s">
        <v>638</v>
      </c>
      <c r="O211" s="92" t="s">
        <v>843</v>
      </c>
      <c r="P211" s="92" t="s">
        <v>640</v>
      </c>
    </row>
    <row r="212" spans="2:16" x14ac:dyDescent="0.25">
      <c r="B212" s="92" t="s">
        <v>634</v>
      </c>
      <c r="C212" s="93">
        <v>44043</v>
      </c>
      <c r="D212" s="92" t="s">
        <v>840</v>
      </c>
      <c r="E212" s="92" t="s">
        <v>648</v>
      </c>
      <c r="F212" s="92" t="s">
        <v>54</v>
      </c>
      <c r="G212" s="94">
        <v>16.28</v>
      </c>
      <c r="H212" s="95">
        <v>81</v>
      </c>
      <c r="J212" s="96">
        <v>0</v>
      </c>
      <c r="K212" s="92" t="s">
        <v>842</v>
      </c>
      <c r="L212" s="92" t="s">
        <v>638</v>
      </c>
      <c r="O212" s="92" t="s">
        <v>843</v>
      </c>
      <c r="P212" s="92" t="s">
        <v>640</v>
      </c>
    </row>
    <row r="213" spans="2:16" x14ac:dyDescent="0.25">
      <c r="B213" s="92" t="s">
        <v>634</v>
      </c>
      <c r="C213" s="93">
        <v>44043</v>
      </c>
      <c r="D213" s="92" t="s">
        <v>840</v>
      </c>
      <c r="E213" s="92" t="s">
        <v>648</v>
      </c>
      <c r="F213" s="92" t="s">
        <v>54</v>
      </c>
      <c r="G213" s="94">
        <v>34.159999999999997</v>
      </c>
      <c r="H213" s="95">
        <v>83</v>
      </c>
      <c r="J213" s="96">
        <v>0</v>
      </c>
      <c r="K213" s="92" t="s">
        <v>842</v>
      </c>
      <c r="L213" s="92" t="s">
        <v>638</v>
      </c>
      <c r="O213" s="92" t="s">
        <v>843</v>
      </c>
      <c r="P213" s="92" t="s">
        <v>640</v>
      </c>
    </row>
    <row r="214" spans="2:16" x14ac:dyDescent="0.25">
      <c r="B214" s="92" t="s">
        <v>634</v>
      </c>
      <c r="C214" s="93">
        <v>44043</v>
      </c>
      <c r="D214" s="92" t="s">
        <v>840</v>
      </c>
      <c r="E214" s="92" t="s">
        <v>648</v>
      </c>
      <c r="F214" s="92" t="s">
        <v>54</v>
      </c>
      <c r="G214" s="94">
        <v>22</v>
      </c>
      <c r="H214" s="95">
        <v>85</v>
      </c>
      <c r="J214" s="96">
        <v>0</v>
      </c>
      <c r="K214" s="92" t="s">
        <v>842</v>
      </c>
      <c r="L214" s="92" t="s">
        <v>638</v>
      </c>
      <c r="O214" s="92" t="s">
        <v>843</v>
      </c>
      <c r="P214" s="92" t="s">
        <v>640</v>
      </c>
    </row>
    <row r="215" spans="2:16" x14ac:dyDescent="0.25">
      <c r="B215" s="92" t="s">
        <v>634</v>
      </c>
      <c r="C215" s="93">
        <v>44043</v>
      </c>
      <c r="D215" s="92" t="s">
        <v>840</v>
      </c>
      <c r="E215" s="92" t="s">
        <v>648</v>
      </c>
      <c r="F215" s="92" t="s">
        <v>54</v>
      </c>
      <c r="G215" s="94">
        <v>107.92</v>
      </c>
      <c r="H215" s="95">
        <v>87</v>
      </c>
      <c r="J215" s="96">
        <v>0</v>
      </c>
      <c r="K215" s="92" t="s">
        <v>842</v>
      </c>
      <c r="L215" s="92" t="s">
        <v>638</v>
      </c>
      <c r="O215" s="92" t="s">
        <v>843</v>
      </c>
      <c r="P215" s="92" t="s">
        <v>640</v>
      </c>
    </row>
    <row r="216" spans="2:16" x14ac:dyDescent="0.25">
      <c r="B216" s="92" t="s">
        <v>634</v>
      </c>
      <c r="C216" s="93">
        <v>44043</v>
      </c>
      <c r="D216" s="92" t="s">
        <v>840</v>
      </c>
      <c r="E216" s="92" t="s">
        <v>648</v>
      </c>
      <c r="F216" s="92" t="s">
        <v>54</v>
      </c>
      <c r="G216" s="94">
        <v>68.62</v>
      </c>
      <c r="H216" s="95">
        <v>89</v>
      </c>
      <c r="J216" s="96">
        <v>0</v>
      </c>
      <c r="K216" s="92" t="s">
        <v>842</v>
      </c>
      <c r="L216" s="92" t="s">
        <v>638</v>
      </c>
      <c r="O216" s="92" t="s">
        <v>843</v>
      </c>
      <c r="P216" s="92" t="s">
        <v>640</v>
      </c>
    </row>
    <row r="217" spans="2:16" x14ac:dyDescent="0.25">
      <c r="B217" s="92" t="s">
        <v>634</v>
      </c>
      <c r="C217" s="93">
        <v>44043</v>
      </c>
      <c r="D217" s="92" t="s">
        <v>840</v>
      </c>
      <c r="E217" s="92" t="s">
        <v>648</v>
      </c>
      <c r="F217" s="92" t="s">
        <v>54</v>
      </c>
      <c r="G217" s="94">
        <v>8.65</v>
      </c>
      <c r="H217" s="95">
        <v>91</v>
      </c>
      <c r="J217" s="96">
        <v>0</v>
      </c>
      <c r="K217" s="92" t="s">
        <v>842</v>
      </c>
      <c r="L217" s="92" t="s">
        <v>638</v>
      </c>
      <c r="O217" s="92" t="s">
        <v>843</v>
      </c>
      <c r="P217" s="92" t="s">
        <v>640</v>
      </c>
    </row>
    <row r="218" spans="2:16" x14ac:dyDescent="0.25">
      <c r="B218" s="92" t="s">
        <v>634</v>
      </c>
      <c r="C218" s="93">
        <v>44043</v>
      </c>
      <c r="D218" s="92" t="s">
        <v>840</v>
      </c>
      <c r="E218" s="92" t="s">
        <v>648</v>
      </c>
      <c r="F218" s="92" t="s">
        <v>54</v>
      </c>
      <c r="G218" s="94">
        <v>52.53</v>
      </c>
      <c r="H218" s="95">
        <v>93</v>
      </c>
      <c r="J218" s="96">
        <v>0</v>
      </c>
      <c r="K218" s="92" t="s">
        <v>842</v>
      </c>
      <c r="L218" s="92" t="s">
        <v>638</v>
      </c>
      <c r="O218" s="92" t="s">
        <v>843</v>
      </c>
      <c r="P218" s="92" t="s">
        <v>640</v>
      </c>
    </row>
    <row r="219" spans="2:16" x14ac:dyDescent="0.25">
      <c r="B219" s="92" t="s">
        <v>634</v>
      </c>
      <c r="C219" s="93">
        <v>44043</v>
      </c>
      <c r="D219" s="92" t="s">
        <v>840</v>
      </c>
      <c r="E219" s="92" t="s">
        <v>648</v>
      </c>
      <c r="F219" s="92" t="s">
        <v>54</v>
      </c>
      <c r="G219" s="94">
        <v>132.81</v>
      </c>
      <c r="H219" s="95">
        <v>95</v>
      </c>
      <c r="J219" s="96">
        <v>0</v>
      </c>
      <c r="K219" s="92" t="s">
        <v>842</v>
      </c>
      <c r="L219" s="92" t="s">
        <v>638</v>
      </c>
      <c r="O219" s="92" t="s">
        <v>843</v>
      </c>
      <c r="P219" s="92" t="s">
        <v>640</v>
      </c>
    </row>
    <row r="220" spans="2:16" x14ac:dyDescent="0.25">
      <c r="B220" s="92" t="s">
        <v>634</v>
      </c>
      <c r="C220" s="93">
        <v>44043</v>
      </c>
      <c r="D220" s="92" t="s">
        <v>840</v>
      </c>
      <c r="E220" s="92" t="s">
        <v>648</v>
      </c>
      <c r="F220" s="92" t="s">
        <v>54</v>
      </c>
      <c r="G220" s="94">
        <v>8.93</v>
      </c>
      <c r="H220" s="95">
        <v>97</v>
      </c>
      <c r="J220" s="96">
        <v>0</v>
      </c>
      <c r="K220" s="92" t="s">
        <v>842</v>
      </c>
      <c r="L220" s="92" t="s">
        <v>638</v>
      </c>
      <c r="O220" s="92" t="s">
        <v>843</v>
      </c>
      <c r="P220" s="92" t="s">
        <v>640</v>
      </c>
    </row>
    <row r="221" spans="2:16" x14ac:dyDescent="0.25">
      <c r="B221" s="92" t="s">
        <v>634</v>
      </c>
      <c r="C221" s="93">
        <v>44043</v>
      </c>
      <c r="D221" s="92" t="s">
        <v>840</v>
      </c>
      <c r="E221" s="92" t="s">
        <v>666</v>
      </c>
      <c r="F221" s="92" t="s">
        <v>60</v>
      </c>
      <c r="G221" s="94">
        <v>189.6</v>
      </c>
      <c r="H221" s="95">
        <v>105</v>
      </c>
      <c r="J221" s="96">
        <v>0</v>
      </c>
      <c r="K221" s="92" t="s">
        <v>695</v>
      </c>
      <c r="L221" s="92" t="s">
        <v>638</v>
      </c>
      <c r="O221" s="92" t="s">
        <v>844</v>
      </c>
      <c r="P221" s="92" t="s">
        <v>640</v>
      </c>
    </row>
    <row r="222" spans="2:16" x14ac:dyDescent="0.25">
      <c r="B222" s="92" t="s">
        <v>634</v>
      </c>
      <c r="C222" s="93">
        <v>44043</v>
      </c>
      <c r="D222" s="92" t="s">
        <v>840</v>
      </c>
      <c r="E222" s="92" t="s">
        <v>666</v>
      </c>
      <c r="F222" s="92" t="s">
        <v>60</v>
      </c>
      <c r="G222" s="94">
        <v>189.6</v>
      </c>
      <c r="H222" s="95">
        <v>107</v>
      </c>
      <c r="J222" s="96">
        <v>0</v>
      </c>
      <c r="K222" s="92" t="s">
        <v>695</v>
      </c>
      <c r="L222" s="92" t="s">
        <v>638</v>
      </c>
      <c r="O222" s="92" t="s">
        <v>844</v>
      </c>
      <c r="P222" s="92" t="s">
        <v>640</v>
      </c>
    </row>
    <row r="223" spans="2:16" x14ac:dyDescent="0.25">
      <c r="B223" s="92" t="s">
        <v>634</v>
      </c>
      <c r="C223" s="93">
        <v>44043</v>
      </c>
      <c r="D223" s="92" t="s">
        <v>840</v>
      </c>
      <c r="E223" s="92" t="s">
        <v>666</v>
      </c>
      <c r="F223" s="92" t="s">
        <v>60</v>
      </c>
      <c r="G223" s="94">
        <v>189.6</v>
      </c>
      <c r="H223" s="95">
        <v>109</v>
      </c>
      <c r="J223" s="96">
        <v>0</v>
      </c>
      <c r="K223" s="92" t="s">
        <v>695</v>
      </c>
      <c r="L223" s="92" t="s">
        <v>638</v>
      </c>
      <c r="O223" s="92" t="s">
        <v>844</v>
      </c>
      <c r="P223" s="92" t="s">
        <v>640</v>
      </c>
    </row>
    <row r="224" spans="2:16" x14ac:dyDescent="0.25">
      <c r="B224" s="92" t="s">
        <v>634</v>
      </c>
      <c r="C224" s="93">
        <v>44043</v>
      </c>
      <c r="D224" s="92" t="s">
        <v>840</v>
      </c>
      <c r="E224" s="92" t="s">
        <v>666</v>
      </c>
      <c r="F224" s="92" t="s">
        <v>60</v>
      </c>
      <c r="G224" s="94">
        <v>125.06</v>
      </c>
      <c r="H224" s="95">
        <v>117</v>
      </c>
      <c r="J224" s="96">
        <v>0</v>
      </c>
      <c r="K224" s="92" t="s">
        <v>695</v>
      </c>
      <c r="L224" s="92" t="s">
        <v>638</v>
      </c>
      <c r="O224" s="92" t="s">
        <v>845</v>
      </c>
      <c r="P224" s="92" t="s">
        <v>640</v>
      </c>
    </row>
    <row r="225" spans="2:16" x14ac:dyDescent="0.25">
      <c r="B225" s="92" t="s">
        <v>634</v>
      </c>
      <c r="C225" s="93">
        <v>44043</v>
      </c>
      <c r="D225" s="92" t="s">
        <v>840</v>
      </c>
      <c r="E225" s="92" t="s">
        <v>648</v>
      </c>
      <c r="F225" s="92" t="s">
        <v>54</v>
      </c>
      <c r="G225" s="94">
        <v>8.1300000000000008</v>
      </c>
      <c r="H225" s="95">
        <v>129</v>
      </c>
      <c r="J225" s="96">
        <v>0</v>
      </c>
      <c r="K225" s="92" t="s">
        <v>683</v>
      </c>
      <c r="L225" s="92" t="s">
        <v>638</v>
      </c>
      <c r="O225" s="92" t="s">
        <v>846</v>
      </c>
      <c r="P225" s="92" t="s">
        <v>640</v>
      </c>
    </row>
    <row r="226" spans="2:16" x14ac:dyDescent="0.25">
      <c r="B226" s="92" t="s">
        <v>634</v>
      </c>
      <c r="C226" s="93">
        <v>44043</v>
      </c>
      <c r="D226" s="92" t="s">
        <v>840</v>
      </c>
      <c r="E226" s="92" t="s">
        <v>648</v>
      </c>
      <c r="F226" s="92" t="s">
        <v>54</v>
      </c>
      <c r="G226" s="94">
        <v>13.31</v>
      </c>
      <c r="H226" s="95">
        <v>131</v>
      </c>
      <c r="J226" s="96">
        <v>0</v>
      </c>
      <c r="K226" s="92" t="s">
        <v>683</v>
      </c>
      <c r="L226" s="92" t="s">
        <v>638</v>
      </c>
      <c r="O226" s="92" t="s">
        <v>846</v>
      </c>
      <c r="P226" s="92" t="s">
        <v>640</v>
      </c>
    </row>
    <row r="227" spans="2:16" x14ac:dyDescent="0.25">
      <c r="B227" s="92" t="s">
        <v>634</v>
      </c>
      <c r="C227" s="93">
        <v>44043</v>
      </c>
      <c r="D227" s="92" t="s">
        <v>840</v>
      </c>
      <c r="E227" s="92" t="s">
        <v>648</v>
      </c>
      <c r="F227" s="92" t="s">
        <v>54</v>
      </c>
      <c r="G227" s="94">
        <v>191.65</v>
      </c>
      <c r="H227" s="95">
        <v>137</v>
      </c>
      <c r="J227" s="96">
        <v>0</v>
      </c>
      <c r="K227" s="92" t="s">
        <v>649</v>
      </c>
      <c r="L227" s="92" t="s">
        <v>638</v>
      </c>
      <c r="O227" s="92" t="s">
        <v>847</v>
      </c>
      <c r="P227" s="92" t="s">
        <v>640</v>
      </c>
    </row>
    <row r="228" spans="2:16" x14ac:dyDescent="0.25">
      <c r="B228" s="92" t="s">
        <v>634</v>
      </c>
      <c r="C228" s="93">
        <v>44043</v>
      </c>
      <c r="D228" s="92" t="s">
        <v>840</v>
      </c>
      <c r="E228" s="92" t="s">
        <v>648</v>
      </c>
      <c r="F228" s="92" t="s">
        <v>54</v>
      </c>
      <c r="G228" s="94">
        <v>75.81</v>
      </c>
      <c r="H228" s="95">
        <v>139</v>
      </c>
      <c r="J228" s="96">
        <v>0</v>
      </c>
      <c r="K228" s="92" t="s">
        <v>745</v>
      </c>
      <c r="L228" s="92" t="s">
        <v>638</v>
      </c>
      <c r="O228" s="92" t="s">
        <v>848</v>
      </c>
      <c r="P228" s="92" t="s">
        <v>640</v>
      </c>
    </row>
    <row r="229" spans="2:16" x14ac:dyDescent="0.25">
      <c r="B229" s="92" t="s">
        <v>634</v>
      </c>
      <c r="C229" s="93">
        <v>44043</v>
      </c>
      <c r="D229" s="92" t="s">
        <v>840</v>
      </c>
      <c r="E229" s="92" t="s">
        <v>648</v>
      </c>
      <c r="F229" s="92" t="s">
        <v>54</v>
      </c>
      <c r="G229" s="94">
        <v>65.52</v>
      </c>
      <c r="H229" s="95">
        <v>141</v>
      </c>
      <c r="J229" s="96">
        <v>0</v>
      </c>
      <c r="K229" s="92" t="s">
        <v>745</v>
      </c>
      <c r="L229" s="92" t="s">
        <v>638</v>
      </c>
      <c r="O229" s="92" t="s">
        <v>848</v>
      </c>
      <c r="P229" s="92" t="s">
        <v>640</v>
      </c>
    </row>
    <row r="230" spans="2:16" x14ac:dyDescent="0.25">
      <c r="B230" s="92" t="s">
        <v>634</v>
      </c>
      <c r="C230" s="93">
        <v>44043</v>
      </c>
      <c r="D230" s="92" t="s">
        <v>840</v>
      </c>
      <c r="E230" s="92" t="s">
        <v>648</v>
      </c>
      <c r="F230" s="92" t="s">
        <v>54</v>
      </c>
      <c r="G230" s="94">
        <v>28.46</v>
      </c>
      <c r="H230" s="95">
        <v>143</v>
      </c>
      <c r="J230" s="96">
        <v>0</v>
      </c>
      <c r="K230" s="92" t="s">
        <v>849</v>
      </c>
      <c r="L230" s="92" t="s">
        <v>638</v>
      </c>
      <c r="O230" s="92" t="s">
        <v>850</v>
      </c>
      <c r="P230" s="92" t="s">
        <v>640</v>
      </c>
    </row>
    <row r="231" spans="2:16" x14ac:dyDescent="0.25">
      <c r="B231" s="92" t="s">
        <v>634</v>
      </c>
      <c r="C231" s="93">
        <v>44043</v>
      </c>
      <c r="D231" s="92" t="s">
        <v>840</v>
      </c>
      <c r="E231" s="92" t="s">
        <v>652</v>
      </c>
      <c r="F231" s="92" t="s">
        <v>54</v>
      </c>
      <c r="G231" s="94">
        <v>7.54</v>
      </c>
      <c r="H231" s="95">
        <v>153</v>
      </c>
      <c r="J231" s="96">
        <v>0</v>
      </c>
      <c r="K231" s="92" t="s">
        <v>754</v>
      </c>
      <c r="L231" s="92" t="s">
        <v>638</v>
      </c>
      <c r="O231" s="92" t="s">
        <v>851</v>
      </c>
      <c r="P231" s="92" t="s">
        <v>640</v>
      </c>
    </row>
    <row r="232" spans="2:16" x14ac:dyDescent="0.25">
      <c r="B232" s="92" t="s">
        <v>634</v>
      </c>
      <c r="C232" s="93">
        <v>44043</v>
      </c>
      <c r="D232" s="92" t="s">
        <v>840</v>
      </c>
      <c r="E232" s="92" t="s">
        <v>652</v>
      </c>
      <c r="F232" s="92" t="s">
        <v>54</v>
      </c>
      <c r="G232" s="94">
        <v>7.97</v>
      </c>
      <c r="H232" s="95">
        <v>155</v>
      </c>
      <c r="J232" s="96">
        <v>0</v>
      </c>
      <c r="K232" s="92" t="s">
        <v>754</v>
      </c>
      <c r="L232" s="92" t="s">
        <v>638</v>
      </c>
      <c r="O232" s="92" t="s">
        <v>851</v>
      </c>
      <c r="P232" s="92" t="s">
        <v>640</v>
      </c>
    </row>
    <row r="233" spans="2:16" x14ac:dyDescent="0.25">
      <c r="B233" s="92" t="s">
        <v>634</v>
      </c>
      <c r="C233" s="93">
        <v>44047</v>
      </c>
      <c r="D233" s="92" t="s">
        <v>852</v>
      </c>
      <c r="E233" s="92" t="s">
        <v>833</v>
      </c>
      <c r="F233" s="92" t="s">
        <v>54</v>
      </c>
      <c r="G233" s="94">
        <v>188.66</v>
      </c>
      <c r="H233" s="95">
        <v>3</v>
      </c>
      <c r="J233" s="96">
        <v>0</v>
      </c>
      <c r="K233" s="92" t="s">
        <v>853</v>
      </c>
      <c r="L233" s="92" t="s">
        <v>638</v>
      </c>
      <c r="O233" s="92" t="s">
        <v>854</v>
      </c>
      <c r="P233" s="92" t="s">
        <v>640</v>
      </c>
    </row>
    <row r="234" spans="2:16" x14ac:dyDescent="0.25">
      <c r="B234" s="92" t="s">
        <v>634</v>
      </c>
      <c r="C234" s="93">
        <v>44047</v>
      </c>
      <c r="D234" s="92" t="s">
        <v>852</v>
      </c>
      <c r="E234" s="92" t="s">
        <v>833</v>
      </c>
      <c r="F234" s="92" t="s">
        <v>54</v>
      </c>
      <c r="G234" s="94">
        <v>18.010000000000002</v>
      </c>
      <c r="H234" s="95">
        <v>5</v>
      </c>
      <c r="J234" s="96">
        <v>0</v>
      </c>
      <c r="K234" s="92" t="s">
        <v>855</v>
      </c>
      <c r="L234" s="92" t="s">
        <v>638</v>
      </c>
      <c r="O234" s="92" t="s">
        <v>856</v>
      </c>
      <c r="P234" s="92" t="s">
        <v>640</v>
      </c>
    </row>
    <row r="235" spans="2:16" x14ac:dyDescent="0.25">
      <c r="B235" s="92" t="s">
        <v>634</v>
      </c>
      <c r="C235" s="93">
        <v>44047</v>
      </c>
      <c r="D235" s="92" t="s">
        <v>852</v>
      </c>
      <c r="E235" s="92" t="s">
        <v>833</v>
      </c>
      <c r="F235" s="92" t="s">
        <v>54</v>
      </c>
      <c r="G235" s="94">
        <v>18</v>
      </c>
      <c r="H235" s="95">
        <v>7</v>
      </c>
      <c r="J235" s="96">
        <v>0</v>
      </c>
      <c r="K235" s="92" t="s">
        <v>855</v>
      </c>
      <c r="L235" s="92" t="s">
        <v>638</v>
      </c>
      <c r="O235" s="92" t="s">
        <v>856</v>
      </c>
      <c r="P235" s="92" t="s">
        <v>640</v>
      </c>
    </row>
    <row r="236" spans="2:16" x14ac:dyDescent="0.25">
      <c r="B236" s="92" t="s">
        <v>634</v>
      </c>
      <c r="C236" s="93">
        <v>44047</v>
      </c>
      <c r="D236" s="92" t="s">
        <v>852</v>
      </c>
      <c r="E236" s="92" t="s">
        <v>645</v>
      </c>
      <c r="F236" s="92" t="s">
        <v>54</v>
      </c>
      <c r="G236" s="94">
        <v>13.34</v>
      </c>
      <c r="H236" s="95">
        <v>13</v>
      </c>
      <c r="J236" s="96">
        <v>0</v>
      </c>
      <c r="K236" s="92" t="s">
        <v>677</v>
      </c>
      <c r="L236" s="92" t="s">
        <v>638</v>
      </c>
      <c r="O236" s="92" t="s">
        <v>857</v>
      </c>
      <c r="P236" s="92" t="s">
        <v>640</v>
      </c>
    </row>
    <row r="237" spans="2:16" x14ac:dyDescent="0.25">
      <c r="B237" s="92" t="s">
        <v>634</v>
      </c>
      <c r="C237" s="93">
        <v>44047</v>
      </c>
      <c r="D237" s="92" t="s">
        <v>852</v>
      </c>
      <c r="E237" s="92" t="s">
        <v>645</v>
      </c>
      <c r="F237" s="92" t="s">
        <v>54</v>
      </c>
      <c r="G237" s="94">
        <v>9.02</v>
      </c>
      <c r="H237" s="95">
        <v>15</v>
      </c>
      <c r="J237" s="96">
        <v>0</v>
      </c>
      <c r="K237" s="92" t="s">
        <v>677</v>
      </c>
      <c r="L237" s="92" t="s">
        <v>638</v>
      </c>
      <c r="O237" s="92" t="s">
        <v>858</v>
      </c>
      <c r="P237" s="92" t="s">
        <v>640</v>
      </c>
    </row>
    <row r="238" spans="2:16" x14ac:dyDescent="0.25">
      <c r="B238" s="92" t="s">
        <v>634</v>
      </c>
      <c r="C238" s="93">
        <v>44047</v>
      </c>
      <c r="D238" s="92" t="s">
        <v>852</v>
      </c>
      <c r="E238" s="92" t="s">
        <v>645</v>
      </c>
      <c r="F238" s="92" t="s">
        <v>54</v>
      </c>
      <c r="G238" s="94">
        <v>9.75</v>
      </c>
      <c r="H238" s="95">
        <v>17</v>
      </c>
      <c r="J238" s="96">
        <v>0</v>
      </c>
      <c r="K238" s="92" t="s">
        <v>677</v>
      </c>
      <c r="L238" s="92" t="s">
        <v>638</v>
      </c>
      <c r="O238" s="92" t="s">
        <v>859</v>
      </c>
      <c r="P238" s="92" t="s">
        <v>640</v>
      </c>
    </row>
    <row r="239" spans="2:16" x14ac:dyDescent="0.25">
      <c r="B239" s="92" t="s">
        <v>634</v>
      </c>
      <c r="C239" s="93">
        <v>44048</v>
      </c>
      <c r="D239" s="92" t="s">
        <v>860</v>
      </c>
      <c r="E239" s="92" t="s">
        <v>648</v>
      </c>
      <c r="F239" s="92" t="s">
        <v>54</v>
      </c>
      <c r="G239" s="94">
        <v>21.6</v>
      </c>
      <c r="H239" s="95">
        <v>1</v>
      </c>
      <c r="J239" s="96">
        <v>0</v>
      </c>
      <c r="K239" s="92" t="s">
        <v>683</v>
      </c>
      <c r="L239" s="92" t="s">
        <v>638</v>
      </c>
      <c r="O239" s="92" t="s">
        <v>861</v>
      </c>
      <c r="P239" s="92" t="s">
        <v>640</v>
      </c>
    </row>
    <row r="240" spans="2:16" x14ac:dyDescent="0.25">
      <c r="B240" s="92" t="s">
        <v>634</v>
      </c>
      <c r="C240" s="93">
        <v>44048</v>
      </c>
      <c r="D240" s="92" t="s">
        <v>862</v>
      </c>
      <c r="E240" s="92" t="s">
        <v>833</v>
      </c>
      <c r="F240" s="92" t="s">
        <v>54</v>
      </c>
      <c r="G240" s="94">
        <v>242.22</v>
      </c>
      <c r="H240" s="95">
        <v>9</v>
      </c>
      <c r="J240" s="96">
        <v>0</v>
      </c>
      <c r="K240" s="92" t="s">
        <v>853</v>
      </c>
      <c r="L240" s="92" t="s">
        <v>638</v>
      </c>
      <c r="O240" s="92" t="s">
        <v>863</v>
      </c>
      <c r="P240" s="92" t="s">
        <v>640</v>
      </c>
    </row>
    <row r="241" spans="2:16" x14ac:dyDescent="0.25">
      <c r="B241" s="92" t="s">
        <v>634</v>
      </c>
      <c r="C241" s="93">
        <v>44049</v>
      </c>
      <c r="D241" s="92" t="s">
        <v>864</v>
      </c>
      <c r="E241" s="92" t="s">
        <v>645</v>
      </c>
      <c r="F241" s="92" t="s">
        <v>54</v>
      </c>
      <c r="G241" s="94">
        <v>14.11</v>
      </c>
      <c r="H241" s="95">
        <v>5</v>
      </c>
      <c r="J241" s="96">
        <v>0</v>
      </c>
      <c r="K241" s="92" t="s">
        <v>865</v>
      </c>
      <c r="L241" s="92" t="s">
        <v>638</v>
      </c>
      <c r="O241" s="92" t="s">
        <v>866</v>
      </c>
      <c r="P241" s="92" t="s">
        <v>640</v>
      </c>
    </row>
    <row r="242" spans="2:16" x14ac:dyDescent="0.25">
      <c r="B242" s="92" t="s">
        <v>634</v>
      </c>
      <c r="C242" s="93">
        <v>44050</v>
      </c>
      <c r="D242" s="92" t="s">
        <v>867</v>
      </c>
      <c r="E242" s="92" t="s">
        <v>652</v>
      </c>
      <c r="F242" s="92" t="s">
        <v>54</v>
      </c>
      <c r="G242" s="94">
        <v>16.66</v>
      </c>
      <c r="H242" s="95">
        <v>7</v>
      </c>
      <c r="J242" s="96">
        <v>0</v>
      </c>
      <c r="K242" s="92" t="s">
        <v>653</v>
      </c>
      <c r="L242" s="92" t="s">
        <v>638</v>
      </c>
      <c r="O242" s="92" t="s">
        <v>868</v>
      </c>
      <c r="P242" s="92" t="s">
        <v>640</v>
      </c>
    </row>
    <row r="243" spans="2:16" x14ac:dyDescent="0.25">
      <c r="B243" s="92" t="s">
        <v>634</v>
      </c>
      <c r="C243" s="93">
        <v>44054</v>
      </c>
      <c r="D243" s="92" t="s">
        <v>869</v>
      </c>
      <c r="E243" s="92" t="s">
        <v>645</v>
      </c>
      <c r="F243" s="92" t="s">
        <v>54</v>
      </c>
      <c r="G243" s="94">
        <v>13</v>
      </c>
      <c r="H243" s="95">
        <v>7</v>
      </c>
      <c r="J243" s="96">
        <v>0</v>
      </c>
      <c r="K243" s="92" t="s">
        <v>646</v>
      </c>
      <c r="L243" s="92" t="s">
        <v>638</v>
      </c>
      <c r="O243" s="92" t="s">
        <v>870</v>
      </c>
      <c r="P243" s="92" t="s">
        <v>640</v>
      </c>
    </row>
    <row r="244" spans="2:16" x14ac:dyDescent="0.25">
      <c r="B244" s="92" t="s">
        <v>634</v>
      </c>
      <c r="C244" s="93">
        <v>44054</v>
      </c>
      <c r="D244" s="92" t="s">
        <v>869</v>
      </c>
      <c r="E244" s="92" t="s">
        <v>645</v>
      </c>
      <c r="F244" s="92" t="s">
        <v>54</v>
      </c>
      <c r="G244" s="94">
        <v>12</v>
      </c>
      <c r="H244" s="95">
        <v>9</v>
      </c>
      <c r="J244" s="96">
        <v>0</v>
      </c>
      <c r="K244" s="92" t="s">
        <v>646</v>
      </c>
      <c r="L244" s="92" t="s">
        <v>638</v>
      </c>
      <c r="O244" s="92" t="s">
        <v>870</v>
      </c>
      <c r="P244" s="92" t="s">
        <v>640</v>
      </c>
    </row>
    <row r="245" spans="2:16" x14ac:dyDescent="0.25">
      <c r="B245" s="92" t="s">
        <v>634</v>
      </c>
      <c r="C245" s="93">
        <v>44054</v>
      </c>
      <c r="D245" s="92" t="s">
        <v>869</v>
      </c>
      <c r="E245" s="92" t="s">
        <v>645</v>
      </c>
      <c r="F245" s="92" t="s">
        <v>54</v>
      </c>
      <c r="G245" s="94">
        <v>10.36</v>
      </c>
      <c r="H245" s="95">
        <v>11</v>
      </c>
      <c r="J245" s="96">
        <v>0</v>
      </c>
      <c r="K245" s="92" t="s">
        <v>646</v>
      </c>
      <c r="L245" s="92" t="s">
        <v>638</v>
      </c>
      <c r="O245" s="92" t="s">
        <v>870</v>
      </c>
      <c r="P245" s="92" t="s">
        <v>640</v>
      </c>
    </row>
    <row r="246" spans="2:16" x14ac:dyDescent="0.25">
      <c r="B246" s="92" t="s">
        <v>634</v>
      </c>
      <c r="C246" s="93">
        <v>44054</v>
      </c>
      <c r="D246" s="92" t="s">
        <v>869</v>
      </c>
      <c r="E246" s="92" t="s">
        <v>645</v>
      </c>
      <c r="F246" s="92" t="s">
        <v>54</v>
      </c>
      <c r="G246" s="94">
        <v>10.36</v>
      </c>
      <c r="H246" s="95">
        <v>13</v>
      </c>
      <c r="J246" s="96">
        <v>0</v>
      </c>
      <c r="K246" s="92" t="s">
        <v>646</v>
      </c>
      <c r="L246" s="92" t="s">
        <v>638</v>
      </c>
      <c r="O246" s="92" t="s">
        <v>870</v>
      </c>
      <c r="P246" s="92" t="s">
        <v>640</v>
      </c>
    </row>
    <row r="247" spans="2:16" x14ac:dyDescent="0.25">
      <c r="B247" s="92" t="s">
        <v>634</v>
      </c>
      <c r="C247" s="93">
        <v>44054</v>
      </c>
      <c r="D247" s="92" t="s">
        <v>869</v>
      </c>
      <c r="E247" s="92" t="s">
        <v>645</v>
      </c>
      <c r="F247" s="92" t="s">
        <v>54</v>
      </c>
      <c r="G247" s="94">
        <v>12</v>
      </c>
      <c r="H247" s="95">
        <v>15</v>
      </c>
      <c r="J247" s="96">
        <v>0</v>
      </c>
      <c r="K247" s="92" t="s">
        <v>646</v>
      </c>
      <c r="L247" s="92" t="s">
        <v>638</v>
      </c>
      <c r="O247" s="92" t="s">
        <v>870</v>
      </c>
      <c r="P247" s="92" t="s">
        <v>640</v>
      </c>
    </row>
    <row r="248" spans="2:16" x14ac:dyDescent="0.25">
      <c r="B248" s="92" t="s">
        <v>634</v>
      </c>
      <c r="C248" s="93">
        <v>44057</v>
      </c>
      <c r="D248" s="92" t="s">
        <v>871</v>
      </c>
      <c r="E248" s="92" t="s">
        <v>648</v>
      </c>
      <c r="F248" s="92" t="s">
        <v>54</v>
      </c>
      <c r="G248" s="94">
        <v>80</v>
      </c>
      <c r="H248" s="95">
        <v>1</v>
      </c>
      <c r="J248" s="96">
        <v>0</v>
      </c>
      <c r="K248" s="92" t="s">
        <v>661</v>
      </c>
      <c r="L248" s="92" t="s">
        <v>638</v>
      </c>
      <c r="O248" s="92" t="s">
        <v>872</v>
      </c>
      <c r="P248" s="92" t="s">
        <v>640</v>
      </c>
    </row>
    <row r="249" spans="2:16" x14ac:dyDescent="0.25">
      <c r="B249" s="92" t="s">
        <v>634</v>
      </c>
      <c r="C249" s="93">
        <v>44057</v>
      </c>
      <c r="D249" s="92" t="s">
        <v>871</v>
      </c>
      <c r="E249" s="92" t="s">
        <v>648</v>
      </c>
      <c r="F249" s="92" t="s">
        <v>54</v>
      </c>
      <c r="G249" s="94">
        <v>75</v>
      </c>
      <c r="H249" s="95">
        <v>3</v>
      </c>
      <c r="J249" s="96">
        <v>0</v>
      </c>
      <c r="K249" s="92" t="s">
        <v>661</v>
      </c>
      <c r="L249" s="92" t="s">
        <v>638</v>
      </c>
      <c r="O249" s="92" t="s">
        <v>872</v>
      </c>
      <c r="P249" s="92" t="s">
        <v>640</v>
      </c>
    </row>
    <row r="250" spans="2:16" x14ac:dyDescent="0.25">
      <c r="B250" s="92" t="s">
        <v>634</v>
      </c>
      <c r="C250" s="93">
        <v>44057</v>
      </c>
      <c r="D250" s="92" t="s">
        <v>871</v>
      </c>
      <c r="E250" s="92" t="s">
        <v>648</v>
      </c>
      <c r="F250" s="92" t="s">
        <v>54</v>
      </c>
      <c r="G250" s="94">
        <v>59.18</v>
      </c>
      <c r="H250" s="95">
        <v>5</v>
      </c>
      <c r="J250" s="96">
        <v>0</v>
      </c>
      <c r="K250" s="92" t="s">
        <v>661</v>
      </c>
      <c r="L250" s="92" t="s">
        <v>638</v>
      </c>
      <c r="O250" s="92" t="s">
        <v>872</v>
      </c>
      <c r="P250" s="92" t="s">
        <v>640</v>
      </c>
    </row>
    <row r="251" spans="2:16" x14ac:dyDescent="0.25">
      <c r="B251" s="92" t="s">
        <v>634</v>
      </c>
      <c r="C251" s="93">
        <v>44057</v>
      </c>
      <c r="D251" s="92" t="s">
        <v>871</v>
      </c>
      <c r="E251" s="92" t="s">
        <v>648</v>
      </c>
      <c r="F251" s="92" t="s">
        <v>54</v>
      </c>
      <c r="G251" s="94">
        <v>83.68</v>
      </c>
      <c r="H251" s="95">
        <v>7</v>
      </c>
      <c r="J251" s="96">
        <v>0</v>
      </c>
      <c r="K251" s="92" t="s">
        <v>661</v>
      </c>
      <c r="L251" s="92" t="s">
        <v>638</v>
      </c>
      <c r="O251" s="92" t="s">
        <v>872</v>
      </c>
      <c r="P251" s="92" t="s">
        <v>640</v>
      </c>
    </row>
    <row r="252" spans="2:16" x14ac:dyDescent="0.25">
      <c r="B252" s="92" t="s">
        <v>634</v>
      </c>
      <c r="C252" s="93">
        <v>44057</v>
      </c>
      <c r="D252" s="92" t="s">
        <v>871</v>
      </c>
      <c r="E252" s="92" t="s">
        <v>648</v>
      </c>
      <c r="F252" s="92" t="s">
        <v>54</v>
      </c>
      <c r="G252" s="94">
        <v>147.78</v>
      </c>
      <c r="H252" s="95">
        <v>15</v>
      </c>
      <c r="J252" s="96">
        <v>0</v>
      </c>
      <c r="K252" s="92" t="s">
        <v>661</v>
      </c>
      <c r="L252" s="92" t="s">
        <v>638</v>
      </c>
      <c r="O252" s="92" t="s">
        <v>873</v>
      </c>
      <c r="P252" s="92" t="s">
        <v>640</v>
      </c>
    </row>
    <row r="253" spans="2:16" x14ac:dyDescent="0.25">
      <c r="B253" s="92" t="s">
        <v>634</v>
      </c>
      <c r="C253" s="93">
        <v>44057</v>
      </c>
      <c r="D253" s="92" t="s">
        <v>871</v>
      </c>
      <c r="E253" s="92" t="s">
        <v>648</v>
      </c>
      <c r="F253" s="92" t="s">
        <v>54</v>
      </c>
      <c r="G253" s="94">
        <v>93.74</v>
      </c>
      <c r="H253" s="95">
        <v>17</v>
      </c>
      <c r="J253" s="96">
        <v>0</v>
      </c>
      <c r="K253" s="92" t="s">
        <v>661</v>
      </c>
      <c r="L253" s="92" t="s">
        <v>638</v>
      </c>
      <c r="O253" s="92" t="s">
        <v>873</v>
      </c>
      <c r="P253" s="92" t="s">
        <v>640</v>
      </c>
    </row>
    <row r="254" spans="2:16" x14ac:dyDescent="0.25">
      <c r="B254" s="92" t="s">
        <v>634</v>
      </c>
      <c r="C254" s="93">
        <v>44057</v>
      </c>
      <c r="D254" s="92" t="s">
        <v>871</v>
      </c>
      <c r="E254" s="92" t="s">
        <v>648</v>
      </c>
      <c r="F254" s="92" t="s">
        <v>54</v>
      </c>
      <c r="G254" s="94">
        <v>16.059999999999999</v>
      </c>
      <c r="H254" s="95">
        <v>19</v>
      </c>
      <c r="J254" s="96">
        <v>0</v>
      </c>
      <c r="K254" s="92" t="s">
        <v>661</v>
      </c>
      <c r="L254" s="92" t="s">
        <v>638</v>
      </c>
      <c r="O254" s="92" t="s">
        <v>873</v>
      </c>
      <c r="P254" s="92" t="s">
        <v>640</v>
      </c>
    </row>
    <row r="255" spans="2:16" x14ac:dyDescent="0.25">
      <c r="B255" s="92" t="s">
        <v>634</v>
      </c>
      <c r="C255" s="93">
        <v>44057</v>
      </c>
      <c r="D255" s="92" t="s">
        <v>871</v>
      </c>
      <c r="E255" s="92" t="s">
        <v>648</v>
      </c>
      <c r="F255" s="92" t="s">
        <v>54</v>
      </c>
      <c r="G255" s="94">
        <v>85.81</v>
      </c>
      <c r="H255" s="95">
        <v>21</v>
      </c>
      <c r="J255" s="96">
        <v>0</v>
      </c>
      <c r="K255" s="92" t="s">
        <v>661</v>
      </c>
      <c r="L255" s="92" t="s">
        <v>638</v>
      </c>
      <c r="O255" s="92" t="s">
        <v>873</v>
      </c>
      <c r="P255" s="92" t="s">
        <v>640</v>
      </c>
    </row>
    <row r="256" spans="2:16" x14ac:dyDescent="0.25">
      <c r="B256" s="92" t="s">
        <v>634</v>
      </c>
      <c r="C256" s="93">
        <v>44060</v>
      </c>
      <c r="D256" s="92" t="s">
        <v>874</v>
      </c>
      <c r="E256" s="92" t="s">
        <v>636</v>
      </c>
      <c r="F256" s="92" t="s">
        <v>54</v>
      </c>
      <c r="G256" s="94">
        <v>48.3</v>
      </c>
      <c r="H256" s="95">
        <v>1</v>
      </c>
      <c r="J256" s="96">
        <v>0</v>
      </c>
      <c r="K256" s="92" t="s">
        <v>637</v>
      </c>
      <c r="L256" s="92" t="s">
        <v>638</v>
      </c>
      <c r="O256" s="92" t="s">
        <v>875</v>
      </c>
      <c r="P256" s="92" t="s">
        <v>640</v>
      </c>
    </row>
    <row r="257" spans="2:16" x14ac:dyDescent="0.25">
      <c r="B257" s="92" t="s">
        <v>634</v>
      </c>
      <c r="C257" s="93">
        <v>44064</v>
      </c>
      <c r="D257" s="92" t="s">
        <v>876</v>
      </c>
      <c r="E257" s="92" t="s">
        <v>652</v>
      </c>
      <c r="F257" s="92" t="s">
        <v>54</v>
      </c>
      <c r="G257" s="94">
        <v>100.53</v>
      </c>
      <c r="H257" s="95">
        <v>1</v>
      </c>
      <c r="J257" s="96">
        <v>0</v>
      </c>
      <c r="K257" s="92" t="s">
        <v>701</v>
      </c>
      <c r="L257" s="92" t="s">
        <v>638</v>
      </c>
      <c r="O257" s="92" t="s">
        <v>877</v>
      </c>
      <c r="P257" s="92" t="s">
        <v>640</v>
      </c>
    </row>
    <row r="258" spans="2:16" x14ac:dyDescent="0.25">
      <c r="B258" s="92" t="s">
        <v>634</v>
      </c>
      <c r="C258" s="93">
        <v>44070</v>
      </c>
      <c r="D258" s="92" t="s">
        <v>878</v>
      </c>
      <c r="E258" s="92" t="s">
        <v>666</v>
      </c>
      <c r="F258" s="92" t="s">
        <v>60</v>
      </c>
      <c r="G258" s="94">
        <v>916.76</v>
      </c>
      <c r="H258" s="95">
        <v>15</v>
      </c>
      <c r="J258" s="96">
        <v>0</v>
      </c>
      <c r="K258" s="92" t="s">
        <v>774</v>
      </c>
      <c r="L258" s="92" t="s">
        <v>638</v>
      </c>
      <c r="O258" s="92" t="s">
        <v>879</v>
      </c>
      <c r="P258" s="92" t="s">
        <v>640</v>
      </c>
    </row>
    <row r="259" spans="2:16" x14ac:dyDescent="0.25">
      <c r="B259" s="92" t="s">
        <v>634</v>
      </c>
      <c r="C259" s="93">
        <v>44074</v>
      </c>
      <c r="D259" s="92" t="s">
        <v>880</v>
      </c>
      <c r="E259" s="92" t="s">
        <v>636</v>
      </c>
      <c r="F259" s="92" t="s">
        <v>54</v>
      </c>
      <c r="G259" s="94">
        <v>45.14</v>
      </c>
      <c r="H259" s="95">
        <v>1</v>
      </c>
      <c r="J259" s="96">
        <v>0</v>
      </c>
      <c r="K259" s="92" t="s">
        <v>637</v>
      </c>
      <c r="L259" s="92" t="s">
        <v>638</v>
      </c>
      <c r="O259" s="92" t="s">
        <v>881</v>
      </c>
      <c r="P259" s="92" t="s">
        <v>640</v>
      </c>
    </row>
    <row r="260" spans="2:16" x14ac:dyDescent="0.25">
      <c r="B260" s="92" t="s">
        <v>634</v>
      </c>
      <c r="C260" s="93">
        <v>44074</v>
      </c>
      <c r="D260" s="92" t="s">
        <v>880</v>
      </c>
      <c r="E260" s="92" t="s">
        <v>645</v>
      </c>
      <c r="F260" s="92" t="s">
        <v>54</v>
      </c>
      <c r="G260" s="94">
        <v>10.89</v>
      </c>
      <c r="H260" s="95">
        <v>13</v>
      </c>
      <c r="J260" s="96">
        <v>0</v>
      </c>
      <c r="K260" s="92" t="s">
        <v>882</v>
      </c>
      <c r="L260" s="92" t="s">
        <v>638</v>
      </c>
      <c r="O260" s="92" t="s">
        <v>883</v>
      </c>
      <c r="P260" s="92" t="s">
        <v>640</v>
      </c>
    </row>
    <row r="261" spans="2:16" x14ac:dyDescent="0.25">
      <c r="B261" s="92" t="s">
        <v>634</v>
      </c>
      <c r="C261" s="93">
        <v>44074</v>
      </c>
      <c r="D261" s="92" t="s">
        <v>880</v>
      </c>
      <c r="E261" s="92" t="s">
        <v>645</v>
      </c>
      <c r="F261" s="92" t="s">
        <v>54</v>
      </c>
      <c r="G261" s="94">
        <v>9.5500000000000007</v>
      </c>
      <c r="H261" s="95">
        <v>15</v>
      </c>
      <c r="J261" s="96">
        <v>0</v>
      </c>
      <c r="K261" s="92" t="s">
        <v>882</v>
      </c>
      <c r="L261" s="92" t="s">
        <v>638</v>
      </c>
      <c r="O261" s="92" t="s">
        <v>884</v>
      </c>
      <c r="P261" s="92" t="s">
        <v>640</v>
      </c>
    </row>
    <row r="262" spans="2:16" x14ac:dyDescent="0.25">
      <c r="B262" s="92" t="s">
        <v>634</v>
      </c>
      <c r="C262" s="93">
        <v>44074</v>
      </c>
      <c r="D262" s="92" t="s">
        <v>880</v>
      </c>
      <c r="E262" s="92" t="s">
        <v>645</v>
      </c>
      <c r="F262" s="92" t="s">
        <v>54</v>
      </c>
      <c r="G262" s="94">
        <v>8.3800000000000008</v>
      </c>
      <c r="H262" s="95">
        <v>17</v>
      </c>
      <c r="J262" s="96">
        <v>0</v>
      </c>
      <c r="K262" s="92" t="s">
        <v>882</v>
      </c>
      <c r="L262" s="92" t="s">
        <v>638</v>
      </c>
      <c r="O262" s="92" t="s">
        <v>885</v>
      </c>
      <c r="P262" s="92" t="s">
        <v>640</v>
      </c>
    </row>
    <row r="263" spans="2:16" x14ac:dyDescent="0.25">
      <c r="B263" s="92" t="s">
        <v>634</v>
      </c>
      <c r="C263" s="93">
        <v>44074</v>
      </c>
      <c r="D263" s="92" t="s">
        <v>880</v>
      </c>
      <c r="E263" s="92" t="s">
        <v>645</v>
      </c>
      <c r="F263" s="92" t="s">
        <v>54</v>
      </c>
      <c r="G263" s="94">
        <v>10.89</v>
      </c>
      <c r="H263" s="95">
        <v>19</v>
      </c>
      <c r="J263" s="96">
        <v>0</v>
      </c>
      <c r="K263" s="92" t="s">
        <v>882</v>
      </c>
      <c r="L263" s="92" t="s">
        <v>638</v>
      </c>
      <c r="O263" s="92" t="s">
        <v>886</v>
      </c>
      <c r="P263" s="92" t="s">
        <v>640</v>
      </c>
    </row>
    <row r="264" spans="2:16" x14ac:dyDescent="0.25">
      <c r="B264" s="92" t="s">
        <v>634</v>
      </c>
      <c r="C264" s="93">
        <v>44074</v>
      </c>
      <c r="D264" s="92" t="s">
        <v>880</v>
      </c>
      <c r="E264" s="92" t="s">
        <v>645</v>
      </c>
      <c r="F264" s="92" t="s">
        <v>54</v>
      </c>
      <c r="G264" s="94">
        <v>8.3800000000000008</v>
      </c>
      <c r="H264" s="95">
        <v>21</v>
      </c>
      <c r="J264" s="96">
        <v>0</v>
      </c>
      <c r="K264" s="92" t="s">
        <v>882</v>
      </c>
      <c r="L264" s="92" t="s">
        <v>638</v>
      </c>
      <c r="O264" s="92" t="s">
        <v>887</v>
      </c>
      <c r="P264" s="92" t="s">
        <v>640</v>
      </c>
    </row>
    <row r="265" spans="2:16" x14ac:dyDescent="0.25">
      <c r="B265" s="92" t="s">
        <v>634</v>
      </c>
      <c r="C265" s="93">
        <v>44074</v>
      </c>
      <c r="D265" s="92" t="s">
        <v>880</v>
      </c>
      <c r="E265" s="92" t="s">
        <v>645</v>
      </c>
      <c r="F265" s="92" t="s">
        <v>54</v>
      </c>
      <c r="G265" s="94">
        <v>8.3800000000000008</v>
      </c>
      <c r="H265" s="95">
        <v>23</v>
      </c>
      <c r="J265" s="96">
        <v>0</v>
      </c>
      <c r="K265" s="92" t="s">
        <v>882</v>
      </c>
      <c r="L265" s="92" t="s">
        <v>638</v>
      </c>
      <c r="O265" s="92" t="s">
        <v>888</v>
      </c>
      <c r="P265" s="92" t="s">
        <v>640</v>
      </c>
    </row>
    <row r="266" spans="2:16" x14ac:dyDescent="0.25">
      <c r="B266" s="92" t="s">
        <v>634</v>
      </c>
      <c r="C266" s="93">
        <v>44074</v>
      </c>
      <c r="D266" s="92" t="s">
        <v>880</v>
      </c>
      <c r="E266" s="92" t="s">
        <v>645</v>
      </c>
      <c r="F266" s="92" t="s">
        <v>54</v>
      </c>
      <c r="G266" s="94">
        <v>8.3800000000000008</v>
      </c>
      <c r="H266" s="95">
        <v>25</v>
      </c>
      <c r="J266" s="96">
        <v>0</v>
      </c>
      <c r="K266" s="92" t="s">
        <v>882</v>
      </c>
      <c r="L266" s="92" t="s">
        <v>638</v>
      </c>
      <c r="O266" s="92" t="s">
        <v>889</v>
      </c>
      <c r="P266" s="92" t="s">
        <v>640</v>
      </c>
    </row>
    <row r="267" spans="2:16" x14ac:dyDescent="0.25">
      <c r="B267" s="92" t="s">
        <v>634</v>
      </c>
      <c r="C267" s="93">
        <v>44074</v>
      </c>
      <c r="D267" s="92" t="s">
        <v>880</v>
      </c>
      <c r="E267" s="92" t="s">
        <v>645</v>
      </c>
      <c r="F267" s="92" t="s">
        <v>54</v>
      </c>
      <c r="G267" s="94">
        <v>8.3800000000000008</v>
      </c>
      <c r="H267" s="95">
        <v>27</v>
      </c>
      <c r="J267" s="96">
        <v>0</v>
      </c>
      <c r="K267" s="92" t="s">
        <v>882</v>
      </c>
      <c r="L267" s="92" t="s">
        <v>638</v>
      </c>
      <c r="O267" s="92" t="s">
        <v>890</v>
      </c>
      <c r="P267" s="92" t="s">
        <v>640</v>
      </c>
    </row>
    <row r="268" spans="2:16" x14ac:dyDescent="0.25">
      <c r="B268" s="92" t="s">
        <v>634</v>
      </c>
      <c r="C268" s="93">
        <v>44074</v>
      </c>
      <c r="D268" s="92" t="s">
        <v>880</v>
      </c>
      <c r="E268" s="92" t="s">
        <v>645</v>
      </c>
      <c r="F268" s="92" t="s">
        <v>54</v>
      </c>
      <c r="G268" s="94">
        <v>9.5399999999999991</v>
      </c>
      <c r="H268" s="95">
        <v>29</v>
      </c>
      <c r="J268" s="96">
        <v>0</v>
      </c>
      <c r="K268" s="92" t="s">
        <v>882</v>
      </c>
      <c r="L268" s="92" t="s">
        <v>638</v>
      </c>
      <c r="O268" s="92" t="s">
        <v>891</v>
      </c>
      <c r="P268" s="92" t="s">
        <v>640</v>
      </c>
    </row>
    <row r="269" spans="2:16" x14ac:dyDescent="0.25">
      <c r="B269" s="92" t="s">
        <v>634</v>
      </c>
      <c r="C269" s="93">
        <v>44074</v>
      </c>
      <c r="D269" s="92" t="s">
        <v>880</v>
      </c>
      <c r="E269" s="92" t="s">
        <v>645</v>
      </c>
      <c r="F269" s="92" t="s">
        <v>54</v>
      </c>
      <c r="G269" s="94">
        <v>7.91</v>
      </c>
      <c r="H269" s="95">
        <v>31</v>
      </c>
      <c r="J269" s="96">
        <v>0</v>
      </c>
      <c r="K269" s="92" t="s">
        <v>882</v>
      </c>
      <c r="L269" s="92" t="s">
        <v>638</v>
      </c>
      <c r="O269" s="92" t="s">
        <v>892</v>
      </c>
      <c r="P269" s="92" t="s">
        <v>640</v>
      </c>
    </row>
    <row r="270" spans="2:16" x14ac:dyDescent="0.25">
      <c r="B270" s="92" t="s">
        <v>634</v>
      </c>
      <c r="C270" s="93">
        <v>44074</v>
      </c>
      <c r="D270" s="92" t="s">
        <v>880</v>
      </c>
      <c r="E270" s="92" t="s">
        <v>645</v>
      </c>
      <c r="F270" s="92" t="s">
        <v>54</v>
      </c>
      <c r="G270" s="94">
        <v>10.89</v>
      </c>
      <c r="H270" s="95">
        <v>33</v>
      </c>
      <c r="J270" s="96">
        <v>0</v>
      </c>
      <c r="K270" s="92" t="s">
        <v>882</v>
      </c>
      <c r="L270" s="92" t="s">
        <v>638</v>
      </c>
      <c r="O270" s="92" t="s">
        <v>893</v>
      </c>
      <c r="P270" s="92" t="s">
        <v>640</v>
      </c>
    </row>
    <row r="271" spans="2:16" x14ac:dyDescent="0.25">
      <c r="B271" s="92" t="s">
        <v>634</v>
      </c>
      <c r="C271" s="93">
        <v>44074</v>
      </c>
      <c r="D271" s="92" t="s">
        <v>880</v>
      </c>
      <c r="E271" s="92" t="s">
        <v>645</v>
      </c>
      <c r="F271" s="92" t="s">
        <v>54</v>
      </c>
      <c r="G271" s="94">
        <v>9.5399999999999991</v>
      </c>
      <c r="H271" s="95">
        <v>35</v>
      </c>
      <c r="J271" s="96">
        <v>0</v>
      </c>
      <c r="K271" s="92" t="s">
        <v>882</v>
      </c>
      <c r="L271" s="92" t="s">
        <v>638</v>
      </c>
      <c r="O271" s="92" t="s">
        <v>894</v>
      </c>
      <c r="P271" s="92" t="s">
        <v>640</v>
      </c>
    </row>
    <row r="272" spans="2:16" x14ac:dyDescent="0.25">
      <c r="B272" s="92" t="s">
        <v>634</v>
      </c>
      <c r="C272" s="93">
        <v>44074</v>
      </c>
      <c r="D272" s="92" t="s">
        <v>880</v>
      </c>
      <c r="E272" s="92" t="s">
        <v>645</v>
      </c>
      <c r="F272" s="92" t="s">
        <v>54</v>
      </c>
      <c r="G272" s="94">
        <v>9.5500000000000007</v>
      </c>
      <c r="H272" s="95">
        <v>37</v>
      </c>
      <c r="J272" s="96">
        <v>0</v>
      </c>
      <c r="K272" s="92" t="s">
        <v>882</v>
      </c>
      <c r="L272" s="92" t="s">
        <v>638</v>
      </c>
      <c r="O272" s="92" t="s">
        <v>895</v>
      </c>
      <c r="P272" s="92" t="s">
        <v>640</v>
      </c>
    </row>
    <row r="273" spans="2:16" x14ac:dyDescent="0.25">
      <c r="B273" s="92" t="s">
        <v>634</v>
      </c>
      <c r="C273" s="93">
        <v>44074</v>
      </c>
      <c r="D273" s="92" t="s">
        <v>880</v>
      </c>
      <c r="E273" s="92" t="s">
        <v>645</v>
      </c>
      <c r="F273" s="92" t="s">
        <v>54</v>
      </c>
      <c r="G273" s="94">
        <v>9.5399999999999991</v>
      </c>
      <c r="H273" s="95">
        <v>39</v>
      </c>
      <c r="J273" s="96">
        <v>0</v>
      </c>
      <c r="K273" s="92" t="s">
        <v>882</v>
      </c>
      <c r="L273" s="92" t="s">
        <v>638</v>
      </c>
      <c r="O273" s="92" t="s">
        <v>896</v>
      </c>
      <c r="P273" s="92" t="s">
        <v>640</v>
      </c>
    </row>
    <row r="274" spans="2:16" x14ac:dyDescent="0.25">
      <c r="B274" s="92" t="s">
        <v>634</v>
      </c>
      <c r="C274" s="93">
        <v>44074</v>
      </c>
      <c r="D274" s="92" t="s">
        <v>880</v>
      </c>
      <c r="E274" s="92" t="s">
        <v>645</v>
      </c>
      <c r="F274" s="92" t="s">
        <v>54</v>
      </c>
      <c r="G274" s="94">
        <v>9.33</v>
      </c>
      <c r="H274" s="95">
        <v>41</v>
      </c>
      <c r="J274" s="96">
        <v>0</v>
      </c>
      <c r="K274" s="92" t="s">
        <v>882</v>
      </c>
      <c r="L274" s="92" t="s">
        <v>638</v>
      </c>
      <c r="O274" s="92" t="s">
        <v>897</v>
      </c>
      <c r="P274" s="92" t="s">
        <v>640</v>
      </c>
    </row>
    <row r="275" spans="2:16" x14ac:dyDescent="0.25">
      <c r="B275" s="92" t="s">
        <v>634</v>
      </c>
      <c r="C275" s="93">
        <v>44074</v>
      </c>
      <c r="D275" s="92" t="s">
        <v>880</v>
      </c>
      <c r="E275" s="92" t="s">
        <v>645</v>
      </c>
      <c r="F275" s="92" t="s">
        <v>54</v>
      </c>
      <c r="G275" s="94">
        <v>10.89</v>
      </c>
      <c r="H275" s="95">
        <v>43</v>
      </c>
      <c r="J275" s="96">
        <v>0</v>
      </c>
      <c r="K275" s="92" t="s">
        <v>882</v>
      </c>
      <c r="L275" s="92" t="s">
        <v>638</v>
      </c>
      <c r="O275" s="92" t="s">
        <v>898</v>
      </c>
      <c r="P275" s="92" t="s">
        <v>640</v>
      </c>
    </row>
    <row r="276" spans="2:16" x14ac:dyDescent="0.25">
      <c r="B276" s="92" t="s">
        <v>634</v>
      </c>
      <c r="C276" s="93">
        <v>44074</v>
      </c>
      <c r="D276" s="92" t="s">
        <v>880</v>
      </c>
      <c r="E276" s="92" t="s">
        <v>645</v>
      </c>
      <c r="F276" s="92" t="s">
        <v>54</v>
      </c>
      <c r="G276" s="94">
        <v>11.82</v>
      </c>
      <c r="H276" s="95">
        <v>49</v>
      </c>
      <c r="J276" s="96">
        <v>0</v>
      </c>
      <c r="K276" s="92" t="s">
        <v>882</v>
      </c>
      <c r="L276" s="92" t="s">
        <v>638</v>
      </c>
      <c r="O276" s="92" t="s">
        <v>899</v>
      </c>
      <c r="P276" s="92" t="s">
        <v>640</v>
      </c>
    </row>
    <row r="277" spans="2:16" x14ac:dyDescent="0.25">
      <c r="B277" s="92" t="s">
        <v>634</v>
      </c>
      <c r="C277" s="93">
        <v>44074</v>
      </c>
      <c r="D277" s="92" t="s">
        <v>880</v>
      </c>
      <c r="E277" s="92" t="s">
        <v>645</v>
      </c>
      <c r="F277" s="92" t="s">
        <v>54</v>
      </c>
      <c r="G277" s="94">
        <v>8.3800000000000008</v>
      </c>
      <c r="H277" s="95">
        <v>51</v>
      </c>
      <c r="J277" s="96">
        <v>0</v>
      </c>
      <c r="K277" s="92" t="s">
        <v>882</v>
      </c>
      <c r="L277" s="92" t="s">
        <v>638</v>
      </c>
      <c r="O277" s="92" t="s">
        <v>900</v>
      </c>
      <c r="P277" s="92" t="s">
        <v>640</v>
      </c>
    </row>
    <row r="278" spans="2:16" x14ac:dyDescent="0.25">
      <c r="B278" s="92" t="s">
        <v>634</v>
      </c>
      <c r="C278" s="93">
        <v>44074</v>
      </c>
      <c r="D278" s="92" t="s">
        <v>880</v>
      </c>
      <c r="E278" s="92" t="s">
        <v>645</v>
      </c>
      <c r="F278" s="92" t="s">
        <v>54</v>
      </c>
      <c r="G278" s="94">
        <v>12.37</v>
      </c>
      <c r="H278" s="95">
        <v>55</v>
      </c>
      <c r="J278" s="96">
        <v>0</v>
      </c>
      <c r="K278" s="92" t="s">
        <v>901</v>
      </c>
      <c r="L278" s="92" t="s">
        <v>638</v>
      </c>
      <c r="O278" s="92" t="s">
        <v>902</v>
      </c>
      <c r="P278" s="92" t="s">
        <v>640</v>
      </c>
    </row>
    <row r="279" spans="2:16" x14ac:dyDescent="0.25">
      <c r="B279" s="92" t="s">
        <v>634</v>
      </c>
      <c r="C279" s="93">
        <v>44074</v>
      </c>
      <c r="D279" s="92" t="s">
        <v>880</v>
      </c>
      <c r="E279" s="92" t="s">
        <v>645</v>
      </c>
      <c r="F279" s="92" t="s">
        <v>54</v>
      </c>
      <c r="G279" s="94">
        <v>12.24</v>
      </c>
      <c r="H279" s="95">
        <v>57</v>
      </c>
      <c r="J279" s="96">
        <v>0</v>
      </c>
      <c r="K279" s="92" t="s">
        <v>901</v>
      </c>
      <c r="L279" s="92" t="s">
        <v>638</v>
      </c>
      <c r="O279" s="92" t="s">
        <v>902</v>
      </c>
      <c r="P279" s="92" t="s">
        <v>640</v>
      </c>
    </row>
    <row r="280" spans="2:16" x14ac:dyDescent="0.25">
      <c r="B280" s="92" t="s">
        <v>634</v>
      </c>
      <c r="C280" s="93">
        <v>44074</v>
      </c>
      <c r="D280" s="92" t="s">
        <v>880</v>
      </c>
      <c r="E280" s="92" t="s">
        <v>645</v>
      </c>
      <c r="F280" s="92" t="s">
        <v>54</v>
      </c>
      <c r="G280" s="94">
        <v>12.24</v>
      </c>
      <c r="H280" s="95">
        <v>59</v>
      </c>
      <c r="J280" s="96">
        <v>0</v>
      </c>
      <c r="K280" s="92" t="s">
        <v>901</v>
      </c>
      <c r="L280" s="92" t="s">
        <v>638</v>
      </c>
      <c r="O280" s="92" t="s">
        <v>902</v>
      </c>
      <c r="P280" s="92" t="s">
        <v>640</v>
      </c>
    </row>
    <row r="281" spans="2:16" x14ac:dyDescent="0.25">
      <c r="B281" s="92" t="s">
        <v>634</v>
      </c>
      <c r="C281" s="93">
        <v>44074</v>
      </c>
      <c r="D281" s="92" t="s">
        <v>880</v>
      </c>
      <c r="E281" s="92" t="s">
        <v>645</v>
      </c>
      <c r="F281" s="92" t="s">
        <v>54</v>
      </c>
      <c r="G281" s="94">
        <v>13.32</v>
      </c>
      <c r="H281" s="95">
        <v>61</v>
      </c>
      <c r="J281" s="96">
        <v>0</v>
      </c>
      <c r="K281" s="92" t="s">
        <v>901</v>
      </c>
      <c r="L281" s="92" t="s">
        <v>638</v>
      </c>
      <c r="O281" s="92" t="s">
        <v>902</v>
      </c>
      <c r="P281" s="92" t="s">
        <v>640</v>
      </c>
    </row>
    <row r="282" spans="2:16" x14ac:dyDescent="0.25">
      <c r="B282" s="92" t="s">
        <v>634</v>
      </c>
      <c r="C282" s="93">
        <v>44074</v>
      </c>
      <c r="D282" s="92" t="s">
        <v>880</v>
      </c>
      <c r="E282" s="92" t="s">
        <v>645</v>
      </c>
      <c r="F282" s="92" t="s">
        <v>54</v>
      </c>
      <c r="G282" s="94">
        <v>13.25</v>
      </c>
      <c r="H282" s="95">
        <v>63</v>
      </c>
      <c r="J282" s="96">
        <v>0</v>
      </c>
      <c r="K282" s="92" t="s">
        <v>901</v>
      </c>
      <c r="L282" s="92" t="s">
        <v>638</v>
      </c>
      <c r="O282" s="92" t="s">
        <v>902</v>
      </c>
      <c r="P282" s="92" t="s">
        <v>640</v>
      </c>
    </row>
    <row r="283" spans="2:16" x14ac:dyDescent="0.25">
      <c r="B283" s="92" t="s">
        <v>634</v>
      </c>
      <c r="C283" s="93">
        <v>44074</v>
      </c>
      <c r="D283" s="92" t="s">
        <v>880</v>
      </c>
      <c r="E283" s="92" t="s">
        <v>645</v>
      </c>
      <c r="F283" s="92" t="s">
        <v>54</v>
      </c>
      <c r="G283" s="94">
        <v>14.07</v>
      </c>
      <c r="H283" s="95">
        <v>65</v>
      </c>
      <c r="J283" s="96">
        <v>0</v>
      </c>
      <c r="K283" s="92" t="s">
        <v>901</v>
      </c>
      <c r="L283" s="92" t="s">
        <v>638</v>
      </c>
      <c r="O283" s="92" t="s">
        <v>902</v>
      </c>
      <c r="P283" s="92" t="s">
        <v>640</v>
      </c>
    </row>
    <row r="284" spans="2:16" x14ac:dyDescent="0.25">
      <c r="B284" s="92" t="s">
        <v>634</v>
      </c>
      <c r="C284" s="93">
        <v>44074</v>
      </c>
      <c r="D284" s="92" t="s">
        <v>880</v>
      </c>
      <c r="E284" s="92" t="s">
        <v>645</v>
      </c>
      <c r="F284" s="92" t="s">
        <v>54</v>
      </c>
      <c r="G284" s="94">
        <v>13.25</v>
      </c>
      <c r="H284" s="95">
        <v>67</v>
      </c>
      <c r="J284" s="96">
        <v>0</v>
      </c>
      <c r="K284" s="92" t="s">
        <v>901</v>
      </c>
      <c r="L284" s="92" t="s">
        <v>638</v>
      </c>
      <c r="O284" s="92" t="s">
        <v>902</v>
      </c>
      <c r="P284" s="92" t="s">
        <v>640</v>
      </c>
    </row>
    <row r="285" spans="2:16" x14ac:dyDescent="0.25">
      <c r="B285" s="92" t="s">
        <v>634</v>
      </c>
      <c r="C285" s="93">
        <v>44074</v>
      </c>
      <c r="D285" s="92" t="s">
        <v>880</v>
      </c>
      <c r="E285" s="92" t="s">
        <v>645</v>
      </c>
      <c r="F285" s="92" t="s">
        <v>54</v>
      </c>
      <c r="G285" s="94">
        <v>14.24</v>
      </c>
      <c r="H285" s="95">
        <v>69</v>
      </c>
      <c r="J285" s="96">
        <v>0</v>
      </c>
      <c r="K285" s="92" t="s">
        <v>901</v>
      </c>
      <c r="L285" s="92" t="s">
        <v>638</v>
      </c>
      <c r="O285" s="92" t="s">
        <v>902</v>
      </c>
      <c r="P285" s="92" t="s">
        <v>640</v>
      </c>
    </row>
    <row r="286" spans="2:16" x14ac:dyDescent="0.25">
      <c r="B286" s="92" t="s">
        <v>634</v>
      </c>
      <c r="C286" s="93">
        <v>44074</v>
      </c>
      <c r="D286" s="92" t="s">
        <v>880</v>
      </c>
      <c r="E286" s="92" t="s">
        <v>645</v>
      </c>
      <c r="F286" s="92" t="s">
        <v>54</v>
      </c>
      <c r="G286" s="94">
        <v>13.79</v>
      </c>
      <c r="H286" s="95">
        <v>71</v>
      </c>
      <c r="J286" s="96">
        <v>0</v>
      </c>
      <c r="K286" s="92" t="s">
        <v>901</v>
      </c>
      <c r="L286" s="92" t="s">
        <v>638</v>
      </c>
      <c r="O286" s="92" t="s">
        <v>902</v>
      </c>
      <c r="P286" s="92" t="s">
        <v>640</v>
      </c>
    </row>
    <row r="287" spans="2:16" x14ac:dyDescent="0.25">
      <c r="B287" s="92" t="s">
        <v>634</v>
      </c>
      <c r="C287" s="93">
        <v>44074</v>
      </c>
      <c r="D287" s="92" t="s">
        <v>880</v>
      </c>
      <c r="E287" s="92" t="s">
        <v>645</v>
      </c>
      <c r="F287" s="92" t="s">
        <v>54</v>
      </c>
      <c r="G287" s="94">
        <v>13.25</v>
      </c>
      <c r="H287" s="95">
        <v>73</v>
      </c>
      <c r="J287" s="96">
        <v>0</v>
      </c>
      <c r="K287" s="92" t="s">
        <v>901</v>
      </c>
      <c r="L287" s="92" t="s">
        <v>638</v>
      </c>
      <c r="O287" s="92" t="s">
        <v>902</v>
      </c>
      <c r="P287" s="92" t="s">
        <v>640</v>
      </c>
    </row>
    <row r="288" spans="2:16" x14ac:dyDescent="0.25">
      <c r="B288" s="92" t="s">
        <v>634</v>
      </c>
      <c r="C288" s="93">
        <v>44074</v>
      </c>
      <c r="D288" s="92" t="s">
        <v>880</v>
      </c>
      <c r="E288" s="92" t="s">
        <v>645</v>
      </c>
      <c r="F288" s="92" t="s">
        <v>54</v>
      </c>
      <c r="G288" s="94">
        <v>11.62</v>
      </c>
      <c r="H288" s="95">
        <v>75</v>
      </c>
      <c r="J288" s="96">
        <v>0</v>
      </c>
      <c r="K288" s="92" t="s">
        <v>901</v>
      </c>
      <c r="L288" s="92" t="s">
        <v>638</v>
      </c>
      <c r="O288" s="92" t="s">
        <v>902</v>
      </c>
      <c r="P288" s="92" t="s">
        <v>640</v>
      </c>
    </row>
    <row r="289" spans="2:16" x14ac:dyDescent="0.25">
      <c r="B289" s="92" t="s">
        <v>634</v>
      </c>
      <c r="C289" s="93">
        <v>44074</v>
      </c>
      <c r="D289" s="92" t="s">
        <v>880</v>
      </c>
      <c r="E289" s="92" t="s">
        <v>645</v>
      </c>
      <c r="F289" s="92" t="s">
        <v>54</v>
      </c>
      <c r="G289" s="94">
        <v>15.33</v>
      </c>
      <c r="H289" s="95">
        <v>77</v>
      </c>
      <c r="J289" s="96">
        <v>0</v>
      </c>
      <c r="K289" s="92" t="s">
        <v>901</v>
      </c>
      <c r="L289" s="92" t="s">
        <v>638</v>
      </c>
      <c r="O289" s="92" t="s">
        <v>902</v>
      </c>
      <c r="P289" s="92" t="s">
        <v>640</v>
      </c>
    </row>
    <row r="290" spans="2:16" x14ac:dyDescent="0.25">
      <c r="B290" s="92" t="s">
        <v>634</v>
      </c>
      <c r="C290" s="93">
        <v>44074</v>
      </c>
      <c r="D290" s="92" t="s">
        <v>880</v>
      </c>
      <c r="E290" s="92" t="s">
        <v>645</v>
      </c>
      <c r="F290" s="92" t="s">
        <v>54</v>
      </c>
      <c r="G290" s="94">
        <v>14.35</v>
      </c>
      <c r="H290" s="95">
        <v>79</v>
      </c>
      <c r="J290" s="96">
        <v>0</v>
      </c>
      <c r="K290" s="92" t="s">
        <v>901</v>
      </c>
      <c r="L290" s="92" t="s">
        <v>638</v>
      </c>
      <c r="O290" s="92" t="s">
        <v>902</v>
      </c>
      <c r="P290" s="92" t="s">
        <v>640</v>
      </c>
    </row>
    <row r="291" spans="2:16" x14ac:dyDescent="0.25">
      <c r="B291" s="92" t="s">
        <v>634</v>
      </c>
      <c r="C291" s="93">
        <v>44074</v>
      </c>
      <c r="D291" s="92" t="s">
        <v>880</v>
      </c>
      <c r="E291" s="92" t="s">
        <v>645</v>
      </c>
      <c r="F291" s="92" t="s">
        <v>54</v>
      </c>
      <c r="G291" s="94">
        <v>11.62</v>
      </c>
      <c r="H291" s="95">
        <v>81</v>
      </c>
      <c r="J291" s="96">
        <v>0</v>
      </c>
      <c r="K291" s="92" t="s">
        <v>901</v>
      </c>
      <c r="L291" s="92" t="s">
        <v>638</v>
      </c>
      <c r="O291" s="92" t="s">
        <v>902</v>
      </c>
      <c r="P291" s="92" t="s">
        <v>640</v>
      </c>
    </row>
    <row r="292" spans="2:16" x14ac:dyDescent="0.25">
      <c r="B292" s="92" t="s">
        <v>634</v>
      </c>
      <c r="C292" s="93">
        <v>44074</v>
      </c>
      <c r="D292" s="92" t="s">
        <v>880</v>
      </c>
      <c r="E292" s="92" t="s">
        <v>645</v>
      </c>
      <c r="F292" s="92" t="s">
        <v>54</v>
      </c>
      <c r="G292" s="94">
        <v>11.64</v>
      </c>
      <c r="H292" s="95">
        <v>83</v>
      </c>
      <c r="J292" s="96">
        <v>0</v>
      </c>
      <c r="K292" s="92" t="s">
        <v>901</v>
      </c>
      <c r="L292" s="92" t="s">
        <v>638</v>
      </c>
      <c r="O292" s="92" t="s">
        <v>902</v>
      </c>
      <c r="P292" s="92" t="s">
        <v>640</v>
      </c>
    </row>
    <row r="293" spans="2:16" x14ac:dyDescent="0.25">
      <c r="B293" s="92" t="s">
        <v>634</v>
      </c>
      <c r="C293" s="93">
        <v>44074</v>
      </c>
      <c r="D293" s="92" t="s">
        <v>880</v>
      </c>
      <c r="E293" s="92" t="s">
        <v>645</v>
      </c>
      <c r="F293" s="92" t="s">
        <v>54</v>
      </c>
      <c r="G293" s="94">
        <v>12.55</v>
      </c>
      <c r="H293" s="95">
        <v>85</v>
      </c>
      <c r="J293" s="96">
        <v>0</v>
      </c>
      <c r="K293" s="92" t="s">
        <v>901</v>
      </c>
      <c r="L293" s="92" t="s">
        <v>638</v>
      </c>
      <c r="O293" s="92" t="s">
        <v>902</v>
      </c>
      <c r="P293" s="92" t="s">
        <v>640</v>
      </c>
    </row>
    <row r="294" spans="2:16" x14ac:dyDescent="0.25">
      <c r="B294" s="92" t="s">
        <v>634</v>
      </c>
      <c r="C294" s="93">
        <v>44074</v>
      </c>
      <c r="D294" s="92" t="s">
        <v>880</v>
      </c>
      <c r="E294" s="92" t="s">
        <v>645</v>
      </c>
      <c r="F294" s="92" t="s">
        <v>54</v>
      </c>
      <c r="G294" s="94">
        <v>11.75</v>
      </c>
      <c r="H294" s="95">
        <v>87</v>
      </c>
      <c r="J294" s="96">
        <v>0</v>
      </c>
      <c r="K294" s="92" t="s">
        <v>901</v>
      </c>
      <c r="L294" s="92" t="s">
        <v>638</v>
      </c>
      <c r="O294" s="92" t="s">
        <v>902</v>
      </c>
      <c r="P294" s="92" t="s">
        <v>640</v>
      </c>
    </row>
    <row r="295" spans="2:16" x14ac:dyDescent="0.25">
      <c r="B295" s="92" t="s">
        <v>634</v>
      </c>
      <c r="C295" s="93">
        <v>44074</v>
      </c>
      <c r="D295" s="92" t="s">
        <v>880</v>
      </c>
      <c r="E295" s="92" t="s">
        <v>645</v>
      </c>
      <c r="F295" s="92" t="s">
        <v>54</v>
      </c>
      <c r="G295" s="94">
        <v>14.36</v>
      </c>
      <c r="H295" s="95">
        <v>89</v>
      </c>
      <c r="J295" s="96">
        <v>0</v>
      </c>
      <c r="K295" s="92" t="s">
        <v>901</v>
      </c>
      <c r="L295" s="92" t="s">
        <v>638</v>
      </c>
      <c r="O295" s="92" t="s">
        <v>902</v>
      </c>
      <c r="P295" s="92" t="s">
        <v>640</v>
      </c>
    </row>
    <row r="296" spans="2:16" x14ac:dyDescent="0.25">
      <c r="B296" s="92" t="s">
        <v>634</v>
      </c>
      <c r="C296" s="93">
        <v>44076</v>
      </c>
      <c r="D296" s="92" t="s">
        <v>903</v>
      </c>
      <c r="E296" s="92" t="s">
        <v>833</v>
      </c>
      <c r="F296" s="92" t="s">
        <v>54</v>
      </c>
      <c r="G296" s="94">
        <v>54.04</v>
      </c>
      <c r="H296" s="95">
        <v>1</v>
      </c>
      <c r="J296" s="96">
        <v>0</v>
      </c>
      <c r="K296" s="92" t="s">
        <v>904</v>
      </c>
      <c r="L296" s="92" t="s">
        <v>638</v>
      </c>
      <c r="O296" s="92" t="s">
        <v>905</v>
      </c>
      <c r="P296" s="92" t="s">
        <v>640</v>
      </c>
    </row>
    <row r="297" spans="2:16" x14ac:dyDescent="0.25">
      <c r="B297" s="92" t="s">
        <v>634</v>
      </c>
      <c r="C297" s="93">
        <v>44083</v>
      </c>
      <c r="D297" s="92" t="s">
        <v>906</v>
      </c>
      <c r="E297" s="92" t="s">
        <v>648</v>
      </c>
      <c r="F297" s="92" t="s">
        <v>54</v>
      </c>
      <c r="G297" s="94">
        <v>12.11</v>
      </c>
      <c r="H297" s="95">
        <v>7</v>
      </c>
      <c r="J297" s="96">
        <v>0</v>
      </c>
      <c r="K297" s="92" t="s">
        <v>907</v>
      </c>
      <c r="L297" s="92" t="s">
        <v>638</v>
      </c>
      <c r="O297" s="92" t="s">
        <v>908</v>
      </c>
      <c r="P297" s="92" t="s">
        <v>640</v>
      </c>
    </row>
    <row r="298" spans="2:16" x14ac:dyDescent="0.25">
      <c r="B298" s="92" t="s">
        <v>634</v>
      </c>
      <c r="C298" s="93">
        <v>44083</v>
      </c>
      <c r="D298" s="92" t="s">
        <v>906</v>
      </c>
      <c r="E298" s="92" t="s">
        <v>648</v>
      </c>
      <c r="F298" s="92" t="s">
        <v>54</v>
      </c>
      <c r="G298" s="94">
        <v>12.11</v>
      </c>
      <c r="H298" s="95">
        <v>9</v>
      </c>
      <c r="J298" s="96">
        <v>0</v>
      </c>
      <c r="K298" s="92" t="s">
        <v>907</v>
      </c>
      <c r="L298" s="92" t="s">
        <v>638</v>
      </c>
      <c r="O298" s="92" t="s">
        <v>908</v>
      </c>
      <c r="P298" s="92" t="s">
        <v>640</v>
      </c>
    </row>
    <row r="299" spans="2:16" x14ac:dyDescent="0.25">
      <c r="B299" s="92" t="s">
        <v>634</v>
      </c>
      <c r="C299" s="93">
        <v>44083</v>
      </c>
      <c r="D299" s="92" t="s">
        <v>906</v>
      </c>
      <c r="E299" s="92" t="s">
        <v>648</v>
      </c>
      <c r="F299" s="92" t="s">
        <v>54</v>
      </c>
      <c r="G299" s="94">
        <v>11.87</v>
      </c>
      <c r="H299" s="95">
        <v>11</v>
      </c>
      <c r="J299" s="96">
        <v>0</v>
      </c>
      <c r="K299" s="92" t="s">
        <v>907</v>
      </c>
      <c r="L299" s="92" t="s">
        <v>638</v>
      </c>
      <c r="O299" s="92" t="s">
        <v>908</v>
      </c>
      <c r="P299" s="92" t="s">
        <v>640</v>
      </c>
    </row>
    <row r="300" spans="2:16" x14ac:dyDescent="0.25">
      <c r="B300" s="92" t="s">
        <v>634</v>
      </c>
      <c r="C300" s="93">
        <v>44083</v>
      </c>
      <c r="D300" s="92" t="s">
        <v>906</v>
      </c>
      <c r="E300" s="92" t="s">
        <v>648</v>
      </c>
      <c r="F300" s="92" t="s">
        <v>54</v>
      </c>
      <c r="G300" s="94">
        <v>16.48</v>
      </c>
      <c r="H300" s="95">
        <v>13</v>
      </c>
      <c r="J300" s="96">
        <v>0</v>
      </c>
      <c r="K300" s="92" t="s">
        <v>907</v>
      </c>
      <c r="L300" s="92" t="s">
        <v>638</v>
      </c>
      <c r="O300" s="92" t="s">
        <v>908</v>
      </c>
      <c r="P300" s="92" t="s">
        <v>640</v>
      </c>
    </row>
    <row r="301" spans="2:16" x14ac:dyDescent="0.25">
      <c r="B301" s="92" t="s">
        <v>634</v>
      </c>
      <c r="C301" s="93">
        <v>44083</v>
      </c>
      <c r="D301" s="92" t="s">
        <v>906</v>
      </c>
      <c r="E301" s="92" t="s">
        <v>648</v>
      </c>
      <c r="F301" s="92" t="s">
        <v>54</v>
      </c>
      <c r="G301" s="94">
        <v>12.08</v>
      </c>
      <c r="H301" s="95">
        <v>15</v>
      </c>
      <c r="J301" s="96">
        <v>0</v>
      </c>
      <c r="K301" s="92" t="s">
        <v>907</v>
      </c>
      <c r="L301" s="92" t="s">
        <v>638</v>
      </c>
      <c r="O301" s="92" t="s">
        <v>908</v>
      </c>
      <c r="P301" s="92" t="s">
        <v>640</v>
      </c>
    </row>
    <row r="302" spans="2:16" x14ac:dyDescent="0.25">
      <c r="B302" s="92" t="s">
        <v>634</v>
      </c>
      <c r="C302" s="93">
        <v>44085</v>
      </c>
      <c r="D302" s="92" t="s">
        <v>909</v>
      </c>
      <c r="E302" s="92" t="s">
        <v>833</v>
      </c>
      <c r="F302" s="92" t="s">
        <v>54</v>
      </c>
      <c r="G302" s="94">
        <v>34.200000000000003</v>
      </c>
      <c r="H302" s="95">
        <v>5</v>
      </c>
      <c r="J302" s="96">
        <v>0</v>
      </c>
      <c r="K302" s="92" t="s">
        <v>910</v>
      </c>
      <c r="L302" s="92" t="s">
        <v>638</v>
      </c>
      <c r="O302" s="92" t="s">
        <v>911</v>
      </c>
      <c r="P302" s="92" t="s">
        <v>640</v>
      </c>
    </row>
    <row r="303" spans="2:16" x14ac:dyDescent="0.25">
      <c r="B303" s="92" t="s">
        <v>634</v>
      </c>
      <c r="C303" s="93">
        <v>44089</v>
      </c>
      <c r="D303" s="92" t="s">
        <v>912</v>
      </c>
      <c r="E303" s="92" t="s">
        <v>666</v>
      </c>
      <c r="F303" s="92" t="s">
        <v>54</v>
      </c>
      <c r="G303" s="94">
        <v>13.7</v>
      </c>
      <c r="H303" s="95">
        <v>3</v>
      </c>
      <c r="J303" s="96">
        <v>0</v>
      </c>
      <c r="K303" s="92" t="s">
        <v>865</v>
      </c>
      <c r="L303" s="92" t="s">
        <v>638</v>
      </c>
      <c r="O303" s="92" t="s">
        <v>913</v>
      </c>
      <c r="P303" s="92" t="s">
        <v>640</v>
      </c>
    </row>
    <row r="304" spans="2:16" x14ac:dyDescent="0.25">
      <c r="B304" s="92" t="s">
        <v>634</v>
      </c>
      <c r="C304" s="93">
        <v>44089</v>
      </c>
      <c r="D304" s="92" t="s">
        <v>912</v>
      </c>
      <c r="E304" s="92" t="s">
        <v>666</v>
      </c>
      <c r="F304" s="92" t="s">
        <v>54</v>
      </c>
      <c r="G304" s="94">
        <v>13.01</v>
      </c>
      <c r="H304" s="95">
        <v>5</v>
      </c>
      <c r="J304" s="96">
        <v>0</v>
      </c>
      <c r="K304" s="92" t="s">
        <v>865</v>
      </c>
      <c r="L304" s="92" t="s">
        <v>638</v>
      </c>
      <c r="O304" s="92" t="s">
        <v>913</v>
      </c>
      <c r="P304" s="92" t="s">
        <v>640</v>
      </c>
    </row>
    <row r="305" spans="2:16" x14ac:dyDescent="0.25">
      <c r="B305" s="92" t="s">
        <v>634</v>
      </c>
      <c r="C305" s="93">
        <v>44089</v>
      </c>
      <c r="D305" s="92" t="s">
        <v>912</v>
      </c>
      <c r="E305" s="92" t="s">
        <v>648</v>
      </c>
      <c r="F305" s="92" t="s">
        <v>54</v>
      </c>
      <c r="G305" s="94">
        <v>9.77</v>
      </c>
      <c r="H305" s="95">
        <v>7</v>
      </c>
      <c r="J305" s="96">
        <v>0</v>
      </c>
      <c r="K305" s="92" t="s">
        <v>649</v>
      </c>
      <c r="L305" s="92" t="s">
        <v>638</v>
      </c>
      <c r="O305" s="92" t="s">
        <v>914</v>
      </c>
      <c r="P305" s="92" t="s">
        <v>640</v>
      </c>
    </row>
    <row r="306" spans="2:16" x14ac:dyDescent="0.25">
      <c r="B306" s="92" t="s">
        <v>634</v>
      </c>
      <c r="C306" s="93">
        <v>44089</v>
      </c>
      <c r="D306" s="92" t="s">
        <v>912</v>
      </c>
      <c r="E306" s="92" t="s">
        <v>648</v>
      </c>
      <c r="F306" s="92" t="s">
        <v>54</v>
      </c>
      <c r="G306" s="94">
        <v>16.760000000000002</v>
      </c>
      <c r="H306" s="95">
        <v>9</v>
      </c>
      <c r="J306" s="96">
        <v>0</v>
      </c>
      <c r="K306" s="92" t="s">
        <v>649</v>
      </c>
      <c r="L306" s="92" t="s">
        <v>638</v>
      </c>
      <c r="O306" s="92" t="s">
        <v>915</v>
      </c>
      <c r="P306" s="92" t="s">
        <v>640</v>
      </c>
    </row>
    <row r="307" spans="2:16" x14ac:dyDescent="0.25">
      <c r="B307" s="92" t="s">
        <v>634</v>
      </c>
      <c r="C307" s="93">
        <v>44089</v>
      </c>
      <c r="D307" s="92" t="s">
        <v>912</v>
      </c>
      <c r="E307" s="92" t="s">
        <v>648</v>
      </c>
      <c r="F307" s="92" t="s">
        <v>54</v>
      </c>
      <c r="G307" s="94">
        <v>58.42</v>
      </c>
      <c r="H307" s="95">
        <v>13</v>
      </c>
      <c r="J307" s="96">
        <v>0</v>
      </c>
      <c r="K307" s="92" t="s">
        <v>649</v>
      </c>
      <c r="L307" s="92" t="s">
        <v>638</v>
      </c>
      <c r="O307" s="92" t="s">
        <v>916</v>
      </c>
      <c r="P307" s="92" t="s">
        <v>640</v>
      </c>
    </row>
    <row r="308" spans="2:16" x14ac:dyDescent="0.25">
      <c r="B308" s="92" t="s">
        <v>634</v>
      </c>
      <c r="C308" s="93">
        <v>44089</v>
      </c>
      <c r="D308" s="92" t="s">
        <v>912</v>
      </c>
      <c r="E308" s="92" t="s">
        <v>648</v>
      </c>
      <c r="F308" s="92" t="s">
        <v>54</v>
      </c>
      <c r="G308" s="94">
        <v>15.38</v>
      </c>
      <c r="H308" s="95">
        <v>15</v>
      </c>
      <c r="J308" s="96">
        <v>0</v>
      </c>
      <c r="K308" s="92" t="s">
        <v>649</v>
      </c>
      <c r="L308" s="92" t="s">
        <v>638</v>
      </c>
      <c r="O308" s="92" t="s">
        <v>916</v>
      </c>
      <c r="P308" s="92" t="s">
        <v>640</v>
      </c>
    </row>
    <row r="309" spans="2:16" x14ac:dyDescent="0.25">
      <c r="B309" s="92" t="s">
        <v>634</v>
      </c>
      <c r="C309" s="93">
        <v>44089</v>
      </c>
      <c r="D309" s="92" t="s">
        <v>912</v>
      </c>
      <c r="E309" s="92" t="s">
        <v>648</v>
      </c>
      <c r="F309" s="92" t="s">
        <v>54</v>
      </c>
      <c r="G309" s="94">
        <v>25.62</v>
      </c>
      <c r="H309" s="95">
        <v>17</v>
      </c>
      <c r="J309" s="96">
        <v>0</v>
      </c>
      <c r="K309" s="92" t="s">
        <v>649</v>
      </c>
      <c r="L309" s="92" t="s">
        <v>638</v>
      </c>
      <c r="O309" s="92" t="s">
        <v>916</v>
      </c>
      <c r="P309" s="92" t="s">
        <v>640</v>
      </c>
    </row>
    <row r="310" spans="2:16" x14ac:dyDescent="0.25">
      <c r="B310" s="92" t="s">
        <v>634</v>
      </c>
      <c r="C310" s="93">
        <v>44089</v>
      </c>
      <c r="D310" s="92" t="s">
        <v>912</v>
      </c>
      <c r="E310" s="92" t="s">
        <v>648</v>
      </c>
      <c r="F310" s="92" t="s">
        <v>54</v>
      </c>
      <c r="G310" s="94">
        <v>14.44</v>
      </c>
      <c r="H310" s="95">
        <v>19</v>
      </c>
      <c r="J310" s="96">
        <v>0</v>
      </c>
      <c r="K310" s="92" t="s">
        <v>649</v>
      </c>
      <c r="L310" s="92" t="s">
        <v>638</v>
      </c>
      <c r="O310" s="92" t="s">
        <v>916</v>
      </c>
      <c r="P310" s="92" t="s">
        <v>640</v>
      </c>
    </row>
    <row r="311" spans="2:16" x14ac:dyDescent="0.25">
      <c r="B311" s="92" t="s">
        <v>634</v>
      </c>
      <c r="C311" s="93">
        <v>44089</v>
      </c>
      <c r="D311" s="92" t="s">
        <v>912</v>
      </c>
      <c r="E311" s="92" t="s">
        <v>645</v>
      </c>
      <c r="F311" s="92" t="s">
        <v>54</v>
      </c>
      <c r="G311" s="94">
        <v>7.01</v>
      </c>
      <c r="H311" s="95">
        <v>21</v>
      </c>
      <c r="J311" s="96">
        <v>0</v>
      </c>
      <c r="K311" s="92" t="s">
        <v>677</v>
      </c>
      <c r="L311" s="92" t="s">
        <v>638</v>
      </c>
      <c r="O311" s="92" t="s">
        <v>917</v>
      </c>
      <c r="P311" s="92" t="s">
        <v>640</v>
      </c>
    </row>
    <row r="312" spans="2:16" x14ac:dyDescent="0.25">
      <c r="B312" s="92" t="s">
        <v>634</v>
      </c>
      <c r="C312" s="93">
        <v>44090</v>
      </c>
      <c r="D312" s="92" t="s">
        <v>918</v>
      </c>
      <c r="E312" s="92" t="s">
        <v>636</v>
      </c>
      <c r="F312" s="92" t="s">
        <v>54</v>
      </c>
      <c r="G312" s="94">
        <v>94.9</v>
      </c>
      <c r="H312" s="95">
        <v>9</v>
      </c>
      <c r="J312" s="96">
        <v>0</v>
      </c>
      <c r="K312" s="92" t="s">
        <v>637</v>
      </c>
      <c r="L312" s="92" t="s">
        <v>638</v>
      </c>
      <c r="O312" s="92" t="s">
        <v>919</v>
      </c>
      <c r="P312" s="92" t="s">
        <v>640</v>
      </c>
    </row>
    <row r="313" spans="2:16" x14ac:dyDescent="0.25">
      <c r="B313" s="92" t="s">
        <v>634</v>
      </c>
      <c r="C313" s="93">
        <v>44091</v>
      </c>
      <c r="D313" s="92" t="s">
        <v>920</v>
      </c>
      <c r="E313" s="92" t="s">
        <v>648</v>
      </c>
      <c r="F313" s="92" t="s">
        <v>54</v>
      </c>
      <c r="G313" s="94">
        <v>9.69</v>
      </c>
      <c r="H313" s="95">
        <v>3</v>
      </c>
      <c r="J313" s="96">
        <v>0</v>
      </c>
      <c r="K313" s="92" t="s">
        <v>649</v>
      </c>
      <c r="L313" s="92" t="s">
        <v>638</v>
      </c>
      <c r="O313" s="92" t="s">
        <v>921</v>
      </c>
      <c r="P313" s="92" t="s">
        <v>640</v>
      </c>
    </row>
    <row r="314" spans="2:16" x14ac:dyDescent="0.25">
      <c r="B314" s="92" t="s">
        <v>634</v>
      </c>
      <c r="C314" s="93">
        <v>44104</v>
      </c>
      <c r="D314" s="92" t="s">
        <v>922</v>
      </c>
      <c r="E314" s="92" t="s">
        <v>645</v>
      </c>
      <c r="F314" s="92" t="s">
        <v>49</v>
      </c>
      <c r="G314" s="94">
        <v>382.09</v>
      </c>
      <c r="H314" s="95">
        <v>1</v>
      </c>
      <c r="J314" s="96">
        <v>0</v>
      </c>
      <c r="K314" s="92" t="s">
        <v>89</v>
      </c>
      <c r="L314" s="92" t="s">
        <v>923</v>
      </c>
      <c r="P314" s="92" t="s">
        <v>640</v>
      </c>
    </row>
    <row r="315" spans="2:16" x14ac:dyDescent="0.25">
      <c r="B315" s="92" t="s">
        <v>634</v>
      </c>
      <c r="C315" s="93">
        <v>44106</v>
      </c>
      <c r="D315" s="92" t="s">
        <v>924</v>
      </c>
      <c r="E315" s="92" t="s">
        <v>636</v>
      </c>
      <c r="F315" s="92" t="s">
        <v>55</v>
      </c>
      <c r="G315" s="94">
        <v>108.86</v>
      </c>
      <c r="H315" s="95">
        <v>1</v>
      </c>
      <c r="J315" s="96">
        <v>0</v>
      </c>
      <c r="K315" s="92" t="s">
        <v>642</v>
      </c>
      <c r="L315" s="92" t="s">
        <v>638</v>
      </c>
      <c r="O315" s="92" t="s">
        <v>925</v>
      </c>
      <c r="P315" s="92" t="s">
        <v>640</v>
      </c>
    </row>
    <row r="316" spans="2:16" x14ac:dyDescent="0.25">
      <c r="B316" s="92" t="s">
        <v>634</v>
      </c>
      <c r="C316" s="93">
        <v>44106</v>
      </c>
      <c r="D316" s="92" t="s">
        <v>924</v>
      </c>
      <c r="E316" s="92" t="s">
        <v>636</v>
      </c>
      <c r="F316" s="92" t="s">
        <v>55</v>
      </c>
      <c r="G316" s="94">
        <v>165.28</v>
      </c>
      <c r="H316" s="95">
        <v>3</v>
      </c>
      <c r="J316" s="96">
        <v>0</v>
      </c>
      <c r="K316" s="92" t="s">
        <v>642</v>
      </c>
      <c r="L316" s="92" t="s">
        <v>638</v>
      </c>
      <c r="O316" s="92" t="s">
        <v>925</v>
      </c>
      <c r="P316" s="92" t="s">
        <v>640</v>
      </c>
    </row>
    <row r="317" spans="2:16" x14ac:dyDescent="0.25">
      <c r="B317" s="92" t="s">
        <v>634</v>
      </c>
      <c r="C317" s="93">
        <v>44106</v>
      </c>
      <c r="D317" s="92" t="s">
        <v>924</v>
      </c>
      <c r="E317" s="92" t="s">
        <v>645</v>
      </c>
      <c r="F317" s="92" t="s">
        <v>54</v>
      </c>
      <c r="G317" s="94">
        <v>12.71</v>
      </c>
      <c r="H317" s="95">
        <v>7</v>
      </c>
      <c r="J317" s="96">
        <v>0</v>
      </c>
      <c r="K317" s="92" t="s">
        <v>656</v>
      </c>
      <c r="L317" s="92" t="s">
        <v>638</v>
      </c>
      <c r="O317" s="92" t="s">
        <v>926</v>
      </c>
      <c r="P317" s="92" t="s">
        <v>640</v>
      </c>
    </row>
    <row r="318" spans="2:16" x14ac:dyDescent="0.25">
      <c r="B318" s="92" t="s">
        <v>634</v>
      </c>
      <c r="C318" s="93">
        <v>44106</v>
      </c>
      <c r="D318" s="92" t="s">
        <v>924</v>
      </c>
      <c r="E318" s="92" t="s">
        <v>645</v>
      </c>
      <c r="F318" s="92" t="s">
        <v>54</v>
      </c>
      <c r="G318" s="94">
        <v>12.59</v>
      </c>
      <c r="H318" s="95">
        <v>9</v>
      </c>
      <c r="J318" s="96">
        <v>0</v>
      </c>
      <c r="K318" s="92" t="s">
        <v>656</v>
      </c>
      <c r="L318" s="92" t="s">
        <v>638</v>
      </c>
      <c r="O318" s="92" t="s">
        <v>926</v>
      </c>
      <c r="P318" s="92" t="s">
        <v>640</v>
      </c>
    </row>
    <row r="319" spans="2:16" x14ac:dyDescent="0.25">
      <c r="B319" s="92" t="s">
        <v>634</v>
      </c>
      <c r="C319" s="93">
        <v>44106</v>
      </c>
      <c r="D319" s="92" t="s">
        <v>924</v>
      </c>
      <c r="E319" s="92" t="s">
        <v>645</v>
      </c>
      <c r="F319" s="92" t="s">
        <v>54</v>
      </c>
      <c r="G319" s="94">
        <v>12.93</v>
      </c>
      <c r="H319" s="95">
        <v>11</v>
      </c>
      <c r="J319" s="96">
        <v>0</v>
      </c>
      <c r="K319" s="92" t="s">
        <v>656</v>
      </c>
      <c r="L319" s="92" t="s">
        <v>638</v>
      </c>
      <c r="O319" s="92" t="s">
        <v>926</v>
      </c>
      <c r="P319" s="92" t="s">
        <v>640</v>
      </c>
    </row>
    <row r="320" spans="2:16" x14ac:dyDescent="0.25">
      <c r="B320" s="92" t="s">
        <v>634</v>
      </c>
      <c r="C320" s="93">
        <v>44106</v>
      </c>
      <c r="D320" s="92" t="s">
        <v>924</v>
      </c>
      <c r="E320" s="92" t="s">
        <v>645</v>
      </c>
      <c r="F320" s="92" t="s">
        <v>54</v>
      </c>
      <c r="G320" s="94">
        <v>18.100000000000001</v>
      </c>
      <c r="H320" s="95">
        <v>13</v>
      </c>
      <c r="J320" s="96">
        <v>0</v>
      </c>
      <c r="K320" s="92" t="s">
        <v>656</v>
      </c>
      <c r="L320" s="92" t="s">
        <v>638</v>
      </c>
      <c r="O320" s="92" t="s">
        <v>926</v>
      </c>
      <c r="P320" s="92" t="s">
        <v>640</v>
      </c>
    </row>
    <row r="321" spans="2:16" x14ac:dyDescent="0.25">
      <c r="B321" s="92" t="s">
        <v>634</v>
      </c>
      <c r="C321" s="93">
        <v>44112</v>
      </c>
      <c r="D321" s="92" t="s">
        <v>927</v>
      </c>
      <c r="E321" s="92" t="s">
        <v>648</v>
      </c>
      <c r="F321" s="92" t="s">
        <v>55</v>
      </c>
      <c r="G321" s="94">
        <v>5.41</v>
      </c>
      <c r="H321" s="95">
        <v>27</v>
      </c>
      <c r="J321" s="96">
        <v>0</v>
      </c>
      <c r="K321" s="92" t="s">
        <v>842</v>
      </c>
      <c r="L321" s="92" t="s">
        <v>638</v>
      </c>
      <c r="O321" s="92" t="s">
        <v>928</v>
      </c>
      <c r="P321" s="92" t="s">
        <v>640</v>
      </c>
    </row>
    <row r="322" spans="2:16" x14ac:dyDescent="0.25">
      <c r="B322" s="92" t="s">
        <v>634</v>
      </c>
      <c r="C322" s="93">
        <v>44125</v>
      </c>
      <c r="D322" s="92" t="s">
        <v>929</v>
      </c>
      <c r="E322" s="92" t="s">
        <v>833</v>
      </c>
      <c r="F322" s="92" t="s">
        <v>60</v>
      </c>
      <c r="G322" s="94">
        <v>43.14</v>
      </c>
      <c r="H322" s="95">
        <v>5</v>
      </c>
      <c r="J322" s="96">
        <v>0</v>
      </c>
      <c r="K322" s="92" t="s">
        <v>930</v>
      </c>
      <c r="L322" s="92" t="s">
        <v>638</v>
      </c>
      <c r="O322" s="92" t="s">
        <v>931</v>
      </c>
      <c r="P322" s="92" t="s">
        <v>640</v>
      </c>
    </row>
    <row r="323" spans="2:16" x14ac:dyDescent="0.25">
      <c r="B323" s="92" t="s">
        <v>634</v>
      </c>
      <c r="C323" s="93">
        <v>44125</v>
      </c>
      <c r="D323" s="92" t="s">
        <v>929</v>
      </c>
      <c r="E323" s="92" t="s">
        <v>833</v>
      </c>
      <c r="F323" s="92" t="s">
        <v>229</v>
      </c>
      <c r="G323" s="94">
        <v>43.93</v>
      </c>
      <c r="H323" s="95">
        <v>29</v>
      </c>
      <c r="J323" s="96">
        <v>0</v>
      </c>
      <c r="K323" s="92" t="s">
        <v>932</v>
      </c>
      <c r="L323" s="92" t="s">
        <v>638</v>
      </c>
      <c r="O323" s="92" t="s">
        <v>933</v>
      </c>
      <c r="P323" s="92" t="s">
        <v>640</v>
      </c>
    </row>
    <row r="324" spans="2:16" x14ac:dyDescent="0.25">
      <c r="B324" s="92" t="s">
        <v>634</v>
      </c>
      <c r="C324" s="93">
        <v>44131</v>
      </c>
      <c r="D324" s="92" t="s">
        <v>934</v>
      </c>
      <c r="E324" s="92" t="s">
        <v>652</v>
      </c>
      <c r="F324" s="92" t="s">
        <v>54</v>
      </c>
      <c r="G324" s="94">
        <v>-10.56</v>
      </c>
      <c r="H324" s="95">
        <v>1</v>
      </c>
      <c r="J324" s="96">
        <v>0</v>
      </c>
      <c r="K324" s="92" t="s">
        <v>653</v>
      </c>
      <c r="L324" s="92" t="s">
        <v>935</v>
      </c>
      <c r="O324" s="92" t="s">
        <v>693</v>
      </c>
      <c r="P324" s="92" t="s">
        <v>640</v>
      </c>
    </row>
    <row r="325" spans="2:16" x14ac:dyDescent="0.25">
      <c r="B325" s="92" t="s">
        <v>634</v>
      </c>
      <c r="C325" s="93">
        <v>44131</v>
      </c>
      <c r="D325" s="92" t="s">
        <v>934</v>
      </c>
      <c r="E325" s="92" t="s">
        <v>652</v>
      </c>
      <c r="F325" s="92" t="s">
        <v>54</v>
      </c>
      <c r="G325" s="94">
        <v>-10.56</v>
      </c>
      <c r="H325" s="95">
        <v>3</v>
      </c>
      <c r="J325" s="96">
        <v>0</v>
      </c>
      <c r="K325" s="92" t="s">
        <v>653</v>
      </c>
      <c r="L325" s="92" t="s">
        <v>935</v>
      </c>
      <c r="O325" s="92" t="s">
        <v>709</v>
      </c>
      <c r="P325" s="92" t="s">
        <v>640</v>
      </c>
    </row>
    <row r="326" spans="2:16" x14ac:dyDescent="0.25">
      <c r="B326" s="92" t="s">
        <v>634</v>
      </c>
      <c r="C326" s="93">
        <v>44131</v>
      </c>
      <c r="D326" s="92" t="s">
        <v>934</v>
      </c>
      <c r="E326" s="92" t="s">
        <v>652</v>
      </c>
      <c r="F326" s="92" t="s">
        <v>146</v>
      </c>
      <c r="G326" s="94">
        <v>-13.55</v>
      </c>
      <c r="H326" s="95">
        <v>5</v>
      </c>
      <c r="J326" s="96">
        <v>0</v>
      </c>
      <c r="K326" s="92" t="s">
        <v>689</v>
      </c>
      <c r="L326" s="92" t="s">
        <v>935</v>
      </c>
      <c r="O326" s="92" t="s">
        <v>779</v>
      </c>
      <c r="P326" s="92" t="s">
        <v>640</v>
      </c>
    </row>
    <row r="327" spans="2:16" x14ac:dyDescent="0.25">
      <c r="B327" s="92" t="s">
        <v>634</v>
      </c>
      <c r="C327" s="93">
        <v>44137</v>
      </c>
      <c r="D327" s="92" t="s">
        <v>936</v>
      </c>
      <c r="E327" s="92" t="s">
        <v>833</v>
      </c>
      <c r="F327" s="92" t="s">
        <v>158</v>
      </c>
      <c r="G327" s="94">
        <v>174.5</v>
      </c>
      <c r="H327" s="95">
        <v>47</v>
      </c>
      <c r="J327" s="96">
        <v>0</v>
      </c>
      <c r="K327" s="92" t="s">
        <v>937</v>
      </c>
      <c r="L327" s="92" t="s">
        <v>638</v>
      </c>
      <c r="O327" s="92" t="s">
        <v>938</v>
      </c>
      <c r="P327" s="92" t="s">
        <v>640</v>
      </c>
    </row>
    <row r="328" spans="2:16" x14ac:dyDescent="0.25">
      <c r="B328" s="92" t="s">
        <v>634</v>
      </c>
      <c r="C328" s="93">
        <v>44147</v>
      </c>
      <c r="D328" s="92" t="s">
        <v>939</v>
      </c>
      <c r="E328" s="92" t="s">
        <v>833</v>
      </c>
      <c r="F328" s="92" t="s">
        <v>60</v>
      </c>
      <c r="G328" s="94">
        <v>-43.14</v>
      </c>
      <c r="H328" s="95">
        <v>1</v>
      </c>
      <c r="J328" s="96">
        <v>0</v>
      </c>
      <c r="K328" s="92" t="s">
        <v>930</v>
      </c>
      <c r="L328" s="92" t="s">
        <v>935</v>
      </c>
      <c r="O328" s="92" t="s">
        <v>931</v>
      </c>
      <c r="P328" s="92" t="s">
        <v>640</v>
      </c>
    </row>
    <row r="329" spans="2:16" x14ac:dyDescent="0.25">
      <c r="B329" s="92" t="s">
        <v>634</v>
      </c>
      <c r="C329" s="93">
        <v>44188</v>
      </c>
      <c r="D329" s="92" t="s">
        <v>940</v>
      </c>
      <c r="E329" s="92" t="s">
        <v>645</v>
      </c>
      <c r="F329" s="92" t="s">
        <v>60</v>
      </c>
      <c r="G329" s="94">
        <v>214.54</v>
      </c>
      <c r="H329" s="95">
        <v>9</v>
      </c>
      <c r="J329" s="96">
        <v>0</v>
      </c>
      <c r="K329" s="92" t="s">
        <v>695</v>
      </c>
      <c r="L329" s="92" t="s">
        <v>638</v>
      </c>
      <c r="O329" s="92" t="s">
        <v>941</v>
      </c>
      <c r="P329" s="92" t="s">
        <v>640</v>
      </c>
    </row>
    <row r="330" spans="2:16" x14ac:dyDescent="0.25">
      <c r="B330" s="92" t="s">
        <v>634</v>
      </c>
      <c r="C330" s="93">
        <v>44188</v>
      </c>
      <c r="D330" s="92" t="s">
        <v>940</v>
      </c>
      <c r="E330" s="92" t="s">
        <v>645</v>
      </c>
      <c r="F330" s="92" t="s">
        <v>60</v>
      </c>
      <c r="G330" s="94">
        <v>491.7</v>
      </c>
      <c r="H330" s="95">
        <v>11</v>
      </c>
      <c r="J330" s="96">
        <v>0</v>
      </c>
      <c r="K330" s="92" t="s">
        <v>695</v>
      </c>
      <c r="L330" s="92" t="s">
        <v>638</v>
      </c>
      <c r="O330" s="92" t="s">
        <v>941</v>
      </c>
      <c r="P330" s="92" t="s">
        <v>640</v>
      </c>
    </row>
    <row r="331" spans="2:16" x14ac:dyDescent="0.25">
      <c r="B331" s="92" t="s">
        <v>634</v>
      </c>
      <c r="C331" s="93">
        <v>44188</v>
      </c>
      <c r="D331" s="92" t="s">
        <v>940</v>
      </c>
      <c r="E331" s="92" t="s">
        <v>645</v>
      </c>
      <c r="F331" s="92" t="s">
        <v>60</v>
      </c>
      <c r="G331" s="94">
        <v>28.04</v>
      </c>
      <c r="H331" s="95">
        <v>13</v>
      </c>
      <c r="J331" s="96">
        <v>0</v>
      </c>
      <c r="K331" s="92" t="s">
        <v>695</v>
      </c>
      <c r="L331" s="92" t="s">
        <v>638</v>
      </c>
      <c r="O331" s="92" t="s">
        <v>941</v>
      </c>
      <c r="P331" s="92" t="s">
        <v>640</v>
      </c>
    </row>
    <row r="333" spans="2:16" x14ac:dyDescent="0.25">
      <c r="F333" s="97" t="s">
        <v>942</v>
      </c>
      <c r="G333" s="98">
        <f>SUM(G7:G332)</f>
        <v>15335.680000000008</v>
      </c>
    </row>
  </sheetData>
  <autoFilter ref="B6:P331" xr:uid="{00000000-0009-0000-0000-000000000000}">
    <sortState xmlns:xlrd2="http://schemas.microsoft.com/office/spreadsheetml/2017/richdata2" ref="B8:P698">
      <sortCondition ref="C7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C9E8-F735-4122-9A63-EEE787FE4561}">
  <sheetPr>
    <tabColor rgb="FF00B050"/>
  </sheetPr>
  <dimension ref="A1:J308"/>
  <sheetViews>
    <sheetView workbookViewId="0"/>
  </sheetViews>
  <sheetFormatPr defaultColWidth="9.140625" defaultRowHeight="12.75" x14ac:dyDescent="0.2"/>
  <cols>
    <col min="1" max="1" width="1.42578125" style="29" customWidth="1"/>
    <col min="2" max="2" width="5.7109375" style="29" customWidth="1"/>
    <col min="3" max="3" width="10.7109375" style="29" customWidth="1"/>
    <col min="4" max="4" width="39.28515625" style="29" customWidth="1"/>
    <col min="5" max="7" width="14.28515625" style="29" customWidth="1"/>
    <col min="8" max="8" width="87.42578125" style="29" customWidth="1"/>
    <col min="9" max="16384" width="9.140625" style="29"/>
  </cols>
  <sheetData>
    <row r="1" spans="1:10" customFormat="1" ht="7.5" customHeight="1" x14ac:dyDescent="0.25">
      <c r="A1" s="51" t="str" cm="1">
        <f t="array" aca="1" ref="A1" ca="1">MID(CELL("filename",A1),FIND("]",CELL("filename",A1))+1,255)</f>
        <v>WP RA5</v>
      </c>
      <c r="B1" s="51"/>
      <c r="D1" s="2"/>
    </row>
    <row r="2" spans="1:10" customFormat="1" ht="15" x14ac:dyDescent="0.25">
      <c r="B2" s="24" t="s">
        <v>451</v>
      </c>
      <c r="C2" s="29"/>
      <c r="D2" s="46"/>
    </row>
    <row r="3" spans="1:10" customFormat="1" ht="15" x14ac:dyDescent="0.25">
      <c r="B3" s="1" t="s">
        <v>981</v>
      </c>
      <c r="C3" s="29"/>
      <c r="D3" s="46"/>
    </row>
    <row r="4" spans="1:10" ht="7.5" customHeight="1" x14ac:dyDescent="0.2"/>
    <row r="5" spans="1:10" x14ac:dyDescent="0.2">
      <c r="E5" s="100"/>
      <c r="F5" s="100"/>
      <c r="G5" s="100"/>
    </row>
    <row r="6" spans="1:10" ht="15" customHeight="1" x14ac:dyDescent="0.25">
      <c r="B6" s="16" t="s">
        <v>417</v>
      </c>
      <c r="E6" s="100" t="s">
        <v>982</v>
      </c>
      <c r="F6" s="100" t="s">
        <v>984</v>
      </c>
      <c r="G6" s="100" t="s">
        <v>423</v>
      </c>
    </row>
    <row r="7" spans="1:10" ht="15" x14ac:dyDescent="0.25">
      <c r="B7" s="107" t="s">
        <v>418</v>
      </c>
      <c r="C7" s="31" t="s">
        <v>481</v>
      </c>
      <c r="D7" s="31" t="s">
        <v>482</v>
      </c>
      <c r="E7" s="73" t="s">
        <v>340</v>
      </c>
      <c r="F7" s="73" t="s">
        <v>983</v>
      </c>
      <c r="G7" s="73" t="s">
        <v>444</v>
      </c>
      <c r="H7" s="116" t="s">
        <v>483</v>
      </c>
    </row>
    <row r="8" spans="1:10" x14ac:dyDescent="0.2">
      <c r="C8" s="71" t="s">
        <v>419</v>
      </c>
      <c r="D8" s="72" t="s">
        <v>420</v>
      </c>
      <c r="E8" s="72" t="s">
        <v>421</v>
      </c>
      <c r="F8" s="72" t="s">
        <v>422</v>
      </c>
      <c r="G8" s="72" t="s">
        <v>430</v>
      </c>
      <c r="H8" s="72" t="s">
        <v>431</v>
      </c>
    </row>
    <row r="9" spans="1:10" ht="4.5" customHeight="1" x14ac:dyDescent="0.2">
      <c r="C9" s="33"/>
    </row>
    <row r="10" spans="1:10" ht="15" customHeight="1" x14ac:dyDescent="0.2">
      <c r="B10" s="72">
        <f>MAX($B$8:B9)+1</f>
        <v>1</v>
      </c>
      <c r="C10" s="108">
        <v>742006</v>
      </c>
      <c r="D10" s="8" t="s">
        <v>198</v>
      </c>
      <c r="E10" s="34">
        <f>-'WP RA5.1'!G40*0.493</f>
        <v>-29929.191900000002</v>
      </c>
      <c r="F10" s="34">
        <f>-E10</f>
        <v>29929.191900000002</v>
      </c>
      <c r="G10" s="34">
        <f>E10+F10</f>
        <v>0</v>
      </c>
      <c r="H10" s="202" t="s">
        <v>1112</v>
      </c>
    </row>
    <row r="11" spans="1:10" ht="15" customHeight="1" x14ac:dyDescent="0.2">
      <c r="B11" s="72"/>
      <c r="C11" s="109"/>
      <c r="D11" s="109"/>
      <c r="E11" s="110"/>
      <c r="F11" s="110"/>
      <c r="G11" s="110"/>
      <c r="H11" s="202"/>
      <c r="I11" s="109"/>
      <c r="J11" s="109"/>
    </row>
    <row r="12" spans="1:10" ht="15" customHeight="1" x14ac:dyDescent="0.2">
      <c r="B12" s="72"/>
      <c r="C12" s="109"/>
      <c r="D12" s="109"/>
      <c r="E12" s="110"/>
      <c r="F12" s="110"/>
      <c r="G12" s="110"/>
      <c r="H12" s="202"/>
      <c r="I12" s="109"/>
      <c r="J12" s="109"/>
    </row>
    <row r="13" spans="1:10" ht="15" customHeight="1" x14ac:dyDescent="0.2">
      <c r="B13" s="72"/>
      <c r="C13" s="109"/>
      <c r="D13" s="109"/>
      <c r="E13" s="110"/>
      <c r="F13" s="110"/>
      <c r="G13" s="110"/>
      <c r="H13" s="202"/>
      <c r="I13" s="109"/>
      <c r="J13" s="109"/>
    </row>
    <row r="14" spans="1:10" ht="15" customHeight="1" x14ac:dyDescent="0.2">
      <c r="B14" s="72"/>
      <c r="C14" s="109"/>
      <c r="D14" s="109"/>
      <c r="E14" s="110"/>
      <c r="F14" s="110"/>
      <c r="G14" s="110"/>
      <c r="H14" s="127"/>
      <c r="I14" s="109"/>
      <c r="J14" s="109"/>
    </row>
    <row r="15" spans="1:10" ht="15" customHeight="1" x14ac:dyDescent="0.2">
      <c r="B15" s="72"/>
      <c r="C15" s="109"/>
      <c r="D15" s="109"/>
      <c r="E15" s="110"/>
      <c r="F15" s="110"/>
      <c r="G15" s="110"/>
      <c r="H15" s="127"/>
      <c r="I15" s="109"/>
      <c r="J15" s="109"/>
    </row>
    <row r="16" spans="1:10" ht="15" customHeight="1" x14ac:dyDescent="0.2">
      <c r="B16" s="72"/>
      <c r="C16" s="109"/>
      <c r="D16" s="109"/>
      <c r="E16" s="110"/>
      <c r="F16" s="110"/>
      <c r="G16" s="110"/>
      <c r="H16" s="127"/>
      <c r="I16" s="109"/>
      <c r="J16" s="109"/>
    </row>
    <row r="17" spans="2:10" ht="15" customHeight="1" x14ac:dyDescent="0.2">
      <c r="B17" s="72"/>
      <c r="C17" s="109"/>
      <c r="D17" s="109"/>
      <c r="E17" s="110"/>
      <c r="F17" s="110"/>
      <c r="G17" s="110"/>
      <c r="H17" s="127"/>
      <c r="I17" s="109"/>
      <c r="J17" s="109"/>
    </row>
    <row r="18" spans="2:10" ht="15" customHeight="1" x14ac:dyDescent="0.2">
      <c r="B18" s="72"/>
      <c r="C18" s="109"/>
      <c r="D18" s="109"/>
      <c r="E18" s="110"/>
      <c r="F18" s="110"/>
      <c r="G18" s="110"/>
      <c r="H18" s="127"/>
      <c r="I18" s="109"/>
      <c r="J18" s="109"/>
    </row>
    <row r="19" spans="2:10" ht="15" customHeight="1" x14ac:dyDescent="0.2">
      <c r="B19" s="72"/>
      <c r="C19" s="109"/>
      <c r="D19" s="109"/>
      <c r="E19" s="110"/>
      <c r="F19" s="110"/>
      <c r="G19" s="110"/>
      <c r="H19" s="127"/>
      <c r="I19" s="109"/>
      <c r="J19" s="109"/>
    </row>
    <row r="20" spans="2:10" ht="3.75" customHeight="1" x14ac:dyDescent="0.2">
      <c r="B20" s="101"/>
      <c r="C20" s="111"/>
      <c r="D20" s="111"/>
      <c r="E20" s="112"/>
      <c r="F20" s="112"/>
      <c r="G20" s="112"/>
      <c r="H20" s="109"/>
      <c r="I20" s="109"/>
      <c r="J20" s="109"/>
    </row>
    <row r="21" spans="2:10" s="30" customFormat="1" ht="15" customHeight="1" x14ac:dyDescent="0.2">
      <c r="B21" s="99"/>
      <c r="C21" s="113"/>
      <c r="D21" s="113"/>
      <c r="E21" s="114"/>
      <c r="F21" s="114"/>
      <c r="G21" s="114"/>
      <c r="H21" s="115"/>
      <c r="I21" s="115"/>
      <c r="J21" s="115"/>
    </row>
    <row r="22" spans="2:10" ht="15" customHeight="1" x14ac:dyDescent="0.2">
      <c r="B22" s="101"/>
      <c r="C22" s="111"/>
      <c r="D22" s="111"/>
      <c r="E22" s="112"/>
      <c r="F22" s="109"/>
      <c r="G22" s="109"/>
      <c r="H22" s="109"/>
      <c r="I22" s="109"/>
      <c r="J22" s="109"/>
    </row>
    <row r="23" spans="2:10" ht="15" customHeight="1" x14ac:dyDescent="0.2">
      <c r="B23" s="101"/>
      <c r="C23" s="77"/>
      <c r="D23" s="102"/>
      <c r="E23" s="103"/>
    </row>
    <row r="24" spans="2:10" ht="15" customHeight="1" x14ac:dyDescent="0.2">
      <c r="B24" s="101"/>
      <c r="C24" s="71"/>
      <c r="D24" s="102"/>
      <c r="E24" s="103"/>
    </row>
    <row r="25" spans="2:10" ht="15" customHeight="1" x14ac:dyDescent="0.2">
      <c r="B25" s="101"/>
      <c r="C25" s="71"/>
      <c r="D25" s="102"/>
      <c r="E25" s="103"/>
    </row>
    <row r="26" spans="2:10" ht="15" customHeight="1" x14ac:dyDescent="0.2">
      <c r="B26" s="101"/>
      <c r="C26" s="71"/>
      <c r="D26" s="102"/>
      <c r="E26" s="103"/>
    </row>
    <row r="27" spans="2:10" ht="15" customHeight="1" x14ac:dyDescent="0.2">
      <c r="B27" s="101"/>
      <c r="C27" s="71"/>
      <c r="D27" s="102"/>
      <c r="E27" s="103"/>
    </row>
    <row r="28" spans="2:10" ht="15" customHeight="1" x14ac:dyDescent="0.2">
      <c r="B28" s="101"/>
      <c r="C28" s="71"/>
      <c r="D28" s="102"/>
      <c r="E28" s="103"/>
    </row>
    <row r="29" spans="2:10" ht="15" customHeight="1" x14ac:dyDescent="0.2">
      <c r="B29" s="101"/>
      <c r="C29" s="77"/>
      <c r="D29" s="102"/>
      <c r="E29" s="103"/>
    </row>
    <row r="30" spans="2:10" ht="15" customHeight="1" x14ac:dyDescent="0.2">
      <c r="B30" s="101"/>
      <c r="C30" s="71"/>
      <c r="D30" s="102"/>
      <c r="E30" s="103"/>
    </row>
    <row r="31" spans="2:10" ht="15" customHeight="1" x14ac:dyDescent="0.2">
      <c r="B31" s="101"/>
      <c r="C31" s="71"/>
      <c r="D31" s="102"/>
      <c r="E31" s="103"/>
    </row>
    <row r="32" spans="2:10" ht="15" customHeight="1" x14ac:dyDescent="0.2">
      <c r="B32" s="101"/>
      <c r="C32" s="71"/>
      <c r="D32" s="102"/>
      <c r="E32" s="103"/>
    </row>
    <row r="33" spans="2:5" ht="15" customHeight="1" x14ac:dyDescent="0.2">
      <c r="B33" s="101"/>
      <c r="C33" s="71"/>
      <c r="D33" s="102"/>
      <c r="E33" s="103"/>
    </row>
    <row r="34" spans="2:5" ht="15" customHeight="1" x14ac:dyDescent="0.2">
      <c r="B34" s="101"/>
      <c r="C34" s="71"/>
      <c r="D34" s="102"/>
      <c r="E34" s="103"/>
    </row>
    <row r="35" spans="2:5" ht="15" hidden="1" customHeight="1" x14ac:dyDescent="0.2">
      <c r="B35" s="101"/>
      <c r="C35" s="71"/>
      <c r="D35" s="102"/>
      <c r="E35" s="103"/>
    </row>
    <row r="36" spans="2:5" ht="15" hidden="1" customHeight="1" x14ac:dyDescent="0.2">
      <c r="B36" s="101"/>
      <c r="C36" s="71"/>
      <c r="D36" s="102"/>
      <c r="E36" s="103"/>
    </row>
    <row r="37" spans="2:5" ht="15" customHeight="1" x14ac:dyDescent="0.2">
      <c r="B37" s="101"/>
      <c r="C37" s="71"/>
      <c r="D37" s="102"/>
      <c r="E37" s="103"/>
    </row>
    <row r="38" spans="2:5" ht="15" hidden="1" customHeight="1" x14ac:dyDescent="0.2">
      <c r="B38" s="101"/>
      <c r="C38" s="71"/>
      <c r="D38" s="102"/>
      <c r="E38" s="103"/>
    </row>
    <row r="39" spans="2:5" ht="15" hidden="1" customHeight="1" x14ac:dyDescent="0.2">
      <c r="B39" s="101"/>
      <c r="C39" s="71"/>
      <c r="D39" s="102"/>
      <c r="E39" s="103"/>
    </row>
    <row r="40" spans="2:5" ht="15" customHeight="1" x14ac:dyDescent="0.2">
      <c r="B40" s="101"/>
      <c r="C40" s="71"/>
      <c r="D40" s="102"/>
      <c r="E40" s="103"/>
    </row>
    <row r="41" spans="2:5" ht="15" hidden="1" customHeight="1" x14ac:dyDescent="0.2">
      <c r="B41" s="101"/>
      <c r="C41" s="71"/>
      <c r="D41" s="102"/>
      <c r="E41" s="103"/>
    </row>
    <row r="42" spans="2:5" ht="15" customHeight="1" x14ac:dyDescent="0.2">
      <c r="B42" s="101"/>
      <c r="C42" s="71"/>
      <c r="D42" s="102"/>
      <c r="E42" s="103"/>
    </row>
    <row r="43" spans="2:5" ht="15" customHeight="1" x14ac:dyDescent="0.2">
      <c r="B43" s="101"/>
      <c r="C43" s="71"/>
      <c r="D43" s="102"/>
      <c r="E43" s="103"/>
    </row>
    <row r="44" spans="2:5" ht="15" customHeight="1" x14ac:dyDescent="0.2">
      <c r="B44" s="101"/>
      <c r="C44" s="71"/>
      <c r="D44" s="102"/>
      <c r="E44" s="103"/>
    </row>
    <row r="45" spans="2:5" ht="15" customHeight="1" x14ac:dyDescent="0.2">
      <c r="B45" s="101"/>
      <c r="C45" s="71"/>
      <c r="D45" s="102"/>
      <c r="E45" s="103"/>
    </row>
    <row r="46" spans="2:5" ht="15" hidden="1" customHeight="1" x14ac:dyDescent="0.2">
      <c r="B46" s="101"/>
      <c r="C46" s="71"/>
      <c r="D46" s="102"/>
      <c r="E46" s="103"/>
    </row>
    <row r="47" spans="2:5" ht="15" hidden="1" customHeight="1" x14ac:dyDescent="0.2">
      <c r="B47" s="101"/>
      <c r="C47" s="71"/>
      <c r="D47" s="102"/>
      <c r="E47" s="103"/>
    </row>
    <row r="48" spans="2:5" ht="15" customHeight="1" x14ac:dyDescent="0.2">
      <c r="B48" s="101"/>
      <c r="C48" s="71"/>
      <c r="D48" s="102"/>
      <c r="E48" s="103"/>
    </row>
    <row r="49" spans="2:5" ht="15" customHeight="1" x14ac:dyDescent="0.2">
      <c r="B49" s="101"/>
      <c r="C49" s="71"/>
      <c r="D49" s="102"/>
      <c r="E49" s="103"/>
    </row>
    <row r="50" spans="2:5" ht="15" hidden="1" customHeight="1" x14ac:dyDescent="0.2">
      <c r="B50" s="101"/>
      <c r="C50" s="71"/>
      <c r="D50" s="102"/>
      <c r="E50" s="103"/>
    </row>
    <row r="51" spans="2:5" ht="15" hidden="1" customHeight="1" x14ac:dyDescent="0.2">
      <c r="B51" s="101"/>
      <c r="C51" s="71"/>
      <c r="D51" s="102"/>
      <c r="E51" s="103"/>
    </row>
    <row r="52" spans="2:5" ht="15" customHeight="1" x14ac:dyDescent="0.2">
      <c r="B52" s="101"/>
      <c r="C52" s="71"/>
      <c r="D52" s="102"/>
      <c r="E52" s="103"/>
    </row>
    <row r="53" spans="2:5" ht="15" hidden="1" customHeight="1" x14ac:dyDescent="0.2">
      <c r="B53" s="101"/>
      <c r="C53" s="71"/>
      <c r="D53" s="102"/>
      <c r="E53" s="103"/>
    </row>
    <row r="54" spans="2:5" ht="15" customHeight="1" x14ac:dyDescent="0.2">
      <c r="B54" s="101"/>
      <c r="C54" s="71"/>
      <c r="D54" s="102"/>
      <c r="E54" s="103"/>
    </row>
    <row r="55" spans="2:5" ht="15" customHeight="1" x14ac:dyDescent="0.2">
      <c r="B55" s="101"/>
      <c r="C55" s="71"/>
      <c r="D55" s="102"/>
      <c r="E55" s="103"/>
    </row>
    <row r="56" spans="2:5" ht="15" customHeight="1" x14ac:dyDescent="0.2">
      <c r="B56" s="101"/>
      <c r="C56" s="71"/>
      <c r="D56" s="102"/>
      <c r="E56" s="103"/>
    </row>
    <row r="57" spans="2:5" ht="15" customHeight="1" x14ac:dyDescent="0.2">
      <c r="B57" s="101"/>
      <c r="C57" s="71"/>
      <c r="D57" s="102"/>
      <c r="E57" s="103"/>
    </row>
    <row r="58" spans="2:5" ht="15" customHeight="1" x14ac:dyDescent="0.2">
      <c r="B58" s="101"/>
      <c r="C58" s="71"/>
      <c r="D58" s="102"/>
      <c r="E58" s="103"/>
    </row>
    <row r="59" spans="2:5" ht="15" hidden="1" customHeight="1" x14ac:dyDescent="0.2">
      <c r="B59" s="101"/>
      <c r="C59" s="71"/>
      <c r="D59" s="102"/>
      <c r="E59" s="103"/>
    </row>
    <row r="60" spans="2:5" ht="15" customHeight="1" x14ac:dyDescent="0.2">
      <c r="B60" s="101"/>
      <c r="C60" s="71"/>
      <c r="D60" s="102"/>
      <c r="E60" s="103"/>
    </row>
    <row r="61" spans="2:5" ht="15" customHeight="1" x14ac:dyDescent="0.2">
      <c r="B61" s="101"/>
      <c r="C61" s="71"/>
      <c r="D61" s="102"/>
      <c r="E61" s="103"/>
    </row>
    <row r="62" spans="2:5" ht="15" hidden="1" customHeight="1" x14ac:dyDescent="0.2">
      <c r="B62" s="101"/>
      <c r="C62" s="71"/>
      <c r="D62" s="102"/>
      <c r="E62" s="103"/>
    </row>
    <row r="63" spans="2:5" ht="15" customHeight="1" x14ac:dyDescent="0.2">
      <c r="B63" s="101"/>
      <c r="C63" s="71"/>
      <c r="D63" s="102"/>
      <c r="E63" s="103"/>
    </row>
    <row r="64" spans="2:5" ht="15" customHeight="1" x14ac:dyDescent="0.2">
      <c r="B64" s="101"/>
      <c r="C64" s="71"/>
      <c r="D64" s="102"/>
      <c r="E64" s="103"/>
    </row>
    <row r="65" spans="2:5" ht="15" customHeight="1" x14ac:dyDescent="0.2">
      <c r="B65" s="101"/>
      <c r="C65" s="71"/>
      <c r="D65" s="102"/>
      <c r="E65" s="103"/>
    </row>
    <row r="66" spans="2:5" ht="15" hidden="1" customHeight="1" x14ac:dyDescent="0.2">
      <c r="B66" s="101"/>
      <c r="C66" s="71"/>
      <c r="D66" s="102"/>
      <c r="E66" s="103"/>
    </row>
    <row r="67" spans="2:5" ht="15" hidden="1" customHeight="1" x14ac:dyDescent="0.2">
      <c r="B67" s="101"/>
      <c r="C67" s="71"/>
      <c r="D67" s="102"/>
      <c r="E67" s="103"/>
    </row>
    <row r="68" spans="2:5" ht="15" customHeight="1" x14ac:dyDescent="0.2">
      <c r="B68" s="101"/>
      <c r="C68" s="71"/>
      <c r="D68" s="102"/>
      <c r="E68" s="103"/>
    </row>
    <row r="69" spans="2:5" ht="15" hidden="1" customHeight="1" x14ac:dyDescent="0.2">
      <c r="B69" s="101"/>
      <c r="C69" s="71"/>
      <c r="D69" s="102"/>
      <c r="E69" s="103"/>
    </row>
    <row r="70" spans="2:5" ht="15" hidden="1" customHeight="1" x14ac:dyDescent="0.2">
      <c r="B70" s="101"/>
      <c r="C70" s="71"/>
      <c r="D70" s="102"/>
      <c r="E70" s="103"/>
    </row>
    <row r="71" spans="2:5" ht="15" hidden="1" customHeight="1" x14ac:dyDescent="0.2">
      <c r="B71" s="101"/>
      <c r="C71" s="71"/>
      <c r="D71" s="102"/>
      <c r="E71" s="103"/>
    </row>
    <row r="72" spans="2:5" ht="15" customHeight="1" x14ac:dyDescent="0.2">
      <c r="B72" s="101"/>
      <c r="C72" s="71"/>
      <c r="D72" s="102"/>
      <c r="E72" s="103"/>
    </row>
    <row r="73" spans="2:5" ht="15" hidden="1" customHeight="1" x14ac:dyDescent="0.2">
      <c r="B73" s="101"/>
      <c r="C73" s="71"/>
      <c r="D73" s="102"/>
      <c r="E73" s="103"/>
    </row>
    <row r="74" spans="2:5" ht="15" customHeight="1" x14ac:dyDescent="0.2">
      <c r="B74" s="101"/>
      <c r="C74" s="71"/>
      <c r="D74" s="102"/>
      <c r="E74" s="103"/>
    </row>
    <row r="75" spans="2:5" ht="15" customHeight="1" x14ac:dyDescent="0.2">
      <c r="B75" s="101"/>
      <c r="C75" s="71"/>
      <c r="D75" s="102"/>
      <c r="E75" s="103"/>
    </row>
    <row r="76" spans="2:5" ht="15" customHeight="1" x14ac:dyDescent="0.2">
      <c r="B76" s="101"/>
      <c r="C76" s="71"/>
      <c r="D76" s="102"/>
      <c r="E76" s="103"/>
    </row>
    <row r="77" spans="2:5" ht="15" customHeight="1" x14ac:dyDescent="0.2">
      <c r="B77" s="101"/>
      <c r="C77" s="71"/>
      <c r="D77" s="102"/>
      <c r="E77" s="103"/>
    </row>
    <row r="78" spans="2:5" ht="15" hidden="1" customHeight="1" x14ac:dyDescent="0.2">
      <c r="B78" s="101"/>
      <c r="C78" s="71"/>
      <c r="D78" s="102"/>
      <c r="E78" s="103"/>
    </row>
    <row r="79" spans="2:5" ht="15" hidden="1" customHeight="1" x14ac:dyDescent="0.2">
      <c r="B79" s="101"/>
      <c r="C79" s="71"/>
      <c r="D79" s="102"/>
      <c r="E79" s="103"/>
    </row>
    <row r="80" spans="2:5" ht="15" customHeight="1" x14ac:dyDescent="0.2">
      <c r="B80" s="101"/>
      <c r="C80" s="71"/>
      <c r="D80" s="102"/>
      <c r="E80" s="103"/>
    </row>
    <row r="81" spans="2:5" ht="15" hidden="1" customHeight="1" x14ac:dyDescent="0.2">
      <c r="B81" s="101"/>
      <c r="C81" s="71"/>
      <c r="D81" s="102"/>
      <c r="E81" s="103"/>
    </row>
    <row r="82" spans="2:5" ht="15" hidden="1" customHeight="1" x14ac:dyDescent="0.2">
      <c r="B82" s="101"/>
      <c r="C82" s="71"/>
      <c r="D82" s="102"/>
      <c r="E82" s="103"/>
    </row>
    <row r="83" spans="2:5" ht="15" customHeight="1" x14ac:dyDescent="0.2">
      <c r="B83" s="101"/>
      <c r="C83" s="71"/>
      <c r="D83" s="102"/>
      <c r="E83" s="103"/>
    </row>
    <row r="84" spans="2:5" ht="15" customHeight="1" x14ac:dyDescent="0.2">
      <c r="B84" s="101"/>
      <c r="C84" s="71"/>
      <c r="D84" s="102"/>
      <c r="E84" s="103"/>
    </row>
    <row r="85" spans="2:5" ht="15" hidden="1" customHeight="1" x14ac:dyDescent="0.2">
      <c r="B85" s="101"/>
      <c r="C85" s="71"/>
      <c r="D85" s="102"/>
      <c r="E85" s="103"/>
    </row>
    <row r="86" spans="2:5" ht="15" hidden="1" customHeight="1" x14ac:dyDescent="0.2">
      <c r="B86" s="101"/>
      <c r="C86" s="71"/>
      <c r="D86" s="102"/>
      <c r="E86" s="103"/>
    </row>
    <row r="87" spans="2:5" ht="15" customHeight="1" x14ac:dyDescent="0.2">
      <c r="B87" s="101"/>
      <c r="C87" s="71"/>
      <c r="D87" s="102"/>
      <c r="E87" s="103"/>
    </row>
    <row r="88" spans="2:5" ht="15" hidden="1" customHeight="1" x14ac:dyDescent="0.2">
      <c r="B88" s="101"/>
      <c r="C88" s="71"/>
      <c r="D88" s="102"/>
      <c r="E88" s="103"/>
    </row>
    <row r="89" spans="2:5" ht="15" customHeight="1" x14ac:dyDescent="0.2">
      <c r="B89" s="101"/>
      <c r="C89" s="71"/>
      <c r="D89" s="102"/>
      <c r="E89" s="103"/>
    </row>
    <row r="90" spans="2:5" ht="15" hidden="1" customHeight="1" x14ac:dyDescent="0.2">
      <c r="B90" s="101"/>
      <c r="C90" s="71"/>
      <c r="D90" s="102"/>
      <c r="E90" s="103"/>
    </row>
    <row r="91" spans="2:5" ht="15" hidden="1" customHeight="1" x14ac:dyDescent="0.2">
      <c r="B91" s="101"/>
      <c r="C91" s="71"/>
      <c r="D91" s="102"/>
      <c r="E91" s="103"/>
    </row>
    <row r="92" spans="2:5" ht="15" customHeight="1" x14ac:dyDescent="0.2">
      <c r="B92" s="101"/>
      <c r="C92" s="71"/>
      <c r="D92" s="102"/>
      <c r="E92" s="103"/>
    </row>
    <row r="93" spans="2:5" ht="15" hidden="1" customHeight="1" x14ac:dyDescent="0.2">
      <c r="B93" s="101"/>
      <c r="C93" s="71"/>
      <c r="D93" s="102"/>
      <c r="E93" s="103"/>
    </row>
    <row r="94" spans="2:5" ht="15" customHeight="1" x14ac:dyDescent="0.2">
      <c r="B94" s="101"/>
      <c r="C94" s="71"/>
      <c r="D94" s="102"/>
      <c r="E94" s="103"/>
    </row>
    <row r="95" spans="2:5" ht="15" hidden="1" customHeight="1" x14ac:dyDescent="0.2">
      <c r="B95" s="101"/>
      <c r="C95" s="71"/>
      <c r="D95" s="102"/>
      <c r="E95" s="103"/>
    </row>
    <row r="96" spans="2:5" ht="15" customHeight="1" x14ac:dyDescent="0.2">
      <c r="B96" s="101"/>
      <c r="C96" s="71"/>
      <c r="D96" s="102"/>
      <c r="E96" s="103"/>
    </row>
    <row r="97" spans="2:5" ht="15" customHeight="1" x14ac:dyDescent="0.2">
      <c r="B97" s="101"/>
      <c r="C97" s="71"/>
      <c r="D97" s="102"/>
      <c r="E97" s="103"/>
    </row>
    <row r="98" spans="2:5" ht="15" customHeight="1" x14ac:dyDescent="0.2">
      <c r="B98" s="101"/>
      <c r="C98" s="71"/>
      <c r="D98" s="102"/>
      <c r="E98" s="103"/>
    </row>
    <row r="99" spans="2:5" ht="15" hidden="1" customHeight="1" x14ac:dyDescent="0.2">
      <c r="B99" s="101"/>
      <c r="C99" s="71"/>
      <c r="D99" s="102"/>
      <c r="E99" s="103"/>
    </row>
    <row r="100" spans="2:5" ht="15" hidden="1" customHeight="1" x14ac:dyDescent="0.2">
      <c r="B100" s="101"/>
      <c r="C100" s="71"/>
      <c r="D100" s="102"/>
      <c r="E100" s="103"/>
    </row>
    <row r="101" spans="2:5" ht="15" customHeight="1" x14ac:dyDescent="0.2">
      <c r="B101" s="101"/>
      <c r="C101" s="71"/>
      <c r="D101" s="102"/>
      <c r="E101" s="103"/>
    </row>
    <row r="102" spans="2:5" ht="15" hidden="1" customHeight="1" x14ac:dyDescent="0.2">
      <c r="B102" s="101"/>
      <c r="C102" s="71"/>
      <c r="D102" s="102"/>
      <c r="E102" s="103"/>
    </row>
    <row r="103" spans="2:5" ht="15" customHeight="1" x14ac:dyDescent="0.2">
      <c r="B103" s="101"/>
      <c r="C103" s="71"/>
      <c r="D103" s="102"/>
      <c r="E103" s="103"/>
    </row>
    <row r="104" spans="2:5" ht="15" hidden="1" customHeight="1" x14ac:dyDescent="0.2">
      <c r="B104" s="101"/>
      <c r="C104" s="71"/>
      <c r="D104" s="102"/>
      <c r="E104" s="103"/>
    </row>
    <row r="105" spans="2:5" ht="15" customHeight="1" x14ac:dyDescent="0.2">
      <c r="B105" s="101"/>
      <c r="C105" s="71"/>
      <c r="D105" s="102"/>
      <c r="E105" s="103"/>
    </row>
    <row r="106" spans="2:5" ht="15" customHeight="1" x14ac:dyDescent="0.2">
      <c r="B106" s="101"/>
      <c r="C106" s="71"/>
      <c r="D106" s="102"/>
      <c r="E106" s="103"/>
    </row>
    <row r="107" spans="2:5" ht="15" customHeight="1" x14ac:dyDescent="0.2">
      <c r="B107" s="101"/>
      <c r="C107" s="71"/>
      <c r="D107" s="102"/>
      <c r="E107" s="103"/>
    </row>
    <row r="108" spans="2:5" ht="15" customHeight="1" x14ac:dyDescent="0.2">
      <c r="B108" s="101"/>
      <c r="C108" s="71"/>
      <c r="D108" s="102"/>
      <c r="E108" s="103"/>
    </row>
    <row r="109" spans="2:5" ht="15" hidden="1" customHeight="1" x14ac:dyDescent="0.2">
      <c r="B109" s="101"/>
      <c r="C109" s="71"/>
      <c r="D109" s="102"/>
      <c r="E109" s="103"/>
    </row>
    <row r="110" spans="2:5" ht="15" customHeight="1" x14ac:dyDescent="0.2">
      <c r="B110" s="101"/>
      <c r="C110" s="71"/>
      <c r="D110" s="102"/>
      <c r="E110" s="103"/>
    </row>
    <row r="111" spans="2:5" ht="15" customHeight="1" x14ac:dyDescent="0.2">
      <c r="B111" s="101"/>
      <c r="C111" s="71"/>
      <c r="D111" s="102"/>
      <c r="E111" s="103"/>
    </row>
    <row r="112" spans="2:5" ht="15" customHeight="1" x14ac:dyDescent="0.2">
      <c r="B112" s="101"/>
      <c r="C112" s="71"/>
      <c r="D112" s="102"/>
      <c r="E112" s="103"/>
    </row>
    <row r="113" spans="2:5" ht="15" customHeight="1" x14ac:dyDescent="0.2">
      <c r="B113" s="101"/>
      <c r="C113" s="71"/>
      <c r="D113" s="102"/>
      <c r="E113" s="103"/>
    </row>
    <row r="114" spans="2:5" ht="15" customHeight="1" x14ac:dyDescent="0.2">
      <c r="B114" s="101"/>
      <c r="C114" s="71"/>
      <c r="D114" s="102"/>
      <c r="E114" s="103"/>
    </row>
    <row r="115" spans="2:5" ht="15" customHeight="1" x14ac:dyDescent="0.2">
      <c r="B115" s="101"/>
      <c r="C115" s="71"/>
      <c r="D115" s="102"/>
      <c r="E115" s="103"/>
    </row>
    <row r="116" spans="2:5" ht="15" customHeight="1" x14ac:dyDescent="0.2">
      <c r="B116" s="101"/>
      <c r="C116" s="71"/>
      <c r="D116" s="102"/>
      <c r="E116" s="103"/>
    </row>
    <row r="117" spans="2:5" ht="15" customHeight="1" x14ac:dyDescent="0.2">
      <c r="B117" s="101"/>
      <c r="C117" s="71"/>
      <c r="D117" s="102"/>
      <c r="E117" s="103"/>
    </row>
    <row r="118" spans="2:5" ht="15" customHeight="1" x14ac:dyDescent="0.2">
      <c r="B118" s="101"/>
      <c r="C118" s="71"/>
      <c r="D118" s="102"/>
      <c r="E118" s="103"/>
    </row>
    <row r="119" spans="2:5" ht="15" customHeight="1" x14ac:dyDescent="0.2">
      <c r="B119" s="101"/>
      <c r="C119" s="71"/>
      <c r="D119" s="102"/>
      <c r="E119" s="103"/>
    </row>
    <row r="120" spans="2:5" ht="15" customHeight="1" x14ac:dyDescent="0.2">
      <c r="B120" s="101"/>
      <c r="C120" s="71"/>
      <c r="D120" s="102"/>
      <c r="E120" s="103"/>
    </row>
    <row r="121" spans="2:5" ht="15" customHeight="1" x14ac:dyDescent="0.2">
      <c r="B121" s="102"/>
      <c r="C121" s="71"/>
      <c r="D121" s="102"/>
      <c r="E121" s="102"/>
    </row>
    <row r="122" spans="2:5" x14ac:dyDescent="0.2">
      <c r="B122" s="102"/>
      <c r="C122" s="71"/>
      <c r="D122" s="102"/>
      <c r="E122" s="102"/>
    </row>
    <row r="123" spans="2:5" x14ac:dyDescent="0.2">
      <c r="B123" s="102"/>
      <c r="C123" s="71"/>
      <c r="D123" s="102"/>
      <c r="E123" s="102"/>
    </row>
    <row r="124" spans="2:5" x14ac:dyDescent="0.2">
      <c r="B124" s="102"/>
      <c r="C124" s="71"/>
      <c r="D124" s="102"/>
      <c r="E124" s="102"/>
    </row>
    <row r="125" spans="2:5" x14ac:dyDescent="0.2">
      <c r="B125" s="102"/>
      <c r="C125" s="71"/>
      <c r="D125" s="102"/>
      <c r="E125" s="102"/>
    </row>
    <row r="126" spans="2:5" x14ac:dyDescent="0.2">
      <c r="B126" s="102"/>
      <c r="C126" s="71"/>
      <c r="D126" s="102"/>
      <c r="E126" s="102"/>
    </row>
    <row r="127" spans="2:5" x14ac:dyDescent="0.2">
      <c r="B127" s="102"/>
      <c r="C127" s="71"/>
      <c r="D127" s="102"/>
      <c r="E127" s="102"/>
    </row>
    <row r="128" spans="2:5" x14ac:dyDescent="0.2">
      <c r="B128" s="102"/>
      <c r="C128" s="71"/>
      <c r="D128" s="102"/>
      <c r="E128" s="102"/>
    </row>
    <row r="129" spans="2:5" x14ac:dyDescent="0.2">
      <c r="B129" s="102"/>
      <c r="C129" s="71"/>
      <c r="D129" s="102"/>
      <c r="E129" s="102"/>
    </row>
    <row r="130" spans="2:5" x14ac:dyDescent="0.2">
      <c r="B130" s="102"/>
      <c r="C130" s="71"/>
      <c r="D130" s="102"/>
      <c r="E130" s="102"/>
    </row>
    <row r="131" spans="2:5" x14ac:dyDescent="0.2">
      <c r="B131" s="102"/>
      <c r="C131" s="33"/>
      <c r="D131" s="102"/>
      <c r="E131" s="102"/>
    </row>
    <row r="132" spans="2:5" x14ac:dyDescent="0.2">
      <c r="B132" s="102"/>
      <c r="C132" s="102"/>
      <c r="D132" s="102"/>
      <c r="E132" s="102"/>
    </row>
    <row r="133" spans="2:5" x14ac:dyDescent="0.2">
      <c r="B133" s="102"/>
      <c r="C133" s="102"/>
      <c r="D133" s="102"/>
      <c r="E133" s="102"/>
    </row>
    <row r="134" spans="2:5" x14ac:dyDescent="0.2">
      <c r="B134" s="102"/>
      <c r="C134" s="102"/>
      <c r="D134" s="102"/>
      <c r="E134" s="102"/>
    </row>
    <row r="135" spans="2:5" x14ac:dyDescent="0.2">
      <c r="B135" s="102"/>
      <c r="C135" s="102"/>
      <c r="D135" s="102"/>
      <c r="E135" s="102"/>
    </row>
    <row r="136" spans="2:5" x14ac:dyDescent="0.2">
      <c r="B136" s="102"/>
      <c r="C136" s="102"/>
      <c r="D136" s="102"/>
      <c r="E136" s="102"/>
    </row>
    <row r="137" spans="2:5" x14ac:dyDescent="0.2">
      <c r="B137" s="102"/>
      <c r="C137" s="102"/>
      <c r="D137" s="102"/>
      <c r="E137" s="102"/>
    </row>
    <row r="138" spans="2:5" x14ac:dyDescent="0.2">
      <c r="B138" s="102"/>
      <c r="C138" s="102"/>
      <c r="D138" s="102"/>
      <c r="E138" s="102"/>
    </row>
    <row r="139" spans="2:5" x14ac:dyDescent="0.2">
      <c r="B139" s="102"/>
      <c r="C139" s="102"/>
      <c r="D139" s="102"/>
      <c r="E139" s="102"/>
    </row>
    <row r="140" spans="2:5" x14ac:dyDescent="0.2">
      <c r="B140" s="102"/>
      <c r="C140" s="102"/>
      <c r="D140" s="102"/>
      <c r="E140" s="102"/>
    </row>
    <row r="141" spans="2:5" x14ac:dyDescent="0.2">
      <c r="B141" s="102"/>
      <c r="C141" s="102"/>
      <c r="D141" s="102"/>
      <c r="E141" s="102"/>
    </row>
    <row r="142" spans="2:5" x14ac:dyDescent="0.2">
      <c r="B142" s="102"/>
      <c r="C142" s="102"/>
      <c r="D142" s="102"/>
      <c r="E142" s="102"/>
    </row>
    <row r="143" spans="2:5" x14ac:dyDescent="0.2">
      <c r="B143" s="102"/>
      <c r="C143" s="102"/>
      <c r="D143" s="102"/>
      <c r="E143" s="102"/>
    </row>
    <row r="144" spans="2:5" x14ac:dyDescent="0.2">
      <c r="B144" s="102"/>
      <c r="C144" s="102"/>
      <c r="D144" s="102"/>
      <c r="E144" s="102"/>
    </row>
    <row r="145" spans="2:5" x14ac:dyDescent="0.2">
      <c r="B145" s="102"/>
      <c r="C145" s="102"/>
      <c r="D145" s="102"/>
      <c r="E145" s="102"/>
    </row>
    <row r="146" spans="2:5" x14ac:dyDescent="0.2">
      <c r="B146" s="102"/>
      <c r="C146" s="102"/>
      <c r="D146" s="102"/>
      <c r="E146" s="102"/>
    </row>
    <row r="147" spans="2:5" x14ac:dyDescent="0.2">
      <c r="B147" s="102"/>
      <c r="C147" s="102"/>
      <c r="D147" s="102"/>
      <c r="E147" s="102"/>
    </row>
    <row r="148" spans="2:5" x14ac:dyDescent="0.2">
      <c r="B148" s="102"/>
      <c r="C148" s="102"/>
      <c r="D148" s="102"/>
      <c r="E148" s="102"/>
    </row>
    <row r="149" spans="2:5" x14ac:dyDescent="0.2">
      <c r="B149" s="102"/>
      <c r="C149" s="102"/>
      <c r="D149" s="102"/>
      <c r="E149" s="102"/>
    </row>
    <row r="150" spans="2:5" x14ac:dyDescent="0.2">
      <c r="B150" s="102"/>
      <c r="C150" s="102"/>
      <c r="D150" s="102"/>
      <c r="E150" s="102"/>
    </row>
    <row r="151" spans="2:5" x14ac:dyDescent="0.2">
      <c r="B151" s="102"/>
      <c r="C151" s="102"/>
      <c r="D151" s="102"/>
      <c r="E151" s="102"/>
    </row>
    <row r="152" spans="2:5" x14ac:dyDescent="0.2">
      <c r="B152" s="102"/>
      <c r="C152" s="102"/>
      <c r="D152" s="102"/>
      <c r="E152" s="102"/>
    </row>
    <row r="153" spans="2:5" x14ac:dyDescent="0.2">
      <c r="B153" s="102"/>
      <c r="C153" s="102"/>
      <c r="D153" s="102"/>
      <c r="E153" s="102"/>
    </row>
    <row r="154" spans="2:5" x14ac:dyDescent="0.2">
      <c r="B154" s="102"/>
      <c r="C154" s="102"/>
      <c r="D154" s="102"/>
      <c r="E154" s="102"/>
    </row>
    <row r="155" spans="2:5" x14ac:dyDescent="0.2">
      <c r="B155" s="102"/>
      <c r="C155" s="102"/>
      <c r="D155" s="102"/>
      <c r="E155" s="102"/>
    </row>
    <row r="156" spans="2:5" x14ac:dyDescent="0.2">
      <c r="B156" s="102"/>
      <c r="C156" s="102"/>
      <c r="D156" s="102"/>
      <c r="E156" s="102"/>
    </row>
    <row r="157" spans="2:5" x14ac:dyDescent="0.2">
      <c r="B157" s="102"/>
      <c r="C157" s="102"/>
      <c r="D157" s="102"/>
      <c r="E157" s="102"/>
    </row>
    <row r="158" spans="2:5" x14ac:dyDescent="0.2">
      <c r="B158" s="102"/>
      <c r="C158" s="102"/>
      <c r="D158" s="102"/>
      <c r="E158" s="102"/>
    </row>
    <row r="159" spans="2:5" x14ac:dyDescent="0.2">
      <c r="B159" s="102"/>
      <c r="C159" s="102"/>
      <c r="D159" s="102"/>
      <c r="E159" s="102"/>
    </row>
    <row r="160" spans="2:5" x14ac:dyDescent="0.2">
      <c r="B160" s="102"/>
      <c r="C160" s="102"/>
      <c r="D160" s="102"/>
      <c r="E160" s="102"/>
    </row>
    <row r="161" spans="2:5" x14ac:dyDescent="0.2">
      <c r="B161" s="102"/>
      <c r="C161" s="102"/>
      <c r="D161" s="102"/>
      <c r="E161" s="102"/>
    </row>
    <row r="162" spans="2:5" x14ac:dyDescent="0.2">
      <c r="B162" s="102"/>
      <c r="C162" s="102"/>
      <c r="D162" s="102"/>
      <c r="E162" s="102"/>
    </row>
    <row r="163" spans="2:5" x14ac:dyDescent="0.2">
      <c r="B163" s="102"/>
      <c r="C163" s="102"/>
      <c r="D163" s="102"/>
      <c r="E163" s="102"/>
    </row>
    <row r="164" spans="2:5" x14ac:dyDescent="0.2">
      <c r="B164" s="102"/>
      <c r="C164" s="102"/>
      <c r="D164" s="102"/>
      <c r="E164" s="102"/>
    </row>
    <row r="165" spans="2:5" x14ac:dyDescent="0.2">
      <c r="B165" s="102"/>
      <c r="C165" s="102"/>
      <c r="D165" s="102"/>
      <c r="E165" s="102"/>
    </row>
    <row r="166" spans="2:5" x14ac:dyDescent="0.2">
      <c r="B166" s="102"/>
      <c r="C166" s="102"/>
      <c r="D166" s="102"/>
      <c r="E166" s="102"/>
    </row>
    <row r="167" spans="2:5" x14ac:dyDescent="0.2">
      <c r="B167" s="102"/>
      <c r="C167" s="102"/>
      <c r="D167" s="102"/>
      <c r="E167" s="102"/>
    </row>
    <row r="168" spans="2:5" x14ac:dyDescent="0.2">
      <c r="B168" s="102"/>
      <c r="C168" s="102"/>
      <c r="D168" s="102"/>
      <c r="E168" s="102"/>
    </row>
    <row r="169" spans="2:5" x14ac:dyDescent="0.2">
      <c r="B169" s="102"/>
      <c r="C169" s="102"/>
      <c r="D169" s="102"/>
      <c r="E169" s="102"/>
    </row>
    <row r="170" spans="2:5" x14ac:dyDescent="0.2">
      <c r="B170" s="102"/>
      <c r="C170" s="102"/>
      <c r="D170" s="102"/>
      <c r="E170" s="102"/>
    </row>
    <row r="171" spans="2:5" x14ac:dyDescent="0.2">
      <c r="B171" s="102"/>
      <c r="C171" s="102"/>
      <c r="D171" s="102"/>
      <c r="E171" s="102"/>
    </row>
    <row r="172" spans="2:5" x14ac:dyDescent="0.2">
      <c r="B172" s="102"/>
      <c r="C172" s="102"/>
      <c r="D172" s="102"/>
      <c r="E172" s="102"/>
    </row>
    <row r="173" spans="2:5" x14ac:dyDescent="0.2">
      <c r="B173" s="102"/>
      <c r="C173" s="102"/>
      <c r="D173" s="102"/>
      <c r="E173" s="102"/>
    </row>
    <row r="174" spans="2:5" x14ac:dyDescent="0.2">
      <c r="B174" s="102"/>
      <c r="C174" s="102"/>
      <c r="D174" s="102"/>
      <c r="E174" s="102"/>
    </row>
    <row r="175" spans="2:5" x14ac:dyDescent="0.2">
      <c r="B175" s="102"/>
      <c r="C175" s="102"/>
      <c r="D175" s="102"/>
      <c r="E175" s="102"/>
    </row>
    <row r="176" spans="2:5" x14ac:dyDescent="0.2">
      <c r="B176" s="102"/>
      <c r="C176" s="102"/>
      <c r="D176" s="102"/>
      <c r="E176" s="102"/>
    </row>
    <row r="177" spans="2:5" x14ac:dyDescent="0.2">
      <c r="B177" s="102"/>
      <c r="C177" s="102"/>
      <c r="D177" s="102"/>
      <c r="E177" s="102"/>
    </row>
    <row r="178" spans="2:5" x14ac:dyDescent="0.2">
      <c r="B178" s="102"/>
      <c r="C178" s="102"/>
      <c r="D178" s="102"/>
      <c r="E178" s="102"/>
    </row>
    <row r="179" spans="2:5" x14ac:dyDescent="0.2">
      <c r="B179" s="102"/>
      <c r="C179" s="102"/>
      <c r="D179" s="102"/>
      <c r="E179" s="102"/>
    </row>
    <row r="180" spans="2:5" x14ac:dyDescent="0.2">
      <c r="B180" s="102"/>
      <c r="C180" s="102"/>
      <c r="D180" s="102"/>
      <c r="E180" s="102"/>
    </row>
    <row r="181" spans="2:5" x14ac:dyDescent="0.2">
      <c r="B181" s="102"/>
      <c r="C181" s="102"/>
      <c r="D181" s="102"/>
      <c r="E181" s="102"/>
    </row>
    <row r="182" spans="2:5" x14ac:dyDescent="0.2">
      <c r="B182" s="102"/>
      <c r="C182" s="102"/>
      <c r="D182" s="102"/>
      <c r="E182" s="102"/>
    </row>
    <row r="183" spans="2:5" x14ac:dyDescent="0.2">
      <c r="B183" s="102"/>
      <c r="C183" s="102"/>
      <c r="D183" s="102"/>
      <c r="E183" s="102"/>
    </row>
    <row r="184" spans="2:5" x14ac:dyDescent="0.2">
      <c r="B184" s="102"/>
      <c r="C184" s="102"/>
      <c r="D184" s="102"/>
      <c r="E184" s="102"/>
    </row>
    <row r="185" spans="2:5" x14ac:dyDescent="0.2">
      <c r="B185" s="102"/>
      <c r="C185" s="102"/>
      <c r="D185" s="102"/>
      <c r="E185" s="102"/>
    </row>
    <row r="186" spans="2:5" x14ac:dyDescent="0.2">
      <c r="B186" s="102"/>
      <c r="C186" s="102"/>
      <c r="D186" s="102"/>
      <c r="E186" s="102"/>
    </row>
    <row r="187" spans="2:5" x14ac:dyDescent="0.2">
      <c r="B187" s="102"/>
      <c r="C187" s="102"/>
      <c r="D187" s="102"/>
      <c r="E187" s="102"/>
    </row>
    <row r="188" spans="2:5" x14ac:dyDescent="0.2">
      <c r="B188" s="102"/>
      <c r="C188" s="102"/>
      <c r="D188" s="102"/>
      <c r="E188" s="102"/>
    </row>
    <row r="189" spans="2:5" x14ac:dyDescent="0.2">
      <c r="B189" s="102"/>
      <c r="C189" s="102"/>
      <c r="D189" s="102"/>
      <c r="E189" s="102"/>
    </row>
    <row r="190" spans="2:5" x14ac:dyDescent="0.2">
      <c r="B190" s="102"/>
      <c r="C190" s="102"/>
      <c r="D190" s="102"/>
      <c r="E190" s="102"/>
    </row>
    <row r="191" spans="2:5" x14ac:dyDescent="0.2">
      <c r="B191" s="102"/>
      <c r="C191" s="102"/>
      <c r="D191" s="102"/>
      <c r="E191" s="102"/>
    </row>
    <row r="192" spans="2:5" x14ac:dyDescent="0.2">
      <c r="B192" s="102"/>
      <c r="C192" s="102"/>
      <c r="D192" s="102"/>
      <c r="E192" s="102"/>
    </row>
    <row r="193" spans="2:5" x14ac:dyDescent="0.2">
      <c r="B193" s="102"/>
      <c r="C193" s="102"/>
      <c r="D193" s="102"/>
      <c r="E193" s="102"/>
    </row>
    <row r="194" spans="2:5" x14ac:dyDescent="0.2">
      <c r="B194" s="102"/>
      <c r="C194" s="102"/>
      <c r="D194" s="102"/>
      <c r="E194" s="102"/>
    </row>
    <row r="195" spans="2:5" x14ac:dyDescent="0.2">
      <c r="B195" s="102"/>
      <c r="C195" s="102"/>
      <c r="D195" s="102"/>
      <c r="E195" s="102"/>
    </row>
    <row r="196" spans="2:5" x14ac:dyDescent="0.2">
      <c r="B196" s="102"/>
      <c r="C196" s="102"/>
      <c r="D196" s="102"/>
      <c r="E196" s="102"/>
    </row>
    <row r="197" spans="2:5" x14ac:dyDescent="0.2">
      <c r="B197" s="102"/>
      <c r="C197" s="102"/>
      <c r="D197" s="102"/>
      <c r="E197" s="102"/>
    </row>
    <row r="198" spans="2:5" x14ac:dyDescent="0.2">
      <c r="B198" s="102"/>
      <c r="C198" s="102"/>
      <c r="D198" s="102"/>
      <c r="E198" s="102"/>
    </row>
    <row r="199" spans="2:5" x14ac:dyDescent="0.2">
      <c r="B199" s="102"/>
      <c r="C199" s="102"/>
      <c r="D199" s="102"/>
      <c r="E199" s="102"/>
    </row>
    <row r="200" spans="2:5" x14ac:dyDescent="0.2">
      <c r="B200" s="102"/>
      <c r="C200" s="102"/>
      <c r="D200" s="102"/>
      <c r="E200" s="102"/>
    </row>
    <row r="201" spans="2:5" x14ac:dyDescent="0.2">
      <c r="B201" s="102"/>
      <c r="C201" s="102"/>
      <c r="D201" s="102"/>
      <c r="E201" s="102"/>
    </row>
    <row r="202" spans="2:5" x14ac:dyDescent="0.2">
      <c r="B202" s="102"/>
      <c r="C202" s="102"/>
      <c r="D202" s="102"/>
      <c r="E202" s="102"/>
    </row>
    <row r="203" spans="2:5" x14ac:dyDescent="0.2">
      <c r="B203" s="102"/>
      <c r="C203" s="102"/>
      <c r="D203" s="102"/>
      <c r="E203" s="102"/>
    </row>
    <row r="204" spans="2:5" x14ac:dyDescent="0.2">
      <c r="B204" s="102"/>
      <c r="C204" s="102"/>
      <c r="D204" s="102"/>
      <c r="E204" s="102"/>
    </row>
    <row r="205" spans="2:5" x14ac:dyDescent="0.2">
      <c r="B205" s="102"/>
      <c r="C205" s="102"/>
      <c r="D205" s="102"/>
      <c r="E205" s="102"/>
    </row>
    <row r="206" spans="2:5" x14ac:dyDescent="0.2">
      <c r="B206" s="102"/>
      <c r="C206" s="102"/>
      <c r="D206" s="102"/>
      <c r="E206" s="102"/>
    </row>
    <row r="207" spans="2:5" x14ac:dyDescent="0.2">
      <c r="B207" s="102"/>
      <c r="C207" s="102"/>
      <c r="D207" s="102"/>
      <c r="E207" s="102"/>
    </row>
    <row r="208" spans="2:5" x14ac:dyDescent="0.2">
      <c r="B208" s="102"/>
      <c r="C208" s="102"/>
      <c r="D208" s="102"/>
      <c r="E208" s="102"/>
    </row>
    <row r="209" spans="2:5" x14ac:dyDescent="0.2">
      <c r="B209" s="102"/>
      <c r="C209" s="102"/>
      <c r="D209" s="102"/>
      <c r="E209" s="102"/>
    </row>
    <row r="210" spans="2:5" x14ac:dyDescent="0.2">
      <c r="B210" s="102"/>
      <c r="C210" s="102"/>
      <c r="D210" s="102"/>
      <c r="E210" s="102"/>
    </row>
    <row r="211" spans="2:5" x14ac:dyDescent="0.2">
      <c r="B211" s="102"/>
      <c r="C211" s="102"/>
      <c r="D211" s="102"/>
      <c r="E211" s="102"/>
    </row>
    <row r="212" spans="2:5" x14ac:dyDescent="0.2">
      <c r="B212" s="102"/>
      <c r="C212" s="102"/>
      <c r="D212" s="102"/>
      <c r="E212" s="102"/>
    </row>
    <row r="213" spans="2:5" x14ac:dyDescent="0.2">
      <c r="B213" s="102"/>
      <c r="C213" s="102"/>
      <c r="D213" s="102"/>
      <c r="E213" s="102"/>
    </row>
    <row r="214" spans="2:5" x14ac:dyDescent="0.2">
      <c r="B214" s="102"/>
      <c r="C214" s="102"/>
      <c r="D214" s="102"/>
      <c r="E214" s="102"/>
    </row>
    <row r="215" spans="2:5" x14ac:dyDescent="0.2">
      <c r="B215" s="102"/>
      <c r="C215" s="102"/>
      <c r="D215" s="102"/>
      <c r="E215" s="102"/>
    </row>
    <row r="216" spans="2:5" x14ac:dyDescent="0.2">
      <c r="B216" s="102"/>
      <c r="C216" s="102"/>
      <c r="D216" s="102"/>
      <c r="E216" s="102"/>
    </row>
    <row r="217" spans="2:5" x14ac:dyDescent="0.2">
      <c r="B217" s="102"/>
      <c r="C217" s="102"/>
      <c r="D217" s="102"/>
      <c r="E217" s="102"/>
    </row>
    <row r="218" spans="2:5" x14ac:dyDescent="0.2">
      <c r="B218" s="102"/>
      <c r="C218" s="102"/>
      <c r="D218" s="102"/>
      <c r="E218" s="102"/>
    </row>
    <row r="219" spans="2:5" x14ac:dyDescent="0.2">
      <c r="B219" s="102"/>
      <c r="C219" s="102"/>
      <c r="D219" s="102"/>
      <c r="E219" s="102"/>
    </row>
    <row r="220" spans="2:5" x14ac:dyDescent="0.2">
      <c r="B220" s="102"/>
      <c r="C220" s="102"/>
      <c r="D220" s="102"/>
      <c r="E220" s="102"/>
    </row>
    <row r="221" spans="2:5" x14ac:dyDescent="0.2">
      <c r="B221" s="102"/>
      <c r="C221" s="102"/>
      <c r="D221" s="102"/>
      <c r="E221" s="102"/>
    </row>
    <row r="222" spans="2:5" x14ac:dyDescent="0.2">
      <c r="B222" s="102"/>
      <c r="C222" s="102"/>
      <c r="D222" s="102"/>
      <c r="E222" s="102"/>
    </row>
    <row r="223" spans="2:5" x14ac:dyDescent="0.2">
      <c r="B223" s="102"/>
      <c r="C223" s="102"/>
      <c r="D223" s="102"/>
      <c r="E223" s="102"/>
    </row>
    <row r="224" spans="2:5" x14ac:dyDescent="0.2">
      <c r="B224" s="102"/>
      <c r="C224" s="102"/>
      <c r="D224" s="102"/>
      <c r="E224" s="102"/>
    </row>
    <row r="225" spans="2:5" x14ac:dyDescent="0.2">
      <c r="B225" s="102"/>
      <c r="C225" s="102"/>
      <c r="D225" s="102"/>
      <c r="E225" s="102"/>
    </row>
    <row r="226" spans="2:5" x14ac:dyDescent="0.2">
      <c r="B226" s="102"/>
      <c r="C226" s="102"/>
      <c r="D226" s="102"/>
      <c r="E226" s="102"/>
    </row>
    <row r="227" spans="2:5" x14ac:dyDescent="0.2">
      <c r="B227" s="102"/>
      <c r="C227" s="102"/>
      <c r="D227" s="102"/>
      <c r="E227" s="102"/>
    </row>
    <row r="228" spans="2:5" x14ac:dyDescent="0.2">
      <c r="B228" s="102"/>
      <c r="C228" s="102"/>
      <c r="D228" s="102"/>
      <c r="E228" s="102"/>
    </row>
    <row r="229" spans="2:5" x14ac:dyDescent="0.2">
      <c r="B229" s="102"/>
      <c r="C229" s="102"/>
      <c r="D229" s="102"/>
      <c r="E229" s="102"/>
    </row>
    <row r="230" spans="2:5" x14ac:dyDescent="0.2">
      <c r="B230" s="102"/>
      <c r="C230" s="102"/>
      <c r="D230" s="102"/>
      <c r="E230" s="102"/>
    </row>
    <row r="231" spans="2:5" x14ac:dyDescent="0.2">
      <c r="B231" s="102"/>
      <c r="C231" s="102"/>
      <c r="D231" s="102"/>
      <c r="E231" s="102"/>
    </row>
    <row r="232" spans="2:5" x14ac:dyDescent="0.2">
      <c r="B232" s="102"/>
      <c r="C232" s="102"/>
      <c r="D232" s="102"/>
      <c r="E232" s="102"/>
    </row>
    <row r="233" spans="2:5" x14ac:dyDescent="0.2">
      <c r="B233" s="102"/>
      <c r="C233" s="102"/>
      <c r="D233" s="102"/>
      <c r="E233" s="102"/>
    </row>
    <row r="234" spans="2:5" x14ac:dyDescent="0.2">
      <c r="B234" s="102"/>
      <c r="C234" s="102"/>
      <c r="D234" s="102"/>
      <c r="E234" s="102"/>
    </row>
    <row r="235" spans="2:5" x14ac:dyDescent="0.2">
      <c r="B235" s="102"/>
      <c r="C235" s="102"/>
      <c r="D235" s="102"/>
      <c r="E235" s="102"/>
    </row>
    <row r="236" spans="2:5" x14ac:dyDescent="0.2">
      <c r="B236" s="102"/>
      <c r="C236" s="102"/>
      <c r="D236" s="102"/>
      <c r="E236" s="102"/>
    </row>
    <row r="237" spans="2:5" x14ac:dyDescent="0.2">
      <c r="B237" s="102"/>
      <c r="C237" s="102"/>
      <c r="D237" s="102"/>
      <c r="E237" s="102"/>
    </row>
    <row r="238" spans="2:5" x14ac:dyDescent="0.2">
      <c r="B238" s="102"/>
      <c r="C238" s="102"/>
      <c r="D238" s="102"/>
      <c r="E238" s="102"/>
    </row>
    <row r="239" spans="2:5" x14ac:dyDescent="0.2">
      <c r="B239" s="102"/>
      <c r="C239" s="102"/>
      <c r="D239" s="102"/>
      <c r="E239" s="102"/>
    </row>
    <row r="240" spans="2:5" x14ac:dyDescent="0.2">
      <c r="B240" s="102"/>
      <c r="C240" s="102"/>
      <c r="D240" s="102"/>
      <c r="E240" s="102"/>
    </row>
    <row r="241" spans="2:5" x14ac:dyDescent="0.2">
      <c r="B241" s="102"/>
      <c r="C241" s="102"/>
      <c r="D241" s="102"/>
      <c r="E241" s="102"/>
    </row>
    <row r="242" spans="2:5" x14ac:dyDescent="0.2">
      <c r="B242" s="102"/>
      <c r="C242" s="102"/>
      <c r="D242" s="102"/>
      <c r="E242" s="102"/>
    </row>
    <row r="243" spans="2:5" x14ac:dyDescent="0.2">
      <c r="B243" s="102"/>
      <c r="C243" s="102"/>
      <c r="D243" s="102"/>
      <c r="E243" s="102"/>
    </row>
    <row r="244" spans="2:5" x14ac:dyDescent="0.2">
      <c r="B244" s="102"/>
      <c r="C244" s="102"/>
      <c r="D244" s="102"/>
      <c r="E244" s="102"/>
    </row>
    <row r="245" spans="2:5" x14ac:dyDescent="0.2">
      <c r="B245" s="102"/>
      <c r="C245" s="102"/>
      <c r="D245" s="102"/>
      <c r="E245" s="102"/>
    </row>
    <row r="246" spans="2:5" x14ac:dyDescent="0.2">
      <c r="B246" s="102"/>
      <c r="C246" s="102"/>
      <c r="D246" s="102"/>
      <c r="E246" s="102"/>
    </row>
    <row r="247" spans="2:5" x14ac:dyDescent="0.2">
      <c r="B247" s="102"/>
      <c r="C247" s="102"/>
      <c r="D247" s="102"/>
      <c r="E247" s="102"/>
    </row>
    <row r="248" spans="2:5" x14ac:dyDescent="0.2">
      <c r="B248" s="102"/>
      <c r="C248" s="102"/>
      <c r="D248" s="102"/>
      <c r="E248" s="102"/>
    </row>
    <row r="249" spans="2:5" x14ac:dyDescent="0.2">
      <c r="B249" s="102"/>
      <c r="C249" s="102"/>
      <c r="D249" s="102"/>
      <c r="E249" s="102"/>
    </row>
    <row r="250" spans="2:5" x14ac:dyDescent="0.2">
      <c r="B250" s="102"/>
      <c r="C250" s="102"/>
      <c r="D250" s="102"/>
      <c r="E250" s="102"/>
    </row>
    <row r="251" spans="2:5" x14ac:dyDescent="0.2">
      <c r="B251" s="102"/>
      <c r="C251" s="102"/>
      <c r="D251" s="102"/>
      <c r="E251" s="102"/>
    </row>
    <row r="252" spans="2:5" x14ac:dyDescent="0.2">
      <c r="B252" s="102"/>
      <c r="C252" s="102"/>
      <c r="D252" s="102"/>
      <c r="E252" s="102"/>
    </row>
    <row r="253" spans="2:5" x14ac:dyDescent="0.2">
      <c r="B253" s="102"/>
      <c r="C253" s="102"/>
      <c r="D253" s="102"/>
      <c r="E253" s="102"/>
    </row>
    <row r="254" spans="2:5" x14ac:dyDescent="0.2">
      <c r="B254" s="102"/>
      <c r="C254" s="102"/>
      <c r="D254" s="102"/>
      <c r="E254" s="102"/>
    </row>
    <row r="255" spans="2:5" x14ac:dyDescent="0.2">
      <c r="B255" s="102"/>
      <c r="C255" s="102"/>
      <c r="D255" s="102"/>
      <c r="E255" s="102"/>
    </row>
    <row r="256" spans="2:5" x14ac:dyDescent="0.2">
      <c r="B256" s="102"/>
      <c r="C256" s="102"/>
      <c r="D256" s="102"/>
      <c r="E256" s="102"/>
    </row>
    <row r="257" spans="2:5" x14ac:dyDescent="0.2">
      <c r="B257" s="102"/>
      <c r="C257" s="102"/>
      <c r="D257" s="102"/>
      <c r="E257" s="102"/>
    </row>
    <row r="258" spans="2:5" x14ac:dyDescent="0.2">
      <c r="B258" s="102"/>
      <c r="C258" s="102"/>
      <c r="D258" s="102"/>
      <c r="E258" s="102"/>
    </row>
    <row r="259" spans="2:5" x14ac:dyDescent="0.2">
      <c r="B259" s="102"/>
      <c r="C259" s="102"/>
      <c r="D259" s="102"/>
      <c r="E259" s="102"/>
    </row>
    <row r="260" spans="2:5" x14ac:dyDescent="0.2">
      <c r="B260" s="102"/>
      <c r="C260" s="102"/>
      <c r="D260" s="102"/>
      <c r="E260" s="102"/>
    </row>
    <row r="261" spans="2:5" x14ac:dyDescent="0.2">
      <c r="B261" s="102"/>
      <c r="C261" s="102"/>
      <c r="D261" s="102"/>
      <c r="E261" s="102"/>
    </row>
    <row r="262" spans="2:5" x14ac:dyDescent="0.2">
      <c r="B262" s="102"/>
      <c r="C262" s="102"/>
      <c r="D262" s="102"/>
      <c r="E262" s="102"/>
    </row>
    <row r="263" spans="2:5" x14ac:dyDescent="0.2">
      <c r="B263" s="102"/>
      <c r="C263" s="102"/>
      <c r="D263" s="102"/>
      <c r="E263" s="102"/>
    </row>
    <row r="264" spans="2:5" x14ac:dyDescent="0.2">
      <c r="B264" s="102"/>
      <c r="C264" s="102"/>
      <c r="D264" s="102"/>
      <c r="E264" s="102"/>
    </row>
    <row r="265" spans="2:5" x14ac:dyDescent="0.2">
      <c r="B265" s="102"/>
      <c r="C265" s="102"/>
      <c r="D265" s="102"/>
      <c r="E265" s="102"/>
    </row>
    <row r="266" spans="2:5" x14ac:dyDescent="0.2">
      <c r="B266" s="102"/>
      <c r="C266" s="102"/>
      <c r="D266" s="102"/>
      <c r="E266" s="102"/>
    </row>
    <row r="267" spans="2:5" x14ac:dyDescent="0.2">
      <c r="B267" s="102"/>
      <c r="C267" s="102"/>
      <c r="D267" s="102"/>
      <c r="E267" s="102"/>
    </row>
    <row r="268" spans="2:5" x14ac:dyDescent="0.2">
      <c r="B268" s="102"/>
      <c r="C268" s="102"/>
      <c r="D268" s="102"/>
      <c r="E268" s="102"/>
    </row>
    <row r="269" spans="2:5" x14ac:dyDescent="0.2">
      <c r="B269" s="102"/>
      <c r="C269" s="102"/>
      <c r="D269" s="102"/>
      <c r="E269" s="102"/>
    </row>
    <row r="270" spans="2:5" x14ac:dyDescent="0.2">
      <c r="B270" s="102"/>
      <c r="C270" s="102"/>
      <c r="D270" s="102"/>
      <c r="E270" s="102"/>
    </row>
    <row r="271" spans="2:5" x14ac:dyDescent="0.2">
      <c r="B271" s="102"/>
      <c r="C271" s="102"/>
      <c r="D271" s="102"/>
      <c r="E271" s="102"/>
    </row>
    <row r="272" spans="2:5" x14ac:dyDescent="0.2">
      <c r="B272" s="102"/>
      <c r="C272" s="102"/>
      <c r="D272" s="102"/>
      <c r="E272" s="102"/>
    </row>
    <row r="273" spans="2:5" x14ac:dyDescent="0.2">
      <c r="B273" s="102"/>
      <c r="C273" s="102"/>
      <c r="D273" s="102"/>
      <c r="E273" s="102"/>
    </row>
    <row r="274" spans="2:5" x14ac:dyDescent="0.2">
      <c r="B274" s="102"/>
      <c r="C274" s="102"/>
      <c r="D274" s="102"/>
      <c r="E274" s="102"/>
    </row>
    <row r="275" spans="2:5" x14ac:dyDescent="0.2">
      <c r="B275" s="102"/>
      <c r="C275" s="102"/>
      <c r="D275" s="102"/>
      <c r="E275" s="102"/>
    </row>
    <row r="276" spans="2:5" x14ac:dyDescent="0.2">
      <c r="B276" s="102"/>
      <c r="C276" s="102"/>
      <c r="D276" s="102"/>
      <c r="E276" s="102"/>
    </row>
    <row r="277" spans="2:5" x14ac:dyDescent="0.2">
      <c r="B277" s="102"/>
      <c r="C277" s="102"/>
      <c r="D277" s="102"/>
      <c r="E277" s="102"/>
    </row>
    <row r="278" spans="2:5" x14ac:dyDescent="0.2">
      <c r="B278" s="102"/>
      <c r="C278" s="102"/>
      <c r="D278" s="102"/>
      <c r="E278" s="102"/>
    </row>
    <row r="279" spans="2:5" x14ac:dyDescent="0.2">
      <c r="B279" s="102"/>
      <c r="C279" s="102"/>
      <c r="D279" s="102"/>
      <c r="E279" s="102"/>
    </row>
    <row r="280" spans="2:5" x14ac:dyDescent="0.2">
      <c r="B280" s="102"/>
      <c r="C280" s="102"/>
      <c r="D280" s="102"/>
      <c r="E280" s="102"/>
    </row>
    <row r="281" spans="2:5" x14ac:dyDescent="0.2">
      <c r="B281" s="102"/>
      <c r="C281" s="102"/>
      <c r="D281" s="102"/>
      <c r="E281" s="102"/>
    </row>
    <row r="282" spans="2:5" x14ac:dyDescent="0.2">
      <c r="B282" s="102"/>
      <c r="C282" s="102"/>
      <c r="D282" s="102"/>
      <c r="E282" s="102"/>
    </row>
    <row r="283" spans="2:5" x14ac:dyDescent="0.2">
      <c r="B283" s="102"/>
      <c r="C283" s="102"/>
      <c r="D283" s="102"/>
      <c r="E283" s="102"/>
    </row>
    <row r="284" spans="2:5" x14ac:dyDescent="0.2">
      <c r="B284" s="102"/>
      <c r="C284" s="102"/>
      <c r="D284" s="102"/>
      <c r="E284" s="102"/>
    </row>
    <row r="285" spans="2:5" x14ac:dyDescent="0.2">
      <c r="B285" s="102"/>
      <c r="C285" s="102"/>
      <c r="D285" s="102"/>
      <c r="E285" s="102"/>
    </row>
    <row r="286" spans="2:5" x14ac:dyDescent="0.2">
      <c r="B286" s="102"/>
      <c r="C286" s="102"/>
      <c r="D286" s="102"/>
      <c r="E286" s="102"/>
    </row>
    <row r="287" spans="2:5" x14ac:dyDescent="0.2">
      <c r="B287" s="102"/>
      <c r="C287" s="102"/>
      <c r="D287" s="102"/>
      <c r="E287" s="102"/>
    </row>
    <row r="288" spans="2:5" x14ac:dyDescent="0.2">
      <c r="B288" s="102"/>
      <c r="C288" s="102"/>
      <c r="D288" s="102"/>
      <c r="E288" s="102"/>
    </row>
    <row r="289" spans="2:5" x14ac:dyDescent="0.2">
      <c r="B289" s="102"/>
      <c r="C289" s="102"/>
      <c r="D289" s="102"/>
      <c r="E289" s="102"/>
    </row>
    <row r="290" spans="2:5" x14ac:dyDescent="0.2">
      <c r="B290" s="102"/>
      <c r="C290" s="102"/>
      <c r="D290" s="102"/>
      <c r="E290" s="102"/>
    </row>
    <row r="291" spans="2:5" x14ac:dyDescent="0.2">
      <c r="B291" s="102"/>
      <c r="C291" s="102"/>
      <c r="D291" s="102"/>
      <c r="E291" s="102"/>
    </row>
    <row r="292" spans="2:5" x14ac:dyDescent="0.2">
      <c r="B292" s="102"/>
      <c r="C292" s="102"/>
      <c r="D292" s="102"/>
      <c r="E292" s="102"/>
    </row>
    <row r="293" spans="2:5" x14ac:dyDescent="0.2">
      <c r="B293" s="102"/>
      <c r="C293" s="102"/>
      <c r="D293" s="102"/>
      <c r="E293" s="102"/>
    </row>
    <row r="294" spans="2:5" x14ac:dyDescent="0.2">
      <c r="B294" s="102"/>
      <c r="C294" s="102"/>
      <c r="D294" s="102"/>
      <c r="E294" s="102"/>
    </row>
    <row r="295" spans="2:5" x14ac:dyDescent="0.2">
      <c r="B295" s="102"/>
      <c r="C295" s="102"/>
      <c r="D295" s="102"/>
      <c r="E295" s="102"/>
    </row>
    <row r="307" spans="3:3" x14ac:dyDescent="0.2">
      <c r="C307" s="71"/>
    </row>
    <row r="308" spans="3:3" x14ac:dyDescent="0.2">
      <c r="C308" s="71"/>
    </row>
  </sheetData>
  <mergeCells count="1">
    <mergeCell ref="H10:H13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528D-F055-492E-AB31-5D31EC4A1826}">
  <sheetPr>
    <tabColor rgb="FF0070C0"/>
  </sheetPr>
  <dimension ref="A1:P300"/>
  <sheetViews>
    <sheetView workbookViewId="0"/>
  </sheetViews>
  <sheetFormatPr defaultColWidth="10.28515625" defaultRowHeight="15" x14ac:dyDescent="0.25"/>
  <cols>
    <col min="1" max="1" width="1.42578125" style="92" customWidth="1"/>
    <col min="2" max="2" width="13.85546875" style="92" customWidth="1"/>
    <col min="3" max="3" width="10.7109375" style="93" bestFit="1" customWidth="1"/>
    <col min="4" max="4" width="12.5703125" style="92" bestFit="1" customWidth="1"/>
    <col min="5" max="5" width="5.140625" style="92" bestFit="1" customWidth="1"/>
    <col min="6" max="6" width="8.28515625" style="92" bestFit="1" customWidth="1"/>
    <col min="7" max="7" width="10.5703125" style="94" bestFit="1" customWidth="1"/>
    <col min="8" max="8" width="6.5703125" style="95" bestFit="1" customWidth="1"/>
    <col min="9" max="9" width="7.42578125" style="92" bestFit="1" customWidth="1"/>
    <col min="10" max="10" width="8.7109375" style="96" bestFit="1" customWidth="1"/>
    <col min="11" max="11" width="29.7109375" style="92" bestFit="1" customWidth="1"/>
    <col min="12" max="12" width="58.140625" style="92" bestFit="1" customWidth="1"/>
    <col min="13" max="13" width="4.5703125" style="92" bestFit="1" customWidth="1"/>
    <col min="14" max="14" width="8" style="92" bestFit="1" customWidth="1"/>
    <col min="15" max="15" width="11" style="92" bestFit="1" customWidth="1"/>
    <col min="16" max="16" width="8" style="92" bestFit="1" customWidth="1"/>
    <col min="17" max="16384" width="10.28515625" style="92"/>
  </cols>
  <sheetData>
    <row r="1" spans="1:16" customFormat="1" ht="7.5" customHeight="1" x14ac:dyDescent="0.25">
      <c r="A1" s="50" t="str" cm="1">
        <f t="array" aca="1" ref="A1" ca="1">MID(CELL("filename",A1),FIND("]",CELL("filename",A1))+1,255)</f>
        <v>WP RA5.1</v>
      </c>
      <c r="C1" s="2"/>
    </row>
    <row r="2" spans="1:16" customFormat="1" x14ac:dyDescent="0.25">
      <c r="B2" s="24" t="s">
        <v>451</v>
      </c>
      <c r="C2" s="46"/>
    </row>
    <row r="3" spans="1:16" customFormat="1" x14ac:dyDescent="0.25">
      <c r="B3" s="1" t="s">
        <v>1047</v>
      </c>
      <c r="C3" s="46"/>
    </row>
    <row r="4" spans="1:16" customFormat="1" ht="7.5" customHeight="1" x14ac:dyDescent="0.25">
      <c r="B4" s="1"/>
      <c r="C4" s="46"/>
    </row>
    <row r="5" spans="1:16" ht="15.75" thickBot="1" x14ac:dyDescent="0.3"/>
    <row r="6" spans="1:16" ht="16.5" thickTop="1" thickBot="1" x14ac:dyDescent="0.3">
      <c r="B6" s="119" t="s">
        <v>621</v>
      </c>
      <c r="C6" s="119" t="s">
        <v>622</v>
      </c>
      <c r="D6" s="119" t="s">
        <v>623</v>
      </c>
      <c r="E6" s="119" t="s">
        <v>624</v>
      </c>
      <c r="F6" s="119" t="s">
        <v>481</v>
      </c>
      <c r="G6" s="91" t="s">
        <v>524</v>
      </c>
      <c r="H6" s="119" t="s">
        <v>625</v>
      </c>
      <c r="I6" s="119" t="s">
        <v>626</v>
      </c>
      <c r="J6" s="119" t="s">
        <v>627</v>
      </c>
      <c r="K6" s="119" t="s">
        <v>628</v>
      </c>
      <c r="L6" s="119" t="s">
        <v>629</v>
      </c>
      <c r="M6" s="119" t="s">
        <v>630</v>
      </c>
      <c r="N6" s="119" t="s">
        <v>631</v>
      </c>
      <c r="O6" s="119" t="s">
        <v>632</v>
      </c>
      <c r="P6" s="90" t="s">
        <v>633</v>
      </c>
    </row>
    <row r="7" spans="1:16" ht="15.75" thickTop="1" x14ac:dyDescent="0.25">
      <c r="B7" s="23" t="s">
        <v>634</v>
      </c>
      <c r="C7" s="123">
        <v>43983</v>
      </c>
      <c r="D7" s="23" t="s">
        <v>1001</v>
      </c>
      <c r="E7" s="23" t="s">
        <v>666</v>
      </c>
      <c r="F7" s="23" t="s">
        <v>145</v>
      </c>
      <c r="G7" s="124">
        <v>-1647</v>
      </c>
      <c r="H7" s="125">
        <v>109</v>
      </c>
      <c r="I7" s="23"/>
      <c r="J7" s="126">
        <v>0</v>
      </c>
      <c r="K7" s="23" t="s">
        <v>1000</v>
      </c>
      <c r="L7" s="23" t="s">
        <v>1002</v>
      </c>
      <c r="M7" s="23"/>
      <c r="N7" s="23"/>
      <c r="O7" s="23"/>
    </row>
    <row r="8" spans="1:16" x14ac:dyDescent="0.25">
      <c r="B8" s="23" t="s">
        <v>634</v>
      </c>
      <c r="C8" s="123">
        <v>43983</v>
      </c>
      <c r="D8" s="23" t="s">
        <v>1007</v>
      </c>
      <c r="E8" s="23" t="s">
        <v>666</v>
      </c>
      <c r="F8" s="23" t="s">
        <v>145</v>
      </c>
      <c r="G8" s="124">
        <v>-881.9</v>
      </c>
      <c r="H8" s="125">
        <v>6</v>
      </c>
      <c r="I8" s="23"/>
      <c r="J8" s="126">
        <v>0</v>
      </c>
      <c r="K8" s="23" t="s">
        <v>1000</v>
      </c>
      <c r="L8" s="23" t="s">
        <v>1008</v>
      </c>
      <c r="M8" s="23"/>
      <c r="N8" s="23"/>
      <c r="O8" s="23"/>
    </row>
    <row r="9" spans="1:16" x14ac:dyDescent="0.25">
      <c r="B9" s="23" t="s">
        <v>634</v>
      </c>
      <c r="C9" s="123">
        <v>43983</v>
      </c>
      <c r="D9" s="23" t="s">
        <v>1007</v>
      </c>
      <c r="E9" s="23" t="s">
        <v>666</v>
      </c>
      <c r="F9" s="23" t="s">
        <v>145</v>
      </c>
      <c r="G9" s="124">
        <v>-1888</v>
      </c>
      <c r="H9" s="125">
        <v>13</v>
      </c>
      <c r="I9" s="23"/>
      <c r="J9" s="126">
        <v>0</v>
      </c>
      <c r="K9" s="23" t="s">
        <v>1000</v>
      </c>
      <c r="L9" s="23" t="s">
        <v>1008</v>
      </c>
      <c r="M9" s="23"/>
      <c r="N9" s="23"/>
      <c r="O9" s="23"/>
    </row>
    <row r="10" spans="1:16" x14ac:dyDescent="0.25">
      <c r="B10" s="23" t="s">
        <v>634</v>
      </c>
      <c r="C10" s="123">
        <v>43983</v>
      </c>
      <c r="D10" s="23" t="s">
        <v>1007</v>
      </c>
      <c r="E10" s="23" t="s">
        <v>666</v>
      </c>
      <c r="F10" s="23" t="s">
        <v>145</v>
      </c>
      <c r="G10" s="124">
        <v>-1511.4</v>
      </c>
      <c r="H10" s="125">
        <v>89</v>
      </c>
      <c r="I10" s="23"/>
      <c r="J10" s="126">
        <v>0</v>
      </c>
      <c r="K10" s="23" t="s">
        <v>1000</v>
      </c>
      <c r="L10" s="23" t="s">
        <v>1008</v>
      </c>
      <c r="M10" s="23"/>
      <c r="N10" s="23"/>
      <c r="O10" s="23"/>
    </row>
    <row r="11" spans="1:16" x14ac:dyDescent="0.25">
      <c r="B11" s="23" t="s">
        <v>634</v>
      </c>
      <c r="C11" s="123">
        <v>43986</v>
      </c>
      <c r="D11" s="23" t="s">
        <v>1010</v>
      </c>
      <c r="E11" s="23" t="s">
        <v>666</v>
      </c>
      <c r="F11" s="23" t="s">
        <v>145</v>
      </c>
      <c r="G11" s="124">
        <v>881.9</v>
      </c>
      <c r="H11" s="125">
        <v>53</v>
      </c>
      <c r="I11" s="23"/>
      <c r="J11" s="126">
        <v>0</v>
      </c>
      <c r="K11" s="23" t="s">
        <v>1009</v>
      </c>
      <c r="L11" s="23" t="s">
        <v>758</v>
      </c>
      <c r="M11" s="23"/>
      <c r="N11" s="23"/>
      <c r="O11" s="23" t="s">
        <v>1011</v>
      </c>
    </row>
    <row r="12" spans="1:16" x14ac:dyDescent="0.25">
      <c r="B12" s="23" t="s">
        <v>634</v>
      </c>
      <c r="C12" s="123">
        <v>43986</v>
      </c>
      <c r="D12" s="23" t="s">
        <v>1010</v>
      </c>
      <c r="E12" s="23" t="s">
        <v>666</v>
      </c>
      <c r="F12" s="23" t="s">
        <v>145</v>
      </c>
      <c r="G12" s="124">
        <v>1888</v>
      </c>
      <c r="H12" s="125">
        <v>54</v>
      </c>
      <c r="I12" s="23"/>
      <c r="J12" s="126">
        <v>0</v>
      </c>
      <c r="K12" s="23" t="s">
        <v>1009</v>
      </c>
      <c r="L12" s="23" t="s">
        <v>758</v>
      </c>
      <c r="M12" s="23"/>
      <c r="N12" s="23"/>
      <c r="O12" s="23" t="s">
        <v>1012</v>
      </c>
    </row>
    <row r="13" spans="1:16" x14ac:dyDescent="0.25">
      <c r="B13" s="23" t="s">
        <v>634</v>
      </c>
      <c r="C13" s="123">
        <v>43991</v>
      </c>
      <c r="D13" s="23" t="s">
        <v>756</v>
      </c>
      <c r="E13" s="23" t="s">
        <v>666</v>
      </c>
      <c r="F13" s="23" t="s">
        <v>145</v>
      </c>
      <c r="G13" s="124">
        <v>1511.4</v>
      </c>
      <c r="H13" s="125">
        <v>91</v>
      </c>
      <c r="I13" s="23"/>
      <c r="J13" s="126">
        <v>0</v>
      </c>
      <c r="K13" s="23" t="s">
        <v>1009</v>
      </c>
      <c r="L13" s="23" t="s">
        <v>758</v>
      </c>
      <c r="M13" s="23"/>
      <c r="N13" s="23"/>
      <c r="O13" s="23" t="s">
        <v>1013</v>
      </c>
    </row>
    <row r="14" spans="1:16" x14ac:dyDescent="0.25">
      <c r="B14" s="23" t="s">
        <v>634</v>
      </c>
      <c r="C14" s="123">
        <v>43991</v>
      </c>
      <c r="D14" s="23" t="s">
        <v>756</v>
      </c>
      <c r="E14" s="23" t="s">
        <v>666</v>
      </c>
      <c r="F14" s="23" t="s">
        <v>145</v>
      </c>
      <c r="G14" s="124">
        <v>1647</v>
      </c>
      <c r="H14" s="125">
        <v>92</v>
      </c>
      <c r="I14" s="23"/>
      <c r="J14" s="126">
        <v>0</v>
      </c>
      <c r="K14" s="23" t="s">
        <v>1009</v>
      </c>
      <c r="L14" s="23" t="s">
        <v>758</v>
      </c>
      <c r="M14" s="23"/>
      <c r="N14" s="23"/>
      <c r="O14" s="23" t="s">
        <v>1014</v>
      </c>
    </row>
    <row r="15" spans="1:16" x14ac:dyDescent="0.25">
      <c r="B15" s="23" t="s">
        <v>634</v>
      </c>
      <c r="C15" s="123">
        <v>43994</v>
      </c>
      <c r="D15" s="23" t="s">
        <v>1015</v>
      </c>
      <c r="E15" s="23" t="s">
        <v>666</v>
      </c>
      <c r="F15" s="23" t="s">
        <v>145</v>
      </c>
      <c r="G15" s="124">
        <v>3540.1</v>
      </c>
      <c r="H15" s="125">
        <v>17</v>
      </c>
      <c r="I15" s="23"/>
      <c r="J15" s="126">
        <v>0</v>
      </c>
      <c r="K15" s="23" t="s">
        <v>1009</v>
      </c>
      <c r="L15" s="23" t="s">
        <v>758</v>
      </c>
      <c r="M15" s="23"/>
      <c r="N15" s="23"/>
      <c r="O15" s="23" t="s">
        <v>1016</v>
      </c>
    </row>
    <row r="16" spans="1:16" x14ac:dyDescent="0.25">
      <c r="B16" s="23" t="s">
        <v>634</v>
      </c>
      <c r="C16" s="123">
        <v>44000</v>
      </c>
      <c r="D16" s="23" t="s">
        <v>994</v>
      </c>
      <c r="E16" s="23" t="s">
        <v>666</v>
      </c>
      <c r="F16" s="23" t="s">
        <v>145</v>
      </c>
      <c r="G16" s="124">
        <v>-85</v>
      </c>
      <c r="H16" s="125">
        <v>8</v>
      </c>
      <c r="I16" s="23"/>
      <c r="J16" s="126">
        <v>0</v>
      </c>
      <c r="K16" s="23" t="s">
        <v>995</v>
      </c>
      <c r="L16" s="23" t="s">
        <v>758</v>
      </c>
      <c r="M16" s="23"/>
      <c r="N16" s="23"/>
      <c r="O16" s="23" t="s">
        <v>996</v>
      </c>
    </row>
    <row r="17" spans="2:15" x14ac:dyDescent="0.25">
      <c r="B17" s="23" t="s">
        <v>634</v>
      </c>
      <c r="C17" s="123">
        <v>44005</v>
      </c>
      <c r="D17" s="23" t="s">
        <v>1017</v>
      </c>
      <c r="E17" s="23" t="s">
        <v>666</v>
      </c>
      <c r="F17" s="23" t="s">
        <v>145</v>
      </c>
      <c r="G17" s="124">
        <v>3586.4</v>
      </c>
      <c r="H17" s="125">
        <v>37</v>
      </c>
      <c r="I17" s="23"/>
      <c r="J17" s="126">
        <v>0</v>
      </c>
      <c r="K17" s="23" t="s">
        <v>1009</v>
      </c>
      <c r="L17" s="23" t="s">
        <v>758</v>
      </c>
      <c r="M17" s="23"/>
      <c r="N17" s="23"/>
      <c r="O17" s="23" t="s">
        <v>1018</v>
      </c>
    </row>
    <row r="18" spans="2:15" x14ac:dyDescent="0.25">
      <c r="B18" s="23" t="s">
        <v>634</v>
      </c>
      <c r="C18" s="123">
        <v>44011</v>
      </c>
      <c r="D18" s="23" t="s">
        <v>997</v>
      </c>
      <c r="E18" s="23" t="s">
        <v>666</v>
      </c>
      <c r="F18" s="23" t="s">
        <v>145</v>
      </c>
      <c r="G18" s="124">
        <v>-140</v>
      </c>
      <c r="H18" s="125">
        <v>2</v>
      </c>
      <c r="I18" s="23"/>
      <c r="J18" s="126">
        <v>0</v>
      </c>
      <c r="K18" s="23" t="s">
        <v>998</v>
      </c>
      <c r="L18" s="23" t="s">
        <v>758</v>
      </c>
      <c r="M18" s="23"/>
      <c r="N18" s="23"/>
      <c r="O18" s="23" t="s">
        <v>999</v>
      </c>
    </row>
    <row r="19" spans="2:15" x14ac:dyDescent="0.25">
      <c r="B19" s="23" t="s">
        <v>634</v>
      </c>
      <c r="C19" s="123">
        <v>44012</v>
      </c>
      <c r="D19" s="23" t="s">
        <v>1003</v>
      </c>
      <c r="E19" s="23" t="s">
        <v>666</v>
      </c>
      <c r="F19" s="23" t="s">
        <v>145</v>
      </c>
      <c r="G19" s="124">
        <v>4144.3999999999996</v>
      </c>
      <c r="H19" s="125">
        <v>66</v>
      </c>
      <c r="I19" s="23"/>
      <c r="J19" s="126">
        <v>0</v>
      </c>
      <c r="K19" s="23" t="s">
        <v>1000</v>
      </c>
      <c r="L19" s="23" t="s">
        <v>1004</v>
      </c>
      <c r="M19" s="23"/>
      <c r="N19" s="23"/>
      <c r="O19" s="23"/>
    </row>
    <row r="20" spans="2:15" x14ac:dyDescent="0.25">
      <c r="B20" s="23" t="s">
        <v>634</v>
      </c>
      <c r="C20" s="123">
        <v>44012</v>
      </c>
      <c r="D20" s="23" t="s">
        <v>1019</v>
      </c>
      <c r="E20" s="23" t="s">
        <v>666</v>
      </c>
      <c r="F20" s="23" t="s">
        <v>145</v>
      </c>
      <c r="G20" s="124">
        <v>2645.8</v>
      </c>
      <c r="H20" s="125">
        <v>343</v>
      </c>
      <c r="I20" s="23"/>
      <c r="J20" s="126">
        <v>0</v>
      </c>
      <c r="K20" s="23" t="s">
        <v>1009</v>
      </c>
      <c r="L20" s="23" t="s">
        <v>758</v>
      </c>
      <c r="M20" s="23"/>
      <c r="N20" s="23"/>
      <c r="O20" s="23" t="s">
        <v>1020</v>
      </c>
    </row>
    <row r="21" spans="2:15" x14ac:dyDescent="0.25">
      <c r="B21" s="23" t="s">
        <v>634</v>
      </c>
      <c r="C21" s="123">
        <v>44013</v>
      </c>
      <c r="D21" s="23" t="s">
        <v>1003</v>
      </c>
      <c r="E21" s="23" t="s">
        <v>666</v>
      </c>
      <c r="F21" s="23" t="s">
        <v>145</v>
      </c>
      <c r="G21" s="124">
        <v>-4144.3999999999996</v>
      </c>
      <c r="H21" s="125">
        <v>66</v>
      </c>
      <c r="I21" s="23"/>
      <c r="J21" s="126">
        <v>0</v>
      </c>
      <c r="K21" s="23" t="s">
        <v>1000</v>
      </c>
      <c r="L21" s="23" t="s">
        <v>1004</v>
      </c>
      <c r="M21" s="23"/>
      <c r="N21" s="23"/>
      <c r="O21" s="23"/>
    </row>
    <row r="22" spans="2:15" x14ac:dyDescent="0.25">
      <c r="B22" s="23" t="s">
        <v>634</v>
      </c>
      <c r="C22" s="123">
        <v>44022</v>
      </c>
      <c r="D22" s="23" t="s">
        <v>1021</v>
      </c>
      <c r="E22" s="23" t="s">
        <v>666</v>
      </c>
      <c r="F22" s="23" t="s">
        <v>145</v>
      </c>
      <c r="G22" s="124">
        <v>4144.3999999999996</v>
      </c>
      <c r="H22" s="125">
        <v>85</v>
      </c>
      <c r="I22" s="23"/>
      <c r="J22" s="126">
        <v>0</v>
      </c>
      <c r="K22" s="23" t="s">
        <v>1009</v>
      </c>
      <c r="L22" s="23" t="s">
        <v>758</v>
      </c>
      <c r="M22" s="23"/>
      <c r="N22" s="23"/>
      <c r="O22" s="23" t="s">
        <v>1022</v>
      </c>
    </row>
    <row r="23" spans="2:15" x14ac:dyDescent="0.25">
      <c r="B23" s="23" t="s">
        <v>634</v>
      </c>
      <c r="C23" s="123">
        <v>44025</v>
      </c>
      <c r="D23" s="23" t="s">
        <v>1023</v>
      </c>
      <c r="E23" s="23" t="s">
        <v>666</v>
      </c>
      <c r="F23" s="23" t="s">
        <v>145</v>
      </c>
      <c r="G23" s="124">
        <v>2155.8000000000002</v>
      </c>
      <c r="H23" s="125">
        <v>21</v>
      </c>
      <c r="I23" s="23"/>
      <c r="J23" s="126">
        <v>0</v>
      </c>
      <c r="K23" s="23" t="s">
        <v>1009</v>
      </c>
      <c r="L23" s="23" t="s">
        <v>758</v>
      </c>
      <c r="M23" s="23"/>
      <c r="N23" s="23"/>
      <c r="O23" s="23" t="s">
        <v>1024</v>
      </c>
    </row>
    <row r="24" spans="2:15" x14ac:dyDescent="0.25">
      <c r="B24" s="23" t="s">
        <v>634</v>
      </c>
      <c r="C24" s="123">
        <v>44032</v>
      </c>
      <c r="D24" s="23" t="s">
        <v>1025</v>
      </c>
      <c r="E24" s="23" t="s">
        <v>666</v>
      </c>
      <c r="F24" s="23" t="s">
        <v>145</v>
      </c>
      <c r="G24" s="124">
        <v>4341.8</v>
      </c>
      <c r="H24" s="125">
        <v>44</v>
      </c>
      <c r="I24" s="23"/>
      <c r="J24" s="126">
        <v>0</v>
      </c>
      <c r="K24" s="23" t="s">
        <v>1009</v>
      </c>
      <c r="L24" s="23" t="s">
        <v>758</v>
      </c>
      <c r="M24" s="23"/>
      <c r="N24" s="23"/>
      <c r="O24" s="23" t="s">
        <v>1026</v>
      </c>
    </row>
    <row r="25" spans="2:15" x14ac:dyDescent="0.25">
      <c r="B25" s="23" t="s">
        <v>634</v>
      </c>
      <c r="C25" s="123">
        <v>44039</v>
      </c>
      <c r="D25" s="23" t="s">
        <v>1027</v>
      </c>
      <c r="E25" s="23" t="s">
        <v>666</v>
      </c>
      <c r="F25" s="23" t="s">
        <v>145</v>
      </c>
      <c r="G25" s="124">
        <v>1827.2</v>
      </c>
      <c r="H25" s="125">
        <v>67</v>
      </c>
      <c r="I25" s="23"/>
      <c r="J25" s="126">
        <v>0</v>
      </c>
      <c r="K25" s="23" t="s">
        <v>1009</v>
      </c>
      <c r="L25" s="23" t="s">
        <v>758</v>
      </c>
      <c r="M25" s="23"/>
      <c r="N25" s="23"/>
      <c r="O25" s="23" t="s">
        <v>1028</v>
      </c>
    </row>
    <row r="26" spans="2:15" x14ac:dyDescent="0.25">
      <c r="B26" s="23" t="s">
        <v>634</v>
      </c>
      <c r="C26" s="123">
        <v>44041</v>
      </c>
      <c r="D26" s="23" t="s">
        <v>991</v>
      </c>
      <c r="E26" s="23" t="s">
        <v>666</v>
      </c>
      <c r="F26" s="23" t="s">
        <v>145</v>
      </c>
      <c r="G26" s="124">
        <v>-23.8</v>
      </c>
      <c r="H26" s="125">
        <v>124</v>
      </c>
      <c r="I26" s="23"/>
      <c r="J26" s="126">
        <v>0</v>
      </c>
      <c r="K26" s="23" t="s">
        <v>992</v>
      </c>
      <c r="L26" s="23" t="s">
        <v>758</v>
      </c>
      <c r="M26" s="23"/>
      <c r="N26" s="23"/>
      <c r="O26" s="23" t="s">
        <v>993</v>
      </c>
    </row>
    <row r="27" spans="2:15" x14ac:dyDescent="0.25">
      <c r="B27" s="23" t="s">
        <v>634</v>
      </c>
      <c r="C27" s="123">
        <v>44041</v>
      </c>
      <c r="D27" s="23" t="s">
        <v>991</v>
      </c>
      <c r="E27" s="23" t="s">
        <v>666</v>
      </c>
      <c r="F27" s="23" t="s">
        <v>145</v>
      </c>
      <c r="G27" s="124">
        <v>1978.2</v>
      </c>
      <c r="H27" s="125">
        <v>126</v>
      </c>
      <c r="I27" s="23"/>
      <c r="J27" s="126">
        <v>0</v>
      </c>
      <c r="K27" s="23" t="s">
        <v>1009</v>
      </c>
      <c r="L27" s="23" t="s">
        <v>758</v>
      </c>
      <c r="M27" s="23"/>
      <c r="N27" s="23"/>
      <c r="O27" s="23" t="s">
        <v>1029</v>
      </c>
    </row>
    <row r="28" spans="2:15" x14ac:dyDescent="0.25">
      <c r="B28" s="23" t="s">
        <v>634</v>
      </c>
      <c r="C28" s="123">
        <v>44043</v>
      </c>
      <c r="D28" s="23" t="s">
        <v>1030</v>
      </c>
      <c r="E28" s="23" t="s">
        <v>666</v>
      </c>
      <c r="F28" s="23" t="s">
        <v>145</v>
      </c>
      <c r="G28" s="124">
        <v>5225</v>
      </c>
      <c r="H28" s="125">
        <v>29</v>
      </c>
      <c r="I28" s="23"/>
      <c r="J28" s="126">
        <v>0</v>
      </c>
      <c r="K28" s="23" t="s">
        <v>1009</v>
      </c>
      <c r="L28" s="23" t="s">
        <v>758</v>
      </c>
      <c r="M28" s="23"/>
      <c r="N28" s="23"/>
      <c r="O28" s="23" t="s">
        <v>1031</v>
      </c>
    </row>
    <row r="29" spans="2:15" x14ac:dyDescent="0.25">
      <c r="B29" s="23" t="s">
        <v>634</v>
      </c>
      <c r="C29" s="123">
        <v>44062</v>
      </c>
      <c r="D29" s="23" t="s">
        <v>1032</v>
      </c>
      <c r="E29" s="23" t="s">
        <v>666</v>
      </c>
      <c r="F29" s="23" t="s">
        <v>145</v>
      </c>
      <c r="G29" s="124">
        <v>4545.6000000000004</v>
      </c>
      <c r="H29" s="125">
        <v>32</v>
      </c>
      <c r="I29" s="23"/>
      <c r="J29" s="126">
        <v>0</v>
      </c>
      <c r="K29" s="23" t="s">
        <v>1009</v>
      </c>
      <c r="L29" s="23" t="s">
        <v>758</v>
      </c>
      <c r="M29" s="23"/>
      <c r="N29" s="23"/>
      <c r="O29" s="23" t="s">
        <v>1033</v>
      </c>
    </row>
    <row r="30" spans="2:15" x14ac:dyDescent="0.25">
      <c r="B30" s="23" t="s">
        <v>634</v>
      </c>
      <c r="C30" s="123">
        <v>44062</v>
      </c>
      <c r="D30" s="23" t="s">
        <v>1032</v>
      </c>
      <c r="E30" s="23" t="s">
        <v>666</v>
      </c>
      <c r="F30" s="23" t="s">
        <v>145</v>
      </c>
      <c r="G30" s="124">
        <v>1913.6</v>
      </c>
      <c r="H30" s="125">
        <v>34</v>
      </c>
      <c r="I30" s="23"/>
      <c r="J30" s="126">
        <v>0</v>
      </c>
      <c r="K30" s="23" t="s">
        <v>1009</v>
      </c>
      <c r="L30" s="23" t="s">
        <v>758</v>
      </c>
      <c r="M30" s="23"/>
      <c r="N30" s="23"/>
      <c r="O30" s="23" t="s">
        <v>1034</v>
      </c>
    </row>
    <row r="31" spans="2:15" x14ac:dyDescent="0.25">
      <c r="B31" s="23" t="s">
        <v>634</v>
      </c>
      <c r="C31" s="123">
        <v>44070</v>
      </c>
      <c r="D31" s="23" t="s">
        <v>1035</v>
      </c>
      <c r="E31" s="23" t="s">
        <v>666</v>
      </c>
      <c r="F31" s="23" t="s">
        <v>145</v>
      </c>
      <c r="G31" s="124">
        <v>5677.6</v>
      </c>
      <c r="H31" s="125">
        <v>13</v>
      </c>
      <c r="I31" s="23"/>
      <c r="J31" s="126">
        <v>0</v>
      </c>
      <c r="K31" s="23" t="s">
        <v>1009</v>
      </c>
      <c r="L31" s="23" t="s">
        <v>758</v>
      </c>
      <c r="M31" s="23"/>
      <c r="N31" s="23"/>
      <c r="O31" s="23" t="s">
        <v>1036</v>
      </c>
    </row>
    <row r="32" spans="2:15" x14ac:dyDescent="0.25">
      <c r="B32" s="23" t="s">
        <v>634</v>
      </c>
      <c r="C32" s="123">
        <v>44074</v>
      </c>
      <c r="D32" s="23" t="s">
        <v>1005</v>
      </c>
      <c r="E32" s="23" t="s">
        <v>666</v>
      </c>
      <c r="F32" s="23" t="s">
        <v>145</v>
      </c>
      <c r="G32" s="124">
        <v>6098.4</v>
      </c>
      <c r="H32" s="125">
        <v>56</v>
      </c>
      <c r="I32" s="23"/>
      <c r="J32" s="126">
        <v>0</v>
      </c>
      <c r="K32" s="23" t="s">
        <v>1000</v>
      </c>
      <c r="L32" s="23" t="s">
        <v>1006</v>
      </c>
      <c r="M32" s="23"/>
      <c r="N32" s="23"/>
      <c r="O32" s="23"/>
    </row>
    <row r="33" spans="2:15" x14ac:dyDescent="0.25">
      <c r="B33" s="23" t="s">
        <v>634</v>
      </c>
      <c r="C33" s="123">
        <v>44075</v>
      </c>
      <c r="D33" s="23" t="s">
        <v>1005</v>
      </c>
      <c r="E33" s="23" t="s">
        <v>666</v>
      </c>
      <c r="F33" s="23" t="s">
        <v>145</v>
      </c>
      <c r="G33" s="124">
        <v>-6098.4</v>
      </c>
      <c r="H33" s="125">
        <v>56</v>
      </c>
      <c r="I33" s="23"/>
      <c r="J33" s="126">
        <v>0</v>
      </c>
      <c r="K33" s="23" t="s">
        <v>1000</v>
      </c>
      <c r="L33" s="23" t="s">
        <v>1006</v>
      </c>
      <c r="M33" s="23"/>
      <c r="N33" s="23"/>
      <c r="O33" s="23"/>
    </row>
    <row r="34" spans="2:15" x14ac:dyDescent="0.25">
      <c r="B34" s="23" t="s">
        <v>634</v>
      </c>
      <c r="C34" s="123">
        <v>44076</v>
      </c>
      <c r="D34" s="23" t="s">
        <v>1037</v>
      </c>
      <c r="E34" s="23" t="s">
        <v>666</v>
      </c>
      <c r="F34" s="23" t="s">
        <v>145</v>
      </c>
      <c r="G34" s="124">
        <v>6098.4</v>
      </c>
      <c r="H34" s="125">
        <v>27</v>
      </c>
      <c r="I34" s="23"/>
      <c r="J34" s="126">
        <v>0</v>
      </c>
      <c r="K34" s="23" t="s">
        <v>1009</v>
      </c>
      <c r="L34" s="23" t="s">
        <v>758</v>
      </c>
      <c r="M34" s="23"/>
      <c r="N34" s="23"/>
      <c r="O34" s="23" t="s">
        <v>1038</v>
      </c>
    </row>
    <row r="35" spans="2:15" x14ac:dyDescent="0.25">
      <c r="B35" s="23" t="s">
        <v>634</v>
      </c>
      <c r="C35" s="123">
        <v>44090</v>
      </c>
      <c r="D35" s="23" t="s">
        <v>1039</v>
      </c>
      <c r="E35" s="23" t="s">
        <v>666</v>
      </c>
      <c r="F35" s="23" t="s">
        <v>145</v>
      </c>
      <c r="G35" s="124">
        <v>1762.8</v>
      </c>
      <c r="H35" s="125">
        <v>14</v>
      </c>
      <c r="I35" s="23"/>
      <c r="J35" s="126">
        <v>0</v>
      </c>
      <c r="K35" s="23" t="s">
        <v>1009</v>
      </c>
      <c r="L35" s="23" t="s">
        <v>758</v>
      </c>
      <c r="M35" s="23"/>
      <c r="N35" s="23"/>
      <c r="O35" s="23" t="s">
        <v>1040</v>
      </c>
    </row>
    <row r="36" spans="2:15" x14ac:dyDescent="0.25">
      <c r="B36" s="23" t="s">
        <v>634</v>
      </c>
      <c r="C36" s="123">
        <v>44098</v>
      </c>
      <c r="D36" s="23" t="s">
        <v>1041</v>
      </c>
      <c r="E36" s="23" t="s">
        <v>666</v>
      </c>
      <c r="F36" s="23" t="s">
        <v>145</v>
      </c>
      <c r="G36" s="124">
        <v>5585.4</v>
      </c>
      <c r="H36" s="125">
        <v>45</v>
      </c>
      <c r="I36" s="23"/>
      <c r="J36" s="126">
        <v>0</v>
      </c>
      <c r="K36" s="23" t="s">
        <v>1009</v>
      </c>
      <c r="L36" s="23" t="s">
        <v>758</v>
      </c>
      <c r="M36" s="23"/>
      <c r="N36" s="23"/>
      <c r="O36" s="23" t="s">
        <v>1042</v>
      </c>
    </row>
    <row r="37" spans="2:15" x14ac:dyDescent="0.25">
      <c r="B37" s="23" t="s">
        <v>634</v>
      </c>
      <c r="C37" s="123">
        <v>44099</v>
      </c>
      <c r="D37" s="23" t="s">
        <v>1043</v>
      </c>
      <c r="E37" s="23" t="s">
        <v>666</v>
      </c>
      <c r="F37" s="23" t="s">
        <v>145</v>
      </c>
      <c r="G37" s="124">
        <v>2603.6</v>
      </c>
      <c r="H37" s="125">
        <v>24</v>
      </c>
      <c r="I37" s="23"/>
      <c r="J37" s="126">
        <v>0</v>
      </c>
      <c r="K37" s="23" t="s">
        <v>1009</v>
      </c>
      <c r="L37" s="23" t="s">
        <v>758</v>
      </c>
      <c r="M37" s="23"/>
      <c r="N37" s="23"/>
      <c r="O37" s="23" t="s">
        <v>1044</v>
      </c>
    </row>
    <row r="38" spans="2:15" x14ac:dyDescent="0.25">
      <c r="B38" s="23" t="s">
        <v>634</v>
      </c>
      <c r="C38" s="123">
        <v>44103</v>
      </c>
      <c r="D38" s="23" t="s">
        <v>1045</v>
      </c>
      <c r="E38" s="23" t="s">
        <v>666</v>
      </c>
      <c r="F38" s="23" t="s">
        <v>145</v>
      </c>
      <c r="G38" s="124">
        <v>3325.4</v>
      </c>
      <c r="H38" s="125">
        <v>117</v>
      </c>
      <c r="I38" s="23"/>
      <c r="J38" s="126">
        <v>0</v>
      </c>
      <c r="K38" s="23" t="s">
        <v>1009</v>
      </c>
      <c r="L38" s="23" t="s">
        <v>758</v>
      </c>
      <c r="M38" s="23"/>
      <c r="N38" s="23"/>
      <c r="O38" s="23" t="s">
        <v>1046</v>
      </c>
    </row>
    <row r="40" spans="2:15" x14ac:dyDescent="0.25">
      <c r="B40" s="120" t="s">
        <v>1048</v>
      </c>
      <c r="C40" s="121"/>
      <c r="D40" s="120"/>
      <c r="E40" s="120"/>
      <c r="F40" s="120"/>
      <c r="G40" s="122">
        <f>SUM(G7:G38)</f>
        <v>60708.3</v>
      </c>
    </row>
    <row r="300" spans="6:7" x14ac:dyDescent="0.25">
      <c r="F300" s="97" t="s">
        <v>942</v>
      </c>
      <c r="G300" s="98">
        <f>SUM(G7:G299)</f>
        <v>121416.6</v>
      </c>
    </row>
  </sheetData>
  <autoFilter ref="B6:P298" xr:uid="{00000000-0009-0000-0000-000000000000}">
    <sortState xmlns:xlrd2="http://schemas.microsoft.com/office/spreadsheetml/2017/richdata2" ref="B7:P298">
      <sortCondition ref="C6:C298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14CB-9211-4FD9-98A7-57BF011F05CB}">
  <sheetPr>
    <tabColor rgb="FF00B050"/>
  </sheetPr>
  <dimension ref="A1:G127"/>
  <sheetViews>
    <sheetView zoomScaleNormal="100" workbookViewId="0"/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4" width="39.28515625" customWidth="1"/>
    <col min="5" max="6" width="17.85546875" customWidth="1"/>
    <col min="7" max="7" width="55.7109375" customWidth="1"/>
  </cols>
  <sheetData>
    <row r="1" spans="1:7" ht="7.5" customHeight="1" x14ac:dyDescent="0.25">
      <c r="A1" s="50" t="str" cm="1">
        <f t="array" aca="1" ref="A1" ca="1">MID(CELL("filename",A1),FIND("]",CELL("filename",A1))+1,255)</f>
        <v>WP PF1</v>
      </c>
    </row>
    <row r="2" spans="1:7" x14ac:dyDescent="0.25">
      <c r="B2" s="24" t="s">
        <v>451</v>
      </c>
      <c r="C2" s="46"/>
    </row>
    <row r="3" spans="1:7" x14ac:dyDescent="0.25">
      <c r="B3" s="1" t="s">
        <v>574</v>
      </c>
      <c r="C3" s="46"/>
    </row>
    <row r="4" spans="1:7" ht="7.5" customHeight="1" x14ac:dyDescent="0.25">
      <c r="B4" s="1"/>
      <c r="C4" s="46"/>
    </row>
    <row r="5" spans="1:7" s="6" customFormat="1" x14ac:dyDescent="0.25">
      <c r="C5" s="16"/>
      <c r="E5" s="16"/>
      <c r="F5" s="16"/>
    </row>
    <row r="6" spans="1:7" s="6" customFormat="1" x14ac:dyDescent="0.25">
      <c r="B6" s="16" t="s">
        <v>417</v>
      </c>
      <c r="C6" s="16"/>
      <c r="E6" s="16" t="s">
        <v>340</v>
      </c>
      <c r="F6" s="16" t="s">
        <v>439</v>
      </c>
    </row>
    <row r="7" spans="1:7" s="6" customFormat="1" x14ac:dyDescent="0.25">
      <c r="B7" s="17" t="s">
        <v>418</v>
      </c>
      <c r="C7" s="17" t="s">
        <v>0</v>
      </c>
      <c r="D7" s="18" t="s">
        <v>482</v>
      </c>
      <c r="E7" s="17" t="s">
        <v>427</v>
      </c>
      <c r="F7" s="17" t="s">
        <v>444</v>
      </c>
      <c r="G7" s="69" t="s">
        <v>483</v>
      </c>
    </row>
    <row r="8" spans="1:7" x14ac:dyDescent="0.25">
      <c r="B8" s="2"/>
      <c r="C8" s="19" t="s">
        <v>419</v>
      </c>
      <c r="D8" s="19" t="s">
        <v>420</v>
      </c>
      <c r="E8" s="19" t="s">
        <v>421</v>
      </c>
      <c r="F8" s="19" t="s">
        <v>422</v>
      </c>
      <c r="G8" s="20" t="s">
        <v>430</v>
      </c>
    </row>
    <row r="9" spans="1:7" ht="3.75" customHeight="1" x14ac:dyDescent="0.25">
      <c r="B9" s="2"/>
      <c r="C9" s="19"/>
      <c r="D9" s="19"/>
      <c r="E9" s="19"/>
      <c r="F9" s="19"/>
    </row>
    <row r="10" spans="1:7" ht="15" customHeight="1" x14ac:dyDescent="0.25">
      <c r="B10" s="78">
        <f>MAX($B$8:B9)+1</f>
        <v>1</v>
      </c>
      <c r="C10" s="78" t="s">
        <v>42</v>
      </c>
      <c r="D10" s="23" t="s">
        <v>82</v>
      </c>
      <c r="E10" s="22">
        <f>'WP RA3'!M10+'WP RA3'!N10</f>
        <v>1029799.2950000002</v>
      </c>
      <c r="F10" s="103"/>
      <c r="G10" s="23" t="s">
        <v>575</v>
      </c>
    </row>
    <row r="11" spans="1:7" ht="15" customHeight="1" x14ac:dyDescent="0.25">
      <c r="B11" s="78">
        <f>MAX($B$8:B10)+1</f>
        <v>2</v>
      </c>
      <c r="C11" s="78" t="s">
        <v>43</v>
      </c>
      <c r="D11" s="23" t="s">
        <v>83</v>
      </c>
      <c r="E11" s="22">
        <f>'WP RA3'!M11+'WP RA3'!N11</f>
        <v>226785.6</v>
      </c>
      <c r="F11" s="103">
        <f>E11*12/7-E11</f>
        <v>161989.71428571429</v>
      </c>
      <c r="G11" s="23"/>
    </row>
    <row r="12" spans="1:7" ht="15" customHeight="1" x14ac:dyDescent="0.25">
      <c r="B12" s="78">
        <f>MAX($B$8:B11)+1</f>
        <v>3</v>
      </c>
      <c r="C12" s="78" t="s">
        <v>44</v>
      </c>
      <c r="D12" s="23" t="s">
        <v>84</v>
      </c>
      <c r="E12" s="22">
        <f>'WP RA3'!M12+'WP RA3'!N12</f>
        <v>6778.93</v>
      </c>
      <c r="F12" s="103">
        <f t="shared" ref="F12:F75" si="0">E12*12/7-E12</f>
        <v>4842.0928571428576</v>
      </c>
      <c r="G12" s="23"/>
    </row>
    <row r="13" spans="1:7" ht="15" customHeight="1" x14ac:dyDescent="0.25">
      <c r="B13" s="78">
        <f>MAX($B$8:B12)+1</f>
        <v>4</v>
      </c>
      <c r="C13" s="78" t="s">
        <v>45</v>
      </c>
      <c r="D13" s="23" t="s">
        <v>85</v>
      </c>
      <c r="E13" s="22">
        <f>'WP RA3'!M13+'WP RA3'!N13</f>
        <v>125652.87</v>
      </c>
      <c r="F13" s="103">
        <f t="shared" si="0"/>
        <v>89752.049999999988</v>
      </c>
      <c r="G13" s="23"/>
    </row>
    <row r="14" spans="1:7" ht="15" customHeight="1" x14ac:dyDescent="0.25">
      <c r="B14" s="78">
        <f>MAX($B$8:B13)+1</f>
        <v>5</v>
      </c>
      <c r="C14" s="78" t="s">
        <v>46</v>
      </c>
      <c r="D14" s="23" t="s">
        <v>86</v>
      </c>
      <c r="E14" s="22">
        <f>'WP RA3'!M14+'WP RA3'!N14</f>
        <v>0</v>
      </c>
      <c r="F14" s="103">
        <f t="shared" si="0"/>
        <v>0</v>
      </c>
      <c r="G14" s="23"/>
    </row>
    <row r="15" spans="1:7" ht="15" customHeight="1" x14ac:dyDescent="0.25">
      <c r="B15" s="78">
        <f>MAX($B$8:B14)+1</f>
        <v>6</v>
      </c>
      <c r="C15" s="78" t="s">
        <v>47</v>
      </c>
      <c r="D15" s="23" t="s">
        <v>87</v>
      </c>
      <c r="E15" s="22">
        <f>'WP RA3'!M15+'WP RA3'!N15</f>
        <v>1751.6099999999985</v>
      </c>
      <c r="F15" s="103">
        <f>E15*12/7-E15</f>
        <v>1251.149999999999</v>
      </c>
      <c r="G15" s="23"/>
    </row>
    <row r="16" spans="1:7" ht="15" customHeight="1" x14ac:dyDescent="0.25">
      <c r="B16" s="78">
        <f>MAX($B$8:B15)+1</f>
        <v>7</v>
      </c>
      <c r="C16" s="78" t="s">
        <v>48</v>
      </c>
      <c r="D16" s="23" t="s">
        <v>88</v>
      </c>
      <c r="E16" s="22">
        <f>'WP RA3'!M16+'WP RA3'!N16</f>
        <v>0</v>
      </c>
      <c r="F16" s="103">
        <f t="shared" si="0"/>
        <v>0</v>
      </c>
      <c r="G16" s="23"/>
    </row>
    <row r="17" spans="2:7" ht="15" customHeight="1" x14ac:dyDescent="0.25">
      <c r="B17" s="78">
        <f>MAX($B$8:B16)+1</f>
        <v>8</v>
      </c>
      <c r="C17" s="78" t="s">
        <v>49</v>
      </c>
      <c r="D17" s="23" t="s">
        <v>89</v>
      </c>
      <c r="E17" s="22">
        <f>'WP RA3'!M17+'WP RA3'!N17</f>
        <v>93905.02</v>
      </c>
      <c r="F17" s="103">
        <f t="shared" si="0"/>
        <v>67075.014285714293</v>
      </c>
      <c r="G17" s="23"/>
    </row>
    <row r="18" spans="2:7" ht="15" customHeight="1" x14ac:dyDescent="0.25">
      <c r="B18" s="78">
        <f>MAX($B$8:B17)+1</f>
        <v>9</v>
      </c>
      <c r="C18" s="78" t="s">
        <v>50</v>
      </c>
      <c r="D18" s="23" t="s">
        <v>90</v>
      </c>
      <c r="E18" s="22">
        <f>'WP RA3'!M18+'WP RA3'!N18</f>
        <v>519.16</v>
      </c>
      <c r="F18" s="103">
        <f t="shared" si="0"/>
        <v>370.82857142857142</v>
      </c>
      <c r="G18" s="23"/>
    </row>
    <row r="19" spans="2:7" ht="15" customHeight="1" x14ac:dyDescent="0.25">
      <c r="B19" s="78">
        <f>MAX($B$8:B18)+1</f>
        <v>10</v>
      </c>
      <c r="C19" s="78" t="s">
        <v>51</v>
      </c>
      <c r="D19" s="23" t="s">
        <v>91</v>
      </c>
      <c r="E19" s="22">
        <f>'WP RA3'!M19+'WP RA3'!N19</f>
        <v>79072.455000000002</v>
      </c>
      <c r="F19" s="103">
        <f t="shared" si="0"/>
        <v>56480.324999999997</v>
      </c>
      <c r="G19" s="23"/>
    </row>
    <row r="20" spans="2:7" ht="15" customHeight="1" x14ac:dyDescent="0.25">
      <c r="B20" s="78">
        <f>MAX($B$8:B19)+1</f>
        <v>11</v>
      </c>
      <c r="C20" s="78" t="s">
        <v>52</v>
      </c>
      <c r="D20" s="23" t="s">
        <v>92</v>
      </c>
      <c r="E20" s="22">
        <f>'WP RA3'!M20+'WP RA3'!N20</f>
        <v>115500</v>
      </c>
      <c r="F20" s="103">
        <f t="shared" si="0"/>
        <v>82500</v>
      </c>
      <c r="G20" s="23"/>
    </row>
    <row r="21" spans="2:7" ht="15" customHeight="1" x14ac:dyDescent="0.25">
      <c r="B21" s="78">
        <f>MAX($B$8:B20)+1</f>
        <v>12</v>
      </c>
      <c r="C21" s="78" t="s">
        <v>53</v>
      </c>
      <c r="D21" s="23" t="s">
        <v>93</v>
      </c>
      <c r="E21" s="22">
        <f>'WP RA3'!M21+'WP RA3'!N21</f>
        <v>10246.19</v>
      </c>
      <c r="F21" s="103">
        <f t="shared" si="0"/>
        <v>7318.7071428571417</v>
      </c>
      <c r="G21" s="23"/>
    </row>
    <row r="22" spans="2:7" ht="15" customHeight="1" x14ac:dyDescent="0.25">
      <c r="B22" s="78">
        <f>MAX($B$8:B21)+1</f>
        <v>13</v>
      </c>
      <c r="C22" s="78" t="s">
        <v>54</v>
      </c>
      <c r="D22" s="23" t="s">
        <v>94</v>
      </c>
      <c r="E22" s="22">
        <f>'WP RA3'!M22+'WP RA3'!N22</f>
        <v>2364.04</v>
      </c>
      <c r="F22" s="103">
        <f t="shared" si="0"/>
        <v>1688.6</v>
      </c>
      <c r="G22" s="23"/>
    </row>
    <row r="23" spans="2:7" ht="15" customHeight="1" x14ac:dyDescent="0.25">
      <c r="B23" s="78">
        <f>MAX($B$8:B22)+1</f>
        <v>14</v>
      </c>
      <c r="C23" s="78" t="s">
        <v>55</v>
      </c>
      <c r="D23" s="23" t="s">
        <v>95</v>
      </c>
      <c r="E23" s="22">
        <f>'WP RA3'!M23+'WP RA3'!N23</f>
        <v>0</v>
      </c>
      <c r="F23" s="103">
        <f t="shared" si="0"/>
        <v>0</v>
      </c>
      <c r="G23" s="23"/>
    </row>
    <row r="24" spans="2:7" ht="15" customHeight="1" x14ac:dyDescent="0.25">
      <c r="B24" s="78">
        <f>MAX($B$8:B23)+1</f>
        <v>15</v>
      </c>
      <c r="C24" s="78" t="s">
        <v>56</v>
      </c>
      <c r="D24" s="23" t="s">
        <v>96</v>
      </c>
      <c r="E24" s="22">
        <f>'WP RA3'!M24+'WP RA3'!N24</f>
        <v>4288.8999999999996</v>
      </c>
      <c r="F24" s="103">
        <f t="shared" si="0"/>
        <v>3063.5</v>
      </c>
      <c r="G24" s="23"/>
    </row>
    <row r="25" spans="2:7" ht="15" customHeight="1" x14ac:dyDescent="0.25">
      <c r="B25" s="78">
        <f>MAX($B$8:B24)+1</f>
        <v>16</v>
      </c>
      <c r="C25" s="78" t="s">
        <v>57</v>
      </c>
      <c r="D25" s="23" t="s">
        <v>97</v>
      </c>
      <c r="E25" s="22">
        <f>'WP RA3'!M25+'WP RA3'!N25</f>
        <v>0</v>
      </c>
      <c r="F25" s="103">
        <f t="shared" si="0"/>
        <v>0</v>
      </c>
      <c r="G25" s="23"/>
    </row>
    <row r="26" spans="2:7" ht="15" customHeight="1" x14ac:dyDescent="0.25">
      <c r="B26" s="78">
        <f>MAX($B$8:B25)+1</f>
        <v>17</v>
      </c>
      <c r="C26" s="78" t="s">
        <v>58</v>
      </c>
      <c r="D26" s="23" t="s">
        <v>98</v>
      </c>
      <c r="E26" s="22">
        <f>'WP RA3'!M26+'WP RA3'!N26</f>
        <v>0</v>
      </c>
      <c r="F26" s="103">
        <f t="shared" si="0"/>
        <v>0</v>
      </c>
      <c r="G26" s="23"/>
    </row>
    <row r="27" spans="2:7" ht="15" customHeight="1" x14ac:dyDescent="0.25">
      <c r="B27" s="78">
        <f>MAX($B$8:B26)+1</f>
        <v>18</v>
      </c>
      <c r="C27" s="78" t="s">
        <v>59</v>
      </c>
      <c r="D27" s="23" t="s">
        <v>99</v>
      </c>
      <c r="E27" s="22">
        <f>'WP RA3'!M27+'WP RA3'!N27</f>
        <v>12148.768333333332</v>
      </c>
      <c r="F27" s="103">
        <f t="shared" si="0"/>
        <v>8677.6916666666639</v>
      </c>
      <c r="G27" s="23"/>
    </row>
    <row r="28" spans="2:7" ht="15" customHeight="1" x14ac:dyDescent="0.25">
      <c r="B28" s="78">
        <f>MAX($B$8:B27)+1</f>
        <v>19</v>
      </c>
      <c r="C28" s="78" t="s">
        <v>60</v>
      </c>
      <c r="D28" s="23" t="s">
        <v>100</v>
      </c>
      <c r="E28" s="22">
        <f>'WP RA3'!M28+'WP RA3'!N28</f>
        <v>9677.2999999999993</v>
      </c>
      <c r="F28" s="103">
        <f t="shared" si="0"/>
        <v>6912.3571428571413</v>
      </c>
      <c r="G28" s="23"/>
    </row>
    <row r="29" spans="2:7" ht="15" customHeight="1" x14ac:dyDescent="0.25">
      <c r="B29" s="78">
        <f>MAX($B$8:B28)+1</f>
        <v>20</v>
      </c>
      <c r="C29" s="78" t="s">
        <v>61</v>
      </c>
      <c r="D29" s="23" t="s">
        <v>101</v>
      </c>
      <c r="E29" s="22">
        <f>'WP RA3'!M29+'WP RA3'!N29</f>
        <v>4407.2000000000007</v>
      </c>
      <c r="F29" s="103">
        <f t="shared" si="0"/>
        <v>3148.0000000000009</v>
      </c>
      <c r="G29" s="23"/>
    </row>
    <row r="30" spans="2:7" ht="15" customHeight="1" x14ac:dyDescent="0.25">
      <c r="B30" s="78">
        <f>MAX($B$8:B29)+1</f>
        <v>21</v>
      </c>
      <c r="C30" s="78" t="s">
        <v>62</v>
      </c>
      <c r="D30" s="23" t="s">
        <v>102</v>
      </c>
      <c r="E30" s="22">
        <f>'WP RA3'!M30+'WP RA3'!N30</f>
        <v>130512.62</v>
      </c>
      <c r="F30" s="103">
        <f t="shared" si="0"/>
        <v>93223.299999999988</v>
      </c>
      <c r="G30" s="23"/>
    </row>
    <row r="31" spans="2:7" ht="15" customHeight="1" x14ac:dyDescent="0.25">
      <c r="B31" s="78">
        <f>MAX($B$8:B30)+1</f>
        <v>22</v>
      </c>
      <c r="C31" s="78" t="s">
        <v>63</v>
      </c>
      <c r="D31" s="23" t="s">
        <v>103</v>
      </c>
      <c r="E31" s="22">
        <f>'WP RA3'!M31+'WP RA3'!N31</f>
        <v>0</v>
      </c>
      <c r="F31" s="103">
        <f t="shared" si="0"/>
        <v>0</v>
      </c>
      <c r="G31" s="23"/>
    </row>
    <row r="32" spans="2:7" ht="15" customHeight="1" x14ac:dyDescent="0.25">
      <c r="B32" s="78">
        <f>MAX($B$8:B31)+1</f>
        <v>23</v>
      </c>
      <c r="C32" s="78" t="s">
        <v>64</v>
      </c>
      <c r="D32" s="23" t="s">
        <v>104</v>
      </c>
      <c r="E32" s="22">
        <f>'WP RA3'!M32+'WP RA3'!N32</f>
        <v>0</v>
      </c>
      <c r="F32" s="103">
        <f t="shared" si="0"/>
        <v>0</v>
      </c>
      <c r="G32" s="23"/>
    </row>
    <row r="33" spans="2:7" ht="15" customHeight="1" x14ac:dyDescent="0.25">
      <c r="B33" s="78">
        <f>MAX($B$8:B32)+1</f>
        <v>24</v>
      </c>
      <c r="C33" s="78" t="s">
        <v>65</v>
      </c>
      <c r="D33" s="23" t="s">
        <v>105</v>
      </c>
      <c r="E33" s="22">
        <f>'WP RA3'!M33+'WP RA3'!N33</f>
        <v>0</v>
      </c>
      <c r="F33" s="103">
        <f t="shared" si="0"/>
        <v>0</v>
      </c>
      <c r="G33" s="23"/>
    </row>
    <row r="34" spans="2:7" ht="15" customHeight="1" x14ac:dyDescent="0.25">
      <c r="B34" s="78">
        <f>MAX($B$8:B33)+1</f>
        <v>25</v>
      </c>
      <c r="C34" s="78" t="s">
        <v>66</v>
      </c>
      <c r="D34" s="23" t="s">
        <v>106</v>
      </c>
      <c r="E34" s="22">
        <f>'WP RA3'!M34+'WP RA3'!N34</f>
        <v>0</v>
      </c>
      <c r="F34" s="103">
        <f t="shared" si="0"/>
        <v>0</v>
      </c>
      <c r="G34" s="23"/>
    </row>
    <row r="35" spans="2:7" ht="15" customHeight="1" x14ac:dyDescent="0.25">
      <c r="B35" s="78">
        <f>MAX($B$8:B34)+1</f>
        <v>26</v>
      </c>
      <c r="C35" s="78" t="s">
        <v>67</v>
      </c>
      <c r="D35" s="23" t="s">
        <v>107</v>
      </c>
      <c r="E35" s="22">
        <f>'WP RA3'!M35+'WP RA3'!N35</f>
        <v>0</v>
      </c>
      <c r="F35" s="103">
        <f t="shared" si="0"/>
        <v>0</v>
      </c>
      <c r="G35" s="23"/>
    </row>
    <row r="36" spans="2:7" s="6" customFormat="1" ht="15" customHeight="1" x14ac:dyDescent="0.25">
      <c r="B36" s="78">
        <f>MAX($B$8:B35)+1</f>
        <v>27</v>
      </c>
      <c r="C36" s="78" t="s">
        <v>68</v>
      </c>
      <c r="D36" s="23" t="s">
        <v>108</v>
      </c>
      <c r="E36" s="22">
        <f>'WP RA3'!M36+'WP RA3'!N36</f>
        <v>689810.07</v>
      </c>
      <c r="F36" s="103">
        <f t="shared" si="0"/>
        <v>492721.47857142857</v>
      </c>
      <c r="G36" s="156"/>
    </row>
    <row r="37" spans="2:7" ht="15" customHeight="1" x14ac:dyDescent="0.25">
      <c r="B37" s="78">
        <f>MAX($B$8:B36)+1</f>
        <v>28</v>
      </c>
      <c r="C37" s="78" t="s">
        <v>69</v>
      </c>
      <c r="D37" s="23" t="s">
        <v>109</v>
      </c>
      <c r="E37" s="22">
        <f>'WP RA3'!M37+'WP RA3'!N37</f>
        <v>0</v>
      </c>
      <c r="F37" s="103">
        <f t="shared" si="0"/>
        <v>0</v>
      </c>
      <c r="G37" s="23"/>
    </row>
    <row r="38" spans="2:7" ht="15" customHeight="1" x14ac:dyDescent="0.25">
      <c r="B38" s="78">
        <f>MAX($B$8:B37)+1</f>
        <v>29</v>
      </c>
      <c r="C38" s="78" t="s">
        <v>70</v>
      </c>
      <c r="D38" s="23" t="s">
        <v>110</v>
      </c>
      <c r="E38" s="22">
        <f>'WP RA3'!M38+'WP RA3'!N38</f>
        <v>0</v>
      </c>
      <c r="F38" s="103">
        <f t="shared" si="0"/>
        <v>0</v>
      </c>
      <c r="G38" s="23"/>
    </row>
    <row r="39" spans="2:7" ht="15" customHeight="1" x14ac:dyDescent="0.25">
      <c r="B39" s="78">
        <f>MAX($B$8:B38)+1</f>
        <v>30</v>
      </c>
      <c r="C39" s="78" t="s">
        <v>71</v>
      </c>
      <c r="D39" s="23" t="s">
        <v>111</v>
      </c>
      <c r="E39" s="22">
        <f>'WP RA3'!M39+'WP RA3'!N39</f>
        <v>0</v>
      </c>
      <c r="F39" s="103">
        <f t="shared" si="0"/>
        <v>0</v>
      </c>
      <c r="G39" s="23"/>
    </row>
    <row r="40" spans="2:7" ht="15" customHeight="1" x14ac:dyDescent="0.25">
      <c r="B40" s="78">
        <f>MAX($B$8:B39)+1</f>
        <v>31</v>
      </c>
      <c r="C40" s="78" t="s">
        <v>72</v>
      </c>
      <c r="D40" s="23" t="s">
        <v>112</v>
      </c>
      <c r="E40" s="22">
        <f>'WP RA3'!M40+'WP RA3'!N40</f>
        <v>0</v>
      </c>
      <c r="F40" s="103">
        <f t="shared" si="0"/>
        <v>0</v>
      </c>
      <c r="G40" s="23"/>
    </row>
    <row r="41" spans="2:7" ht="15" customHeight="1" x14ac:dyDescent="0.25">
      <c r="B41" s="78">
        <f>MAX($B$8:B40)+1</f>
        <v>32</v>
      </c>
      <c r="C41" s="78" t="s">
        <v>73</v>
      </c>
      <c r="D41" s="23" t="s">
        <v>113</v>
      </c>
      <c r="E41" s="22">
        <f>'WP RA3'!M41+'WP RA3'!N41</f>
        <v>4431.9467500000028</v>
      </c>
      <c r="F41" s="103">
        <f t="shared" si="0"/>
        <v>3165.6762500000023</v>
      </c>
      <c r="G41" s="23"/>
    </row>
    <row r="42" spans="2:7" ht="15" customHeight="1" x14ac:dyDescent="0.25">
      <c r="B42" s="78">
        <f>MAX($B$8:B41)+1</f>
        <v>33</v>
      </c>
      <c r="C42" s="78" t="s">
        <v>74</v>
      </c>
      <c r="D42" s="23" t="s">
        <v>114</v>
      </c>
      <c r="E42" s="22">
        <f>'WP RA3'!M42+'WP RA3'!N42</f>
        <v>0</v>
      </c>
      <c r="F42" s="103">
        <f t="shared" si="0"/>
        <v>0</v>
      </c>
      <c r="G42" s="23"/>
    </row>
    <row r="43" spans="2:7" ht="15" customHeight="1" x14ac:dyDescent="0.25">
      <c r="B43" s="78">
        <f>MAX($B$8:B42)+1</f>
        <v>34</v>
      </c>
      <c r="C43" s="78" t="s">
        <v>75</v>
      </c>
      <c r="D43" s="23" t="s">
        <v>115</v>
      </c>
      <c r="E43" s="22">
        <f>'WP RA3'!M43+'WP RA3'!N43</f>
        <v>0</v>
      </c>
      <c r="F43" s="103">
        <f t="shared" si="0"/>
        <v>0</v>
      </c>
      <c r="G43" s="23"/>
    </row>
    <row r="44" spans="2:7" ht="15" customHeight="1" x14ac:dyDescent="0.25">
      <c r="B44" s="78">
        <f>MAX($B$8:B43)+1</f>
        <v>35</v>
      </c>
      <c r="C44" s="78" t="s">
        <v>76</v>
      </c>
      <c r="D44" s="23" t="s">
        <v>116</v>
      </c>
      <c r="E44" s="22">
        <f>'WP RA3'!M44+'WP RA3'!N44</f>
        <v>315.13</v>
      </c>
      <c r="F44" s="103">
        <f t="shared" si="0"/>
        <v>225.09285714285716</v>
      </c>
      <c r="G44" s="23"/>
    </row>
    <row r="45" spans="2:7" ht="15" customHeight="1" x14ac:dyDescent="0.25">
      <c r="B45" s="78">
        <f>MAX($B$8:B44)+1</f>
        <v>36</v>
      </c>
      <c r="C45" s="78" t="s">
        <v>77</v>
      </c>
      <c r="D45" s="23" t="s">
        <v>117</v>
      </c>
      <c r="E45" s="22">
        <f>'WP RA3'!M45+'WP RA3'!N45</f>
        <v>0</v>
      </c>
      <c r="F45" s="103">
        <f t="shared" si="0"/>
        <v>0</v>
      </c>
      <c r="G45" s="23"/>
    </row>
    <row r="46" spans="2:7" ht="15" customHeight="1" x14ac:dyDescent="0.25">
      <c r="B46" s="78">
        <f>MAX($B$8:B45)+1</f>
        <v>37</v>
      </c>
      <c r="C46" s="78" t="s">
        <v>78</v>
      </c>
      <c r="D46" s="23" t="s">
        <v>118</v>
      </c>
      <c r="E46" s="22">
        <f>'WP RA3'!M46+'WP RA3'!N46</f>
        <v>0</v>
      </c>
      <c r="F46" s="103">
        <f t="shared" si="0"/>
        <v>0</v>
      </c>
      <c r="G46" s="23"/>
    </row>
    <row r="47" spans="2:7" ht="15" customHeight="1" x14ac:dyDescent="0.25">
      <c r="B47" s="78">
        <f>MAX($B$8:B46)+1</f>
        <v>38</v>
      </c>
      <c r="C47" s="78" t="s">
        <v>79</v>
      </c>
      <c r="D47" s="23" t="s">
        <v>119</v>
      </c>
      <c r="E47" s="22">
        <f>'WP RA3'!M47+'WP RA3'!N47</f>
        <v>1372.9699999999996</v>
      </c>
      <c r="F47" s="103">
        <f t="shared" si="0"/>
        <v>980.69285714285684</v>
      </c>
      <c r="G47" s="23"/>
    </row>
    <row r="48" spans="2:7" ht="15" customHeight="1" x14ac:dyDescent="0.25">
      <c r="B48" s="78">
        <f>MAX($B$8:B47)+1</f>
        <v>39</v>
      </c>
      <c r="C48" s="78" t="s">
        <v>80</v>
      </c>
      <c r="D48" s="23" t="s">
        <v>120</v>
      </c>
      <c r="E48" s="22">
        <f>'WP RA3'!M48+'WP RA3'!N48</f>
        <v>0</v>
      </c>
      <c r="F48" s="103">
        <f t="shared" si="0"/>
        <v>0</v>
      </c>
      <c r="G48" s="23"/>
    </row>
    <row r="49" spans="2:7" ht="15" customHeight="1" x14ac:dyDescent="0.25">
      <c r="B49" s="78">
        <f>MAX($B$8:B48)+1</f>
        <v>40</v>
      </c>
      <c r="C49" s="78" t="s">
        <v>81</v>
      </c>
      <c r="D49" s="23" t="s">
        <v>121</v>
      </c>
      <c r="E49" s="22">
        <f>'WP RA3'!M49+'WP RA3'!N49</f>
        <v>385000</v>
      </c>
      <c r="F49" s="103">
        <f t="shared" si="0"/>
        <v>275000</v>
      </c>
      <c r="G49" s="23"/>
    </row>
    <row r="50" spans="2:7" s="6" customFormat="1" ht="15" customHeight="1" x14ac:dyDescent="0.25">
      <c r="B50" s="78">
        <f>MAX($B$8:B49)+1</f>
        <v>41</v>
      </c>
      <c r="C50" s="78" t="s">
        <v>124</v>
      </c>
      <c r="D50" s="23" t="s">
        <v>122</v>
      </c>
      <c r="E50" s="22">
        <f>'WP RA3'!M50+'WP RA3'!N50</f>
        <v>219972.35</v>
      </c>
      <c r="F50" s="103">
        <f t="shared" si="0"/>
        <v>157123.10714285719</v>
      </c>
      <c r="G50" s="156"/>
    </row>
    <row r="51" spans="2:7" ht="15" customHeight="1" x14ac:dyDescent="0.25">
      <c r="B51" s="78">
        <f>MAX($B$8:B50)+1</f>
        <v>42</v>
      </c>
      <c r="C51" s="78" t="s">
        <v>125</v>
      </c>
      <c r="D51" s="23" t="s">
        <v>123</v>
      </c>
      <c r="E51" s="22">
        <f>'WP RA3'!M51+'WP RA3'!N51</f>
        <v>0</v>
      </c>
      <c r="F51" s="103">
        <f t="shared" si="0"/>
        <v>0</v>
      </c>
      <c r="G51" s="23"/>
    </row>
    <row r="52" spans="2:7" ht="15" customHeight="1" x14ac:dyDescent="0.25">
      <c r="B52" s="78">
        <f>MAX($B$8:B51)+1</f>
        <v>43</v>
      </c>
      <c r="C52" s="78" t="s">
        <v>126</v>
      </c>
      <c r="D52" s="23" t="s">
        <v>179</v>
      </c>
      <c r="E52" s="22">
        <f>'WP RA3'!M52+'WP RA3'!N52</f>
        <v>127630.45</v>
      </c>
      <c r="F52" s="103">
        <f t="shared" si="0"/>
        <v>91164.607142857145</v>
      </c>
      <c r="G52" s="23"/>
    </row>
    <row r="53" spans="2:7" ht="15" customHeight="1" x14ac:dyDescent="0.25">
      <c r="B53" s="78">
        <f>MAX($B$8:B52)+1</f>
        <v>44</v>
      </c>
      <c r="C53" s="78" t="s">
        <v>127</v>
      </c>
      <c r="D53" s="23" t="s">
        <v>180</v>
      </c>
      <c r="E53" s="22">
        <f>'WP RA3'!M53+'WP RA3'!N53</f>
        <v>0</v>
      </c>
      <c r="F53" s="103">
        <f t="shared" si="0"/>
        <v>0</v>
      </c>
      <c r="G53" s="23"/>
    </row>
    <row r="54" spans="2:7" ht="15" customHeight="1" x14ac:dyDescent="0.25">
      <c r="B54" s="78">
        <f>MAX($B$8:B53)+1</f>
        <v>45</v>
      </c>
      <c r="C54" s="78" t="s">
        <v>128</v>
      </c>
      <c r="D54" s="23" t="s">
        <v>181</v>
      </c>
      <c r="E54" s="22">
        <f>'WP RA3'!M54+'WP RA3'!N54</f>
        <v>0</v>
      </c>
      <c r="F54" s="103">
        <f t="shared" si="0"/>
        <v>0</v>
      </c>
      <c r="G54" s="23"/>
    </row>
    <row r="55" spans="2:7" ht="15" customHeight="1" x14ac:dyDescent="0.25">
      <c r="B55" s="78">
        <f>MAX($B$8:B54)+1</f>
        <v>46</v>
      </c>
      <c r="C55" s="78" t="s">
        <v>129</v>
      </c>
      <c r="D55" s="23" t="s">
        <v>182</v>
      </c>
      <c r="E55" s="22">
        <f>'WP RA3'!M55+'WP RA3'!N55</f>
        <v>14723.52</v>
      </c>
      <c r="F55" s="103">
        <f t="shared" si="0"/>
        <v>10516.8</v>
      </c>
      <c r="G55" s="23"/>
    </row>
    <row r="56" spans="2:7" ht="15" customHeight="1" x14ac:dyDescent="0.25">
      <c r="B56" s="78">
        <f>MAX($B$8:B55)+1</f>
        <v>47</v>
      </c>
      <c r="C56" s="78" t="s">
        <v>130</v>
      </c>
      <c r="D56" s="23" t="s">
        <v>183</v>
      </c>
      <c r="E56" s="22">
        <f>'WP RA3'!M56+'WP RA3'!N56</f>
        <v>0</v>
      </c>
      <c r="F56" s="103">
        <f t="shared" si="0"/>
        <v>0</v>
      </c>
      <c r="G56" s="23"/>
    </row>
    <row r="57" spans="2:7" ht="15" customHeight="1" x14ac:dyDescent="0.25">
      <c r="B57" s="78">
        <f>MAX($B$8:B56)+1</f>
        <v>48</v>
      </c>
      <c r="C57" s="78" t="s">
        <v>131</v>
      </c>
      <c r="D57" s="23" t="s">
        <v>184</v>
      </c>
      <c r="E57" s="22">
        <f>'WP RA3'!M57+'WP RA3'!N57</f>
        <v>0</v>
      </c>
      <c r="F57" s="103">
        <f t="shared" si="0"/>
        <v>0</v>
      </c>
      <c r="G57" s="23"/>
    </row>
    <row r="58" spans="2:7" ht="15" customHeight="1" x14ac:dyDescent="0.25">
      <c r="B58" s="78">
        <f>MAX($B$8:B57)+1</f>
        <v>49</v>
      </c>
      <c r="C58" s="78" t="s">
        <v>132</v>
      </c>
      <c r="D58" s="23" t="s">
        <v>185</v>
      </c>
      <c r="E58" s="22">
        <f>'WP RA3'!M58+'WP RA3'!N58</f>
        <v>0</v>
      </c>
      <c r="F58" s="103">
        <f t="shared" si="0"/>
        <v>0</v>
      </c>
      <c r="G58" s="23"/>
    </row>
    <row r="59" spans="2:7" ht="15" customHeight="1" x14ac:dyDescent="0.25">
      <c r="B59" s="78">
        <f>MAX($B$8:B58)+1</f>
        <v>50</v>
      </c>
      <c r="C59" s="78" t="s">
        <v>133</v>
      </c>
      <c r="D59" s="23" t="s">
        <v>186</v>
      </c>
      <c r="E59" s="22">
        <f>'WP RA3'!M59+'WP RA3'!N59</f>
        <v>304.98</v>
      </c>
      <c r="F59" s="103">
        <f t="shared" si="0"/>
        <v>217.84285714285716</v>
      </c>
      <c r="G59" s="23"/>
    </row>
    <row r="60" spans="2:7" ht="15" customHeight="1" x14ac:dyDescent="0.25">
      <c r="B60" s="78">
        <f>MAX($B$8:B59)+1</f>
        <v>51</v>
      </c>
      <c r="C60" s="78" t="s">
        <v>134</v>
      </c>
      <c r="D60" s="23" t="s">
        <v>187</v>
      </c>
      <c r="E60" s="22">
        <f>'WP RA3'!M60+'WP RA3'!N60</f>
        <v>0</v>
      </c>
      <c r="F60" s="103">
        <f t="shared" si="0"/>
        <v>0</v>
      </c>
      <c r="G60" s="23"/>
    </row>
    <row r="61" spans="2:7" ht="15" customHeight="1" x14ac:dyDescent="0.25">
      <c r="B61" s="78">
        <f>MAX($B$8:B60)+1</f>
        <v>52</v>
      </c>
      <c r="C61" s="78" t="s">
        <v>135</v>
      </c>
      <c r="D61" s="23" t="s">
        <v>188</v>
      </c>
      <c r="E61" s="22">
        <f>'WP RA3'!M61+'WP RA3'!N61</f>
        <v>3937.5</v>
      </c>
      <c r="F61" s="103">
        <f t="shared" si="0"/>
        <v>2812.5</v>
      </c>
      <c r="G61" s="23"/>
    </row>
    <row r="62" spans="2:7" ht="15" customHeight="1" x14ac:dyDescent="0.25">
      <c r="B62" s="78">
        <f>MAX($B$8:B61)+1</f>
        <v>53</v>
      </c>
      <c r="C62" s="78" t="s">
        <v>136</v>
      </c>
      <c r="D62" s="23" t="s">
        <v>189</v>
      </c>
      <c r="E62" s="22">
        <f>'WP RA3'!M62+'WP RA3'!N62</f>
        <v>14764.76</v>
      </c>
      <c r="F62" s="103">
        <f t="shared" si="0"/>
        <v>10546.257142857141</v>
      </c>
      <c r="G62" s="23"/>
    </row>
    <row r="63" spans="2:7" ht="15" customHeight="1" x14ac:dyDescent="0.25">
      <c r="B63" s="78">
        <f>MAX($B$8:B62)+1</f>
        <v>54</v>
      </c>
      <c r="C63" s="78" t="s">
        <v>137</v>
      </c>
      <c r="D63" s="23" t="s">
        <v>190</v>
      </c>
      <c r="E63" s="22">
        <f>'WP RA3'!M63+'WP RA3'!N63</f>
        <v>-1291.6400000000001</v>
      </c>
      <c r="F63" s="103">
        <f t="shared" si="0"/>
        <v>-922.60000000000014</v>
      </c>
      <c r="G63" s="23"/>
    </row>
    <row r="64" spans="2:7" ht="15" customHeight="1" x14ac:dyDescent="0.25">
      <c r="B64" s="78">
        <f>MAX($B$8:B63)+1</f>
        <v>55</v>
      </c>
      <c r="C64" s="78" t="s">
        <v>138</v>
      </c>
      <c r="D64" s="23" t="s">
        <v>191</v>
      </c>
      <c r="E64" s="22">
        <f>'WP RA3'!M64+'WP RA3'!N64</f>
        <v>0</v>
      </c>
      <c r="F64" s="103">
        <f t="shared" si="0"/>
        <v>0</v>
      </c>
      <c r="G64" s="23"/>
    </row>
    <row r="65" spans="2:7" ht="15" customHeight="1" x14ac:dyDescent="0.25">
      <c r="B65" s="78">
        <f>MAX($B$8:B64)+1</f>
        <v>56</v>
      </c>
      <c r="C65" s="78" t="s">
        <v>139</v>
      </c>
      <c r="D65" s="23" t="s">
        <v>192</v>
      </c>
      <c r="E65" s="22">
        <f>'WP RA3'!M65+'WP RA3'!N65</f>
        <v>3799</v>
      </c>
      <c r="F65" s="103">
        <f t="shared" si="0"/>
        <v>2713.5714285714284</v>
      </c>
      <c r="G65" s="23"/>
    </row>
    <row r="66" spans="2:7" ht="15" customHeight="1" x14ac:dyDescent="0.25">
      <c r="B66" s="78">
        <f>MAX($B$8:B65)+1</f>
        <v>57</v>
      </c>
      <c r="C66" s="78" t="s">
        <v>140</v>
      </c>
      <c r="D66" s="23" t="s">
        <v>193</v>
      </c>
      <c r="E66" s="22">
        <f>'WP RA3'!M66+'WP RA3'!N66</f>
        <v>0</v>
      </c>
      <c r="F66" s="103">
        <f t="shared" si="0"/>
        <v>0</v>
      </c>
      <c r="G66" s="23"/>
    </row>
    <row r="67" spans="2:7" ht="15" customHeight="1" x14ac:dyDescent="0.25">
      <c r="B67" s="78">
        <f>MAX($B$8:B66)+1</f>
        <v>58</v>
      </c>
      <c r="C67" s="78" t="s">
        <v>141</v>
      </c>
      <c r="D67" s="23" t="s">
        <v>194</v>
      </c>
      <c r="E67" s="22">
        <f>'WP RA3'!M67+'WP RA3'!N67</f>
        <v>211233.85</v>
      </c>
      <c r="F67" s="103">
        <f t="shared" si="0"/>
        <v>150881.32142857145</v>
      </c>
      <c r="G67" s="23"/>
    </row>
    <row r="68" spans="2:7" ht="15" customHeight="1" x14ac:dyDescent="0.25">
      <c r="B68" s="78">
        <f>MAX($B$8:B67)+1</f>
        <v>59</v>
      </c>
      <c r="C68" s="78" t="s">
        <v>142</v>
      </c>
      <c r="D68" s="23" t="s">
        <v>195</v>
      </c>
      <c r="E68" s="22">
        <f>'WP RA3'!M68+'WP RA3'!N68</f>
        <v>97464.63</v>
      </c>
      <c r="F68" s="103">
        <f t="shared" si="0"/>
        <v>69617.592857142852</v>
      </c>
      <c r="G68" s="23"/>
    </row>
    <row r="69" spans="2:7" ht="15" customHeight="1" x14ac:dyDescent="0.25">
      <c r="B69" s="78">
        <f>MAX($B$8:B68)+1</f>
        <v>60</v>
      </c>
      <c r="C69" s="78" t="s">
        <v>143</v>
      </c>
      <c r="D69" s="23" t="s">
        <v>196</v>
      </c>
      <c r="E69" s="22">
        <f>'WP RA3'!M69+'WP RA3'!N69</f>
        <v>0</v>
      </c>
      <c r="F69" s="103">
        <f t="shared" si="0"/>
        <v>0</v>
      </c>
      <c r="G69" s="23"/>
    </row>
    <row r="70" spans="2:7" ht="15" customHeight="1" x14ac:dyDescent="0.25">
      <c r="B70" s="78">
        <f>MAX($B$8:B69)+1</f>
        <v>61</v>
      </c>
      <c r="C70" s="78" t="s">
        <v>144</v>
      </c>
      <c r="D70" s="23" t="s">
        <v>197</v>
      </c>
      <c r="E70" s="22">
        <f>'WP RA3'!M70+'WP RA3'!N70</f>
        <v>17.45</v>
      </c>
      <c r="F70" s="103">
        <f t="shared" si="0"/>
        <v>12.464285714285712</v>
      </c>
      <c r="G70" s="23"/>
    </row>
    <row r="71" spans="2:7" ht="15" customHeight="1" x14ac:dyDescent="0.25">
      <c r="B71" s="78">
        <f>MAX($B$8:B70)+1</f>
        <v>62</v>
      </c>
      <c r="C71" s="78" t="s">
        <v>145</v>
      </c>
      <c r="D71" s="23" t="s">
        <v>198</v>
      </c>
      <c r="E71" s="22">
        <f>'WP RA3'!M71+'WP RA3'!N71+'WP RA5'!E10</f>
        <v>-2493.2219000000005</v>
      </c>
      <c r="F71" s="103">
        <f t="shared" si="0"/>
        <v>-1780.8727857142858</v>
      </c>
      <c r="G71" s="23"/>
    </row>
    <row r="72" spans="2:7" ht="15" customHeight="1" x14ac:dyDescent="0.25">
      <c r="B72" s="78">
        <f>MAX($B$8:B71)+1</f>
        <v>63</v>
      </c>
      <c r="C72" s="78" t="s">
        <v>146</v>
      </c>
      <c r="D72" s="23" t="s">
        <v>199</v>
      </c>
      <c r="E72" s="22">
        <f>'WP RA3'!M72+'WP RA3'!N72</f>
        <v>1267.42</v>
      </c>
      <c r="F72" s="103">
        <f t="shared" si="0"/>
        <v>905.30000000000018</v>
      </c>
      <c r="G72" s="23"/>
    </row>
    <row r="73" spans="2:7" ht="15" customHeight="1" x14ac:dyDescent="0.25">
      <c r="B73" s="78">
        <f>MAX($B$8:B72)+1</f>
        <v>64</v>
      </c>
      <c r="C73" s="78" t="s">
        <v>147</v>
      </c>
      <c r="D73" s="23" t="s">
        <v>200</v>
      </c>
      <c r="E73" s="22">
        <f>'WP RA3'!M73+'WP RA3'!N73</f>
        <v>0</v>
      </c>
      <c r="F73" s="103">
        <f t="shared" si="0"/>
        <v>0</v>
      </c>
      <c r="G73" s="23"/>
    </row>
    <row r="74" spans="2:7" ht="15" customHeight="1" x14ac:dyDescent="0.25">
      <c r="B74" s="78">
        <f>MAX($B$8:B73)+1</f>
        <v>65</v>
      </c>
      <c r="C74" s="78" t="s">
        <v>148</v>
      </c>
      <c r="D74" s="23" t="s">
        <v>201</v>
      </c>
      <c r="E74" s="22">
        <f>'WP RA3'!M74+'WP RA3'!N74</f>
        <v>0</v>
      </c>
      <c r="F74" s="103">
        <f t="shared" si="0"/>
        <v>0</v>
      </c>
      <c r="G74" s="23"/>
    </row>
    <row r="75" spans="2:7" ht="15" customHeight="1" x14ac:dyDescent="0.25">
      <c r="B75" s="78">
        <f>MAX($B$8:B74)+1</f>
        <v>66</v>
      </c>
      <c r="C75" s="78" t="s">
        <v>149</v>
      </c>
      <c r="D75" s="23" t="s">
        <v>202</v>
      </c>
      <c r="E75" s="22">
        <f>'WP RA3'!M75+'WP RA3'!N75</f>
        <v>104119.87</v>
      </c>
      <c r="F75" s="103">
        <f t="shared" si="0"/>
        <v>74371.335714285698</v>
      </c>
      <c r="G75" s="23"/>
    </row>
    <row r="76" spans="2:7" ht="15" customHeight="1" x14ac:dyDescent="0.25">
      <c r="B76" s="78">
        <f>MAX($B$8:B75)+1</f>
        <v>67</v>
      </c>
      <c r="C76" s="78" t="s">
        <v>150</v>
      </c>
      <c r="D76" s="23" t="s">
        <v>203</v>
      </c>
      <c r="E76" s="22">
        <f>'WP RA3'!M76+'WP RA3'!N76</f>
        <v>0</v>
      </c>
      <c r="F76" s="103">
        <f t="shared" ref="F76:F127" si="1">E76*12/7-E76</f>
        <v>0</v>
      </c>
      <c r="G76" s="23"/>
    </row>
    <row r="77" spans="2:7" ht="15" customHeight="1" x14ac:dyDescent="0.25">
      <c r="B77" s="78">
        <f>MAX($B$8:B76)+1</f>
        <v>68</v>
      </c>
      <c r="C77" s="78" t="s">
        <v>151</v>
      </c>
      <c r="D77" s="23" t="s">
        <v>190</v>
      </c>
      <c r="E77" s="22">
        <f>'WP RA3'!M77+'WP RA3'!N77</f>
        <v>0</v>
      </c>
      <c r="F77" s="103">
        <f t="shared" si="1"/>
        <v>0</v>
      </c>
      <c r="G77" s="23"/>
    </row>
    <row r="78" spans="2:7" ht="15" customHeight="1" x14ac:dyDescent="0.25">
      <c r="B78" s="78">
        <f>MAX($B$8:B77)+1</f>
        <v>69</v>
      </c>
      <c r="C78" s="78" t="s">
        <v>152</v>
      </c>
      <c r="D78" s="23" t="s">
        <v>193</v>
      </c>
      <c r="E78" s="22">
        <f>'WP RA3'!M78+'WP RA3'!N78</f>
        <v>0</v>
      </c>
      <c r="F78" s="103">
        <f t="shared" si="1"/>
        <v>0</v>
      </c>
      <c r="G78" s="23"/>
    </row>
    <row r="79" spans="2:7" ht="15" customHeight="1" x14ac:dyDescent="0.25">
      <c r="B79" s="78">
        <f>MAX($B$8:B78)+1</f>
        <v>70</v>
      </c>
      <c r="C79" s="78" t="s">
        <v>153</v>
      </c>
      <c r="D79" s="23" t="s">
        <v>204</v>
      </c>
      <c r="E79" s="22">
        <f>'WP RA3'!M79+'WP RA3'!N79</f>
        <v>118015.66</v>
      </c>
      <c r="F79" s="103">
        <f t="shared" si="1"/>
        <v>84296.9</v>
      </c>
      <c r="G79" s="23"/>
    </row>
    <row r="80" spans="2:7" ht="15" customHeight="1" x14ac:dyDescent="0.25">
      <c r="B80" s="78">
        <f>MAX($B$8:B79)+1</f>
        <v>71</v>
      </c>
      <c r="C80" s="78" t="s">
        <v>154</v>
      </c>
      <c r="D80" s="23" t="s">
        <v>205</v>
      </c>
      <c r="E80" s="22">
        <f>'WP RA3'!M80+'WP RA3'!N80</f>
        <v>0</v>
      </c>
      <c r="F80" s="103">
        <f t="shared" si="1"/>
        <v>0</v>
      </c>
      <c r="G80" s="23"/>
    </row>
    <row r="81" spans="2:7" ht="15" customHeight="1" x14ac:dyDescent="0.25">
      <c r="B81" s="78">
        <f>MAX($B$8:B80)+1</f>
        <v>72</v>
      </c>
      <c r="C81" s="78" t="s">
        <v>155</v>
      </c>
      <c r="D81" s="23" t="s">
        <v>206</v>
      </c>
      <c r="E81" s="22">
        <f>'WP RA3'!M81+'WP RA3'!N81</f>
        <v>2343.0500000000002</v>
      </c>
      <c r="F81" s="103">
        <f t="shared" si="1"/>
        <v>1673.6071428571431</v>
      </c>
      <c r="G81" s="23"/>
    </row>
    <row r="82" spans="2:7" ht="15" customHeight="1" x14ac:dyDescent="0.25">
      <c r="B82" s="78">
        <f>MAX($B$8:B81)+1</f>
        <v>73</v>
      </c>
      <c r="C82" s="78" t="s">
        <v>156</v>
      </c>
      <c r="D82" s="23" t="s">
        <v>206</v>
      </c>
      <c r="E82" s="22">
        <f>'WP RA3'!M82+'WP RA3'!N82</f>
        <v>73263.03</v>
      </c>
      <c r="F82" s="103">
        <f t="shared" si="1"/>
        <v>52330.735714285707</v>
      </c>
      <c r="G82" s="23"/>
    </row>
    <row r="83" spans="2:7" ht="15" customHeight="1" x14ac:dyDescent="0.25">
      <c r="B83" s="78">
        <f>MAX($B$8:B82)+1</f>
        <v>74</v>
      </c>
      <c r="C83" s="78" t="s">
        <v>157</v>
      </c>
      <c r="D83" s="23" t="s">
        <v>207</v>
      </c>
      <c r="E83" s="22">
        <f>'WP RA3'!M83+'WP RA3'!N83</f>
        <v>41908.050000000003</v>
      </c>
      <c r="F83" s="103">
        <f t="shared" si="1"/>
        <v>29934.321428571435</v>
      </c>
      <c r="G83" s="23"/>
    </row>
    <row r="84" spans="2:7" ht="15" customHeight="1" x14ac:dyDescent="0.25">
      <c r="B84" s="78">
        <f>MAX($B$8:B83)+1</f>
        <v>75</v>
      </c>
      <c r="C84" s="78" t="s">
        <v>158</v>
      </c>
      <c r="D84" s="23" t="s">
        <v>190</v>
      </c>
      <c r="E84" s="22">
        <f>'WP RA3'!M84+'WP RA3'!N84</f>
        <v>68256.100000000006</v>
      </c>
      <c r="F84" s="103">
        <f t="shared" si="1"/>
        <v>48754.357142857145</v>
      </c>
      <c r="G84" s="23"/>
    </row>
    <row r="85" spans="2:7" ht="15" customHeight="1" x14ac:dyDescent="0.25">
      <c r="B85" s="78">
        <f>MAX($B$8:B84)+1</f>
        <v>76</v>
      </c>
      <c r="C85" s="78" t="s">
        <v>159</v>
      </c>
      <c r="D85" s="23" t="s">
        <v>208</v>
      </c>
      <c r="E85" s="22">
        <f>'WP RA3'!M85+'WP RA3'!N85</f>
        <v>0</v>
      </c>
      <c r="F85" s="103">
        <f t="shared" si="1"/>
        <v>0</v>
      </c>
      <c r="G85" s="23"/>
    </row>
    <row r="86" spans="2:7" ht="15" customHeight="1" x14ac:dyDescent="0.25">
      <c r="B86" s="78">
        <f>MAX($B$8:B85)+1</f>
        <v>77</v>
      </c>
      <c r="C86" s="78" t="s">
        <v>160</v>
      </c>
      <c r="D86" s="23" t="s">
        <v>209</v>
      </c>
      <c r="E86" s="22">
        <f>'WP RA3'!M86+'WP RA3'!N86</f>
        <v>0</v>
      </c>
      <c r="F86" s="103">
        <f t="shared" si="1"/>
        <v>0</v>
      </c>
      <c r="G86" s="23"/>
    </row>
    <row r="87" spans="2:7" ht="15" customHeight="1" x14ac:dyDescent="0.25">
      <c r="B87" s="78">
        <f>MAX($B$8:B86)+1</f>
        <v>78</v>
      </c>
      <c r="C87" s="78" t="s">
        <v>161</v>
      </c>
      <c r="D87" s="23" t="s">
        <v>210</v>
      </c>
      <c r="E87" s="22">
        <f>'WP RA3'!M87+'WP RA3'!N87</f>
        <v>220081.7</v>
      </c>
      <c r="F87" s="103">
        <f t="shared" si="1"/>
        <v>157201.21428571432</v>
      </c>
      <c r="G87" s="23"/>
    </row>
    <row r="88" spans="2:7" ht="15" customHeight="1" x14ac:dyDescent="0.25">
      <c r="B88" s="78">
        <f>MAX($B$8:B87)+1</f>
        <v>79</v>
      </c>
      <c r="C88" s="78" t="s">
        <v>162</v>
      </c>
      <c r="D88" s="23" t="s">
        <v>211</v>
      </c>
      <c r="E88" s="22">
        <f>'WP RA3'!M88+'WP RA3'!N88</f>
        <v>3555.62</v>
      </c>
      <c r="F88" s="103">
        <f t="shared" si="1"/>
        <v>2539.7285714285717</v>
      </c>
      <c r="G88" s="23"/>
    </row>
    <row r="89" spans="2:7" ht="15" customHeight="1" x14ac:dyDescent="0.25">
      <c r="B89" s="78">
        <f>MAX($B$8:B88)+1</f>
        <v>80</v>
      </c>
      <c r="C89" s="78" t="s">
        <v>163</v>
      </c>
      <c r="D89" s="23" t="s">
        <v>212</v>
      </c>
      <c r="E89" s="22">
        <f>'WP RA3'!M89+'WP RA3'!N89</f>
        <v>0</v>
      </c>
      <c r="F89" s="103">
        <f t="shared" si="1"/>
        <v>0</v>
      </c>
      <c r="G89" s="23"/>
    </row>
    <row r="90" spans="2:7" ht="15" customHeight="1" x14ac:dyDescent="0.25">
      <c r="B90" s="78">
        <f>MAX($B$8:B89)+1</f>
        <v>81</v>
      </c>
      <c r="C90" s="78" t="s">
        <v>164</v>
      </c>
      <c r="D90" s="23" t="s">
        <v>213</v>
      </c>
      <c r="E90" s="22">
        <f>'WP RA3'!M90+'WP RA3'!N90</f>
        <v>49000</v>
      </c>
      <c r="F90" s="103">
        <f t="shared" si="1"/>
        <v>35000</v>
      </c>
      <c r="G90" s="23"/>
    </row>
    <row r="91" spans="2:7" ht="15" customHeight="1" x14ac:dyDescent="0.25">
      <c r="B91" s="78">
        <f>MAX($B$8:B90)+1</f>
        <v>82</v>
      </c>
      <c r="C91" s="78" t="s">
        <v>165</v>
      </c>
      <c r="D91" s="23" t="s">
        <v>214</v>
      </c>
      <c r="E91" s="22">
        <f>'WP RA3'!M91+'WP RA3'!N91</f>
        <v>11174.97</v>
      </c>
      <c r="F91" s="103">
        <f t="shared" si="1"/>
        <v>7982.1214285714286</v>
      </c>
      <c r="G91" s="23"/>
    </row>
    <row r="92" spans="2:7" ht="15" customHeight="1" x14ac:dyDescent="0.25">
      <c r="B92" s="78">
        <f>MAX($B$8:B91)+1</f>
        <v>83</v>
      </c>
      <c r="C92" s="78" t="s">
        <v>166</v>
      </c>
      <c r="D92" s="23" t="s">
        <v>215</v>
      </c>
      <c r="E92" s="22">
        <f>'WP RA3'!M92+'WP RA3'!N92</f>
        <v>0</v>
      </c>
      <c r="F92" s="103">
        <f t="shared" si="1"/>
        <v>0</v>
      </c>
      <c r="G92" s="23"/>
    </row>
    <row r="93" spans="2:7" ht="15" customHeight="1" x14ac:dyDescent="0.25">
      <c r="B93" s="78">
        <f>MAX($B$8:B92)+1</f>
        <v>84</v>
      </c>
      <c r="C93" s="78" t="s">
        <v>167</v>
      </c>
      <c r="D93" s="23" t="s">
        <v>216</v>
      </c>
      <c r="E93" s="22">
        <f>'WP RA3'!M93+'WP RA3'!N93</f>
        <v>0</v>
      </c>
      <c r="F93" s="103">
        <f t="shared" si="1"/>
        <v>0</v>
      </c>
      <c r="G93" s="23"/>
    </row>
    <row r="94" spans="2:7" ht="15" customHeight="1" x14ac:dyDescent="0.25">
      <c r="B94" s="78">
        <f>MAX($B$8:B93)+1</f>
        <v>85</v>
      </c>
      <c r="C94" s="78" t="s">
        <v>168</v>
      </c>
      <c r="D94" s="23" t="s">
        <v>217</v>
      </c>
      <c r="E94" s="22">
        <f>'WP RA3'!M94+'WP RA3'!N94</f>
        <v>11433.239999999998</v>
      </c>
      <c r="F94" s="103">
        <f t="shared" si="1"/>
        <v>8166.5999999999985</v>
      </c>
      <c r="G94" s="23"/>
    </row>
    <row r="95" spans="2:7" ht="15" customHeight="1" x14ac:dyDescent="0.25">
      <c r="B95" s="78">
        <f>MAX($B$8:B94)+1</f>
        <v>86</v>
      </c>
      <c r="C95" s="78" t="s">
        <v>169</v>
      </c>
      <c r="D95" s="23" t="s">
        <v>87</v>
      </c>
      <c r="E95" s="22">
        <f>'WP RA3'!M95+'WP RA3'!N95</f>
        <v>0</v>
      </c>
      <c r="F95" s="103">
        <f t="shared" si="1"/>
        <v>0</v>
      </c>
      <c r="G95" s="23"/>
    </row>
    <row r="96" spans="2:7" ht="15" customHeight="1" x14ac:dyDescent="0.25">
      <c r="B96" s="78">
        <f>MAX($B$8:B95)+1</f>
        <v>87</v>
      </c>
      <c r="C96" s="78" t="s">
        <v>170</v>
      </c>
      <c r="D96" s="23" t="s">
        <v>88</v>
      </c>
      <c r="E96" s="22">
        <f>'WP RA3'!M96+'WP RA3'!N96</f>
        <v>56513.8</v>
      </c>
      <c r="F96" s="103">
        <f t="shared" si="1"/>
        <v>40367.000000000015</v>
      </c>
      <c r="G96" s="23"/>
    </row>
    <row r="97" spans="2:7" ht="15" customHeight="1" x14ac:dyDescent="0.25">
      <c r="B97" s="78">
        <f>MAX($B$8:B96)+1</f>
        <v>88</v>
      </c>
      <c r="C97" s="78" t="s">
        <v>171</v>
      </c>
      <c r="D97" s="23" t="s">
        <v>218</v>
      </c>
      <c r="E97" s="22">
        <f>'WP RA3'!M97+'WP RA3'!N97</f>
        <v>0</v>
      </c>
      <c r="F97" s="103">
        <f t="shared" si="1"/>
        <v>0</v>
      </c>
      <c r="G97" s="23"/>
    </row>
    <row r="98" spans="2:7" ht="15" customHeight="1" x14ac:dyDescent="0.25">
      <c r="B98" s="78">
        <f>MAX($B$8:B97)+1</f>
        <v>89</v>
      </c>
      <c r="C98" s="78" t="s">
        <v>172</v>
      </c>
      <c r="D98" s="23" t="s">
        <v>219</v>
      </c>
      <c r="E98" s="22">
        <f>'WP RA3'!M98+'WP RA3'!N98</f>
        <v>0</v>
      </c>
      <c r="F98" s="103">
        <f t="shared" si="1"/>
        <v>0</v>
      </c>
      <c r="G98" s="23"/>
    </row>
    <row r="99" spans="2:7" ht="15" customHeight="1" x14ac:dyDescent="0.25">
      <c r="B99" s="78">
        <f>MAX($B$8:B98)+1</f>
        <v>90</v>
      </c>
      <c r="C99" s="78" t="s">
        <v>173</v>
      </c>
      <c r="D99" s="23" t="s">
        <v>220</v>
      </c>
      <c r="E99" s="22">
        <f>'WP RA3'!M99+'WP RA3'!N99</f>
        <v>1045.69</v>
      </c>
      <c r="F99" s="103">
        <f t="shared" si="1"/>
        <v>746.92142857142858</v>
      </c>
      <c r="G99" s="23"/>
    </row>
    <row r="100" spans="2:7" ht="15" customHeight="1" x14ac:dyDescent="0.25">
      <c r="B100" s="78">
        <f>MAX($B$8:B99)+1</f>
        <v>91</v>
      </c>
      <c r="C100" s="78" t="s">
        <v>174</v>
      </c>
      <c r="D100" s="23" t="s">
        <v>221</v>
      </c>
      <c r="E100" s="22">
        <f>'WP RA3'!M100+'WP RA3'!N100</f>
        <v>0</v>
      </c>
      <c r="F100" s="103">
        <f t="shared" si="1"/>
        <v>0</v>
      </c>
      <c r="G100" s="23"/>
    </row>
    <row r="101" spans="2:7" ht="15" customHeight="1" x14ac:dyDescent="0.25">
      <c r="B101" s="78">
        <f>MAX($B$8:B100)+1</f>
        <v>92</v>
      </c>
      <c r="C101" s="78" t="s">
        <v>175</v>
      </c>
      <c r="D101" s="23" t="s">
        <v>222</v>
      </c>
      <c r="E101" s="22">
        <f>'WP RA3'!M101+'WP RA3'!N101</f>
        <v>16159.47</v>
      </c>
      <c r="F101" s="103">
        <f t="shared" si="1"/>
        <v>11542.47857142857</v>
      </c>
      <c r="G101" s="23"/>
    </row>
    <row r="102" spans="2:7" ht="15" customHeight="1" x14ac:dyDescent="0.25">
      <c r="B102" s="78">
        <f>MAX($B$8:B101)+1</f>
        <v>93</v>
      </c>
      <c r="C102" s="78" t="s">
        <v>176</v>
      </c>
      <c r="D102" s="23" t="s">
        <v>223</v>
      </c>
      <c r="E102" s="22">
        <f>'WP RA3'!M102+'WP RA3'!N102</f>
        <v>0</v>
      </c>
      <c r="F102" s="103">
        <f t="shared" si="1"/>
        <v>0</v>
      </c>
      <c r="G102" s="23"/>
    </row>
    <row r="103" spans="2:7" ht="15" customHeight="1" x14ac:dyDescent="0.25">
      <c r="B103" s="78">
        <f>MAX($B$8:B102)+1</f>
        <v>94</v>
      </c>
      <c r="C103" s="78" t="s">
        <v>177</v>
      </c>
      <c r="D103" s="23" t="s">
        <v>224</v>
      </c>
      <c r="E103" s="22">
        <f>'WP RA3'!M103+'WP RA3'!N103</f>
        <v>162036.63</v>
      </c>
      <c r="F103" s="103">
        <f t="shared" si="1"/>
        <v>115740.45000000001</v>
      </c>
      <c r="G103" s="23"/>
    </row>
    <row r="104" spans="2:7" ht="15" customHeight="1" x14ac:dyDescent="0.25">
      <c r="B104" s="78">
        <f>MAX($B$8:B103)+1</f>
        <v>95</v>
      </c>
      <c r="C104" s="78" t="s">
        <v>178</v>
      </c>
      <c r="D104" s="23" t="s">
        <v>225</v>
      </c>
      <c r="E104" s="22">
        <f>'WP RA3'!M104+'WP RA3'!N104</f>
        <v>-11900</v>
      </c>
      <c r="F104" s="103">
        <f t="shared" si="1"/>
        <v>-8500</v>
      </c>
      <c r="G104" s="23"/>
    </row>
    <row r="105" spans="2:7" ht="15" customHeight="1" x14ac:dyDescent="0.25">
      <c r="B105" s="78">
        <f>MAX($B$8:B104)+1</f>
        <v>96</v>
      </c>
      <c r="C105" s="78" t="s">
        <v>226</v>
      </c>
      <c r="D105" s="23" t="s">
        <v>238</v>
      </c>
      <c r="E105" s="22">
        <f>'WP RA3'!M105+'WP RA3'!N105</f>
        <v>1090.9000000000001</v>
      </c>
      <c r="F105" s="103">
        <f t="shared" si="1"/>
        <v>779.21428571428578</v>
      </c>
      <c r="G105" s="23"/>
    </row>
    <row r="106" spans="2:7" ht="15" customHeight="1" x14ac:dyDescent="0.25">
      <c r="B106" s="78">
        <f>MAX($B$8:B105)+1</f>
        <v>97</v>
      </c>
      <c r="C106" s="78" t="s">
        <v>227</v>
      </c>
      <c r="D106" s="23" t="s">
        <v>239</v>
      </c>
      <c r="E106" s="22">
        <f>'WP RA3'!M106+'WP RA3'!N106</f>
        <v>0</v>
      </c>
      <c r="F106" s="103">
        <f t="shared" si="1"/>
        <v>0</v>
      </c>
      <c r="G106" s="23"/>
    </row>
    <row r="107" spans="2:7" ht="15" customHeight="1" x14ac:dyDescent="0.25">
      <c r="B107" s="78">
        <f>MAX($B$8:B106)+1</f>
        <v>98</v>
      </c>
      <c r="C107" s="78" t="s">
        <v>228</v>
      </c>
      <c r="D107" s="23" t="s">
        <v>240</v>
      </c>
      <c r="E107" s="22">
        <f>'WP RA3'!M107+'WP RA3'!N107</f>
        <v>0</v>
      </c>
      <c r="F107" s="103">
        <f t="shared" si="1"/>
        <v>0</v>
      </c>
      <c r="G107" s="23"/>
    </row>
    <row r="108" spans="2:7" ht="15" customHeight="1" x14ac:dyDescent="0.25">
      <c r="B108" s="78">
        <f>MAX($B$8:B107)+1</f>
        <v>99</v>
      </c>
      <c r="C108" s="78" t="s">
        <v>229</v>
      </c>
      <c r="D108" s="23" t="s">
        <v>241</v>
      </c>
      <c r="E108" s="22">
        <f>'WP RA3'!M108+'WP RA3'!N108</f>
        <v>43.93</v>
      </c>
      <c r="F108" s="103">
        <f t="shared" si="1"/>
        <v>31.378571428571426</v>
      </c>
      <c r="G108" s="23"/>
    </row>
    <row r="109" spans="2:7" ht="15" customHeight="1" x14ac:dyDescent="0.25">
      <c r="B109" s="78">
        <f>MAX($B$8:B108)+1</f>
        <v>100</v>
      </c>
      <c r="C109" s="78" t="s">
        <v>230</v>
      </c>
      <c r="D109" s="23" t="s">
        <v>239</v>
      </c>
      <c r="E109" s="22">
        <f>'WP RA3'!M109+'WP RA3'!N109</f>
        <v>0</v>
      </c>
      <c r="F109" s="103">
        <f t="shared" si="1"/>
        <v>0</v>
      </c>
      <c r="G109" s="23"/>
    </row>
    <row r="110" spans="2:7" ht="15" customHeight="1" x14ac:dyDescent="0.25">
      <c r="B110" s="78">
        <f>MAX($B$8:B109)+1</f>
        <v>101</v>
      </c>
      <c r="C110" s="78" t="s">
        <v>231</v>
      </c>
      <c r="D110" s="23" t="s">
        <v>242</v>
      </c>
      <c r="E110" s="22">
        <f>'WP RA3'!M110+'WP RA3'!N110</f>
        <v>306.31</v>
      </c>
      <c r="F110" s="103">
        <f t="shared" si="1"/>
        <v>218.79285714285714</v>
      </c>
      <c r="G110" s="23"/>
    </row>
    <row r="111" spans="2:7" ht="15" customHeight="1" x14ac:dyDescent="0.25">
      <c r="B111" s="78">
        <f>MAX($B$8:B110)+1</f>
        <v>102</v>
      </c>
      <c r="C111" s="78" t="s">
        <v>232</v>
      </c>
      <c r="D111" s="23" t="s">
        <v>243</v>
      </c>
      <c r="E111" s="22">
        <f>'WP RA3'!M111+'WP RA3'!N111</f>
        <v>0</v>
      </c>
      <c r="F111" s="103">
        <f t="shared" si="1"/>
        <v>0</v>
      </c>
      <c r="G111" s="23"/>
    </row>
    <row r="112" spans="2:7" ht="15" customHeight="1" x14ac:dyDescent="0.25">
      <c r="B112" s="78">
        <f>MAX($B$8:B111)+1</f>
        <v>103</v>
      </c>
      <c r="C112" s="78" t="s">
        <v>233</v>
      </c>
      <c r="D112" s="23" t="s">
        <v>244</v>
      </c>
      <c r="E112" s="22">
        <f>'WP RA3'!M112+'WP RA3'!N112</f>
        <v>14631.33</v>
      </c>
      <c r="F112" s="103">
        <f t="shared" si="1"/>
        <v>10450.949999999999</v>
      </c>
      <c r="G112" s="23"/>
    </row>
    <row r="113" spans="2:7" ht="15" customHeight="1" x14ac:dyDescent="0.25">
      <c r="B113" s="78">
        <f>MAX($B$8:B112)+1</f>
        <v>104</v>
      </c>
      <c r="C113" s="78" t="s">
        <v>234</v>
      </c>
      <c r="D113" s="23" t="s">
        <v>245</v>
      </c>
      <c r="E113" s="22">
        <f>'WP RA3'!M113+'WP RA3'!N113</f>
        <v>1285.51</v>
      </c>
      <c r="F113" s="103">
        <f t="shared" si="1"/>
        <v>918.22142857142831</v>
      </c>
      <c r="G113" s="23"/>
    </row>
    <row r="114" spans="2:7" ht="15" customHeight="1" x14ac:dyDescent="0.25">
      <c r="B114" s="78">
        <f>MAX($B$8:B113)+1</f>
        <v>105</v>
      </c>
      <c r="C114" s="78" t="s">
        <v>235</v>
      </c>
      <c r="D114" s="23" t="s">
        <v>246</v>
      </c>
      <c r="E114" s="22">
        <f>'WP RA3'!M114+'WP RA3'!N114</f>
        <v>3672.48</v>
      </c>
      <c r="F114" s="103">
        <f t="shared" si="1"/>
        <v>2623.2000000000003</v>
      </c>
      <c r="G114" s="23"/>
    </row>
    <row r="115" spans="2:7" ht="15" customHeight="1" x14ac:dyDescent="0.25">
      <c r="B115" s="78">
        <f>MAX($B$8:B114)+1</f>
        <v>106</v>
      </c>
      <c r="C115" s="78" t="s">
        <v>236</v>
      </c>
      <c r="D115" s="23" t="s">
        <v>247</v>
      </c>
      <c r="E115" s="22">
        <f>'WP RA3'!M115+'WP RA3'!N115</f>
        <v>738.85</v>
      </c>
      <c r="F115" s="103">
        <f t="shared" si="1"/>
        <v>527.75000000000011</v>
      </c>
      <c r="G115" s="23"/>
    </row>
    <row r="116" spans="2:7" ht="15" customHeight="1" x14ac:dyDescent="0.25">
      <c r="B116" s="78">
        <f>MAX($B$8:B115)+1</f>
        <v>107</v>
      </c>
      <c r="C116" s="78" t="s">
        <v>237</v>
      </c>
      <c r="D116" s="23" t="s">
        <v>248</v>
      </c>
      <c r="E116" s="22">
        <f>'WP RA3'!M116+'WP RA3'!N116</f>
        <v>0</v>
      </c>
      <c r="F116" s="103">
        <f t="shared" si="1"/>
        <v>0</v>
      </c>
      <c r="G116" s="23"/>
    </row>
    <row r="117" spans="2:7" ht="15" customHeight="1" x14ac:dyDescent="0.25">
      <c r="B117" s="78">
        <f>MAX($B$8:B116)+1</f>
        <v>108</v>
      </c>
      <c r="C117" s="78" t="s">
        <v>249</v>
      </c>
      <c r="D117" s="23" t="s">
        <v>251</v>
      </c>
      <c r="E117" s="22">
        <f>'WP RA3'!M117+'WP RA3'!N117</f>
        <v>0</v>
      </c>
      <c r="F117" s="103">
        <f t="shared" si="1"/>
        <v>0</v>
      </c>
      <c r="G117" s="23"/>
    </row>
    <row r="118" spans="2:7" ht="15" customHeight="1" x14ac:dyDescent="0.25">
      <c r="B118" s="78">
        <f>MAX($B$8:B117)+1</f>
        <v>109</v>
      </c>
      <c r="C118" s="78" t="s">
        <v>250</v>
      </c>
      <c r="D118" s="23" t="s">
        <v>252</v>
      </c>
      <c r="E118" s="22">
        <f>'WP RA3'!M118+'WP RA3'!N118</f>
        <v>0</v>
      </c>
      <c r="F118" s="103">
        <f t="shared" si="1"/>
        <v>0</v>
      </c>
      <c r="G118" s="23"/>
    </row>
    <row r="119" spans="2:7" ht="15" customHeight="1" x14ac:dyDescent="0.25">
      <c r="B119" s="78">
        <f>MAX($B$8:B118)+1</f>
        <v>110</v>
      </c>
      <c r="C119" s="78" t="s">
        <v>255</v>
      </c>
      <c r="D119" s="23" t="s">
        <v>256</v>
      </c>
      <c r="E119" s="22">
        <f>'WP RA3'!M119+'WP RA3'!N119</f>
        <v>0</v>
      </c>
      <c r="F119" s="103">
        <f t="shared" si="1"/>
        <v>0</v>
      </c>
      <c r="G119" s="23"/>
    </row>
    <row r="120" spans="2:7" ht="15" customHeight="1" x14ac:dyDescent="0.25">
      <c r="B120" s="78">
        <f>MAX($B$8:B119)+1</f>
        <v>111</v>
      </c>
      <c r="C120" s="78" t="s">
        <v>266</v>
      </c>
      <c r="D120" s="23" t="s">
        <v>258</v>
      </c>
      <c r="E120" s="22">
        <f>'WP RA3'!M120+'WP RA3'!N120</f>
        <v>439.5</v>
      </c>
      <c r="F120" s="103">
        <f t="shared" si="1"/>
        <v>313.92857142857144</v>
      </c>
      <c r="G120" s="23"/>
    </row>
    <row r="121" spans="2:7" ht="15" customHeight="1" x14ac:dyDescent="0.25">
      <c r="B121" s="78">
        <f>MAX($B$8:B120)+1</f>
        <v>112</v>
      </c>
      <c r="C121" s="78" t="s">
        <v>267</v>
      </c>
      <c r="D121" s="23" t="s">
        <v>259</v>
      </c>
      <c r="E121" s="22">
        <f>'WP RA3'!M121+'WP RA3'!N121</f>
        <v>0</v>
      </c>
      <c r="F121" s="103">
        <f t="shared" si="1"/>
        <v>0</v>
      </c>
      <c r="G121" s="23"/>
    </row>
    <row r="122" spans="2:7" ht="15" customHeight="1" x14ac:dyDescent="0.25">
      <c r="B122" s="78">
        <f>MAX($B$8:B121)+1</f>
        <v>113</v>
      </c>
      <c r="C122" s="78" t="s">
        <v>268</v>
      </c>
      <c r="D122" s="23" t="s">
        <v>260</v>
      </c>
      <c r="E122" s="22">
        <f>'WP RA3'!M122+'WP RA3'!N122</f>
        <v>0</v>
      </c>
      <c r="F122" s="103">
        <f t="shared" si="1"/>
        <v>0</v>
      </c>
      <c r="G122" s="23"/>
    </row>
    <row r="123" spans="2:7" ht="15" customHeight="1" x14ac:dyDescent="0.25">
      <c r="B123" s="78">
        <f>MAX($B$8:B122)+1</f>
        <v>114</v>
      </c>
      <c r="C123" s="78" t="s">
        <v>269</v>
      </c>
      <c r="D123" s="23" t="s">
        <v>261</v>
      </c>
      <c r="E123" s="22">
        <f>'WP RA3'!M123+'WP RA3'!N123</f>
        <v>0</v>
      </c>
      <c r="F123" s="103">
        <f t="shared" si="1"/>
        <v>0</v>
      </c>
      <c r="G123" s="23"/>
    </row>
    <row r="124" spans="2:7" ht="15" customHeight="1" x14ac:dyDescent="0.25">
      <c r="B124" s="78">
        <f>MAX($B$8:B123)+1</f>
        <v>115</v>
      </c>
      <c r="C124" s="78" t="s">
        <v>270</v>
      </c>
      <c r="D124" s="23" t="s">
        <v>262</v>
      </c>
      <c r="E124" s="22">
        <f>'WP RA3'!M124+'WP RA3'!N124</f>
        <v>0</v>
      </c>
      <c r="F124" s="103">
        <f t="shared" si="1"/>
        <v>0</v>
      </c>
      <c r="G124" s="23"/>
    </row>
    <row r="125" spans="2:7" ht="15" customHeight="1" x14ac:dyDescent="0.25">
      <c r="B125" s="78">
        <f>MAX($B$8:B124)+1</f>
        <v>116</v>
      </c>
      <c r="C125" s="78" t="s">
        <v>271</v>
      </c>
      <c r="D125" s="23" t="s">
        <v>263</v>
      </c>
      <c r="E125" s="22">
        <f>'WP RA3'!M125+'WP RA3'!N125</f>
        <v>0</v>
      </c>
      <c r="F125" s="103">
        <f t="shared" si="1"/>
        <v>0</v>
      </c>
      <c r="G125" s="23"/>
    </row>
    <row r="126" spans="2:7" ht="15" customHeight="1" x14ac:dyDescent="0.25">
      <c r="B126" s="78">
        <f>MAX($B$8:B125)+1</f>
        <v>117</v>
      </c>
      <c r="C126" s="78" t="s">
        <v>272</v>
      </c>
      <c r="D126" s="23" t="s">
        <v>264</v>
      </c>
      <c r="E126" s="22">
        <f>'WP RA3'!M126+'WP RA3'!N126</f>
        <v>0</v>
      </c>
      <c r="F126" s="103">
        <f t="shared" si="1"/>
        <v>0</v>
      </c>
      <c r="G126" s="23"/>
    </row>
    <row r="127" spans="2:7" ht="15" customHeight="1" x14ac:dyDescent="0.25">
      <c r="B127" s="78">
        <f>MAX($B$8:B126)+1</f>
        <v>118</v>
      </c>
      <c r="C127" s="78" t="s">
        <v>273</v>
      </c>
      <c r="D127" s="23" t="s">
        <v>265</v>
      </c>
      <c r="E127" s="22">
        <f>'WP RA3'!M127+'WP RA3'!N127</f>
        <v>0</v>
      </c>
      <c r="F127" s="103">
        <f t="shared" si="1"/>
        <v>0</v>
      </c>
      <c r="G127" s="2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681C-621F-4CC3-B44D-BE65D05B1287}">
  <sheetPr>
    <tabColor rgb="FF00B050"/>
  </sheetPr>
  <dimension ref="A1:O29"/>
  <sheetViews>
    <sheetView workbookViewId="0"/>
  </sheetViews>
  <sheetFormatPr defaultColWidth="9.140625" defaultRowHeight="12.75" x14ac:dyDescent="0.2"/>
  <cols>
    <col min="1" max="1" width="1.42578125" style="8" customWidth="1"/>
    <col min="2" max="2" width="5.7109375" style="8" customWidth="1"/>
    <col min="3" max="3" width="10.7109375" style="25" customWidth="1"/>
    <col min="4" max="15" width="17.85546875" style="8" customWidth="1"/>
    <col min="16" max="16384" width="9.140625" style="8"/>
  </cols>
  <sheetData>
    <row r="1" spans="1:15" customFormat="1" ht="7.5" customHeight="1" x14ac:dyDescent="0.25">
      <c r="A1" s="51" t="str" cm="1">
        <f t="array" aca="1" ref="A1" ca="1">MID(CELL("filename",A1),FIND("]",CELL("filename",A1))+1,255)</f>
        <v>WP PF2</v>
      </c>
      <c r="C1" s="2"/>
    </row>
    <row r="2" spans="1:15" customFormat="1" ht="15" x14ac:dyDescent="0.25">
      <c r="B2" s="24" t="s">
        <v>451</v>
      </c>
      <c r="C2" s="46"/>
    </row>
    <row r="3" spans="1:15" customFormat="1" ht="15" x14ac:dyDescent="0.25">
      <c r="B3" s="1" t="s">
        <v>546</v>
      </c>
      <c r="C3" s="46"/>
      <c r="J3" s="21"/>
    </row>
    <row r="4" spans="1:15" customFormat="1" ht="7.5" customHeight="1" x14ac:dyDescent="0.25">
      <c r="B4" s="1"/>
      <c r="C4" s="46"/>
    </row>
    <row r="5" spans="1:15" s="6" customFormat="1" ht="15" x14ac:dyDescent="0.25">
      <c r="C5" s="16"/>
      <c r="F5" s="16"/>
      <c r="G5" s="16"/>
      <c r="H5" s="16"/>
      <c r="I5" s="16"/>
      <c r="J5" s="16"/>
      <c r="K5" s="16"/>
    </row>
    <row r="6" spans="1:15" s="6" customFormat="1" ht="15" x14ac:dyDescent="0.25">
      <c r="B6" s="6" t="s">
        <v>567</v>
      </c>
      <c r="C6" s="16"/>
      <c r="F6" s="16"/>
      <c r="G6" s="16"/>
      <c r="H6" s="16"/>
      <c r="I6" s="16"/>
      <c r="J6" s="16"/>
      <c r="K6" s="16"/>
    </row>
    <row r="7" spans="1:15" s="6" customFormat="1" ht="3.75" customHeight="1" x14ac:dyDescent="0.25">
      <c r="C7" s="16"/>
      <c r="F7" s="16"/>
      <c r="G7" s="16"/>
      <c r="H7" s="16"/>
      <c r="I7" s="16"/>
      <c r="J7" s="16"/>
      <c r="K7" s="16"/>
    </row>
    <row r="8" spans="1:15" s="6" customFormat="1" ht="15" x14ac:dyDescent="0.25">
      <c r="B8" s="16" t="s">
        <v>417</v>
      </c>
      <c r="C8" s="16" t="s">
        <v>565</v>
      </c>
      <c r="F8" s="16"/>
      <c r="G8" s="16"/>
      <c r="H8" s="16"/>
      <c r="I8" s="47"/>
      <c r="J8" s="47"/>
      <c r="K8" s="16"/>
    </row>
    <row r="9" spans="1:15" s="6" customFormat="1" ht="15" x14ac:dyDescent="0.25">
      <c r="B9" s="17" t="s">
        <v>418</v>
      </c>
      <c r="C9" s="17" t="s">
        <v>566</v>
      </c>
      <c r="D9" s="17" t="s">
        <v>453</v>
      </c>
      <c r="E9" s="17" t="s">
        <v>454</v>
      </c>
      <c r="F9" s="17" t="s">
        <v>455</v>
      </c>
      <c r="G9" s="17" t="s">
        <v>456</v>
      </c>
      <c r="H9" s="17" t="s">
        <v>457</v>
      </c>
      <c r="I9" s="17" t="s">
        <v>458</v>
      </c>
      <c r="J9" s="17" t="s">
        <v>459</v>
      </c>
      <c r="K9" s="17" t="s">
        <v>460</v>
      </c>
      <c r="L9" s="17" t="s">
        <v>461</v>
      </c>
      <c r="M9" s="17" t="s">
        <v>462</v>
      </c>
      <c r="N9" s="17" t="s">
        <v>463</v>
      </c>
      <c r="O9" s="17" t="s">
        <v>464</v>
      </c>
    </row>
    <row r="10" spans="1:15" customFormat="1" ht="15" x14ac:dyDescent="0.25">
      <c r="B10" s="2"/>
      <c r="C10" s="19" t="s">
        <v>419</v>
      </c>
      <c r="D10" s="19" t="s">
        <v>420</v>
      </c>
      <c r="E10" s="19" t="s">
        <v>421</v>
      </c>
      <c r="F10" s="19" t="s">
        <v>422</v>
      </c>
      <c r="G10" s="19" t="s">
        <v>430</v>
      </c>
      <c r="H10" s="19" t="s">
        <v>431</v>
      </c>
      <c r="I10" s="19" t="s">
        <v>434</v>
      </c>
      <c r="J10" s="20" t="s">
        <v>435</v>
      </c>
      <c r="K10" s="20" t="s">
        <v>436</v>
      </c>
      <c r="L10" s="20" t="s">
        <v>447</v>
      </c>
      <c r="M10" s="20" t="s">
        <v>448</v>
      </c>
      <c r="N10" s="20" t="s">
        <v>490</v>
      </c>
      <c r="O10" s="20" t="s">
        <v>491</v>
      </c>
    </row>
    <row r="11" spans="1:15" customFormat="1" ht="3.75" customHeight="1" x14ac:dyDescent="0.25">
      <c r="B11" s="2"/>
      <c r="C11" s="19"/>
      <c r="D11" s="19"/>
      <c r="E11" s="19"/>
      <c r="F11" s="19"/>
      <c r="G11" s="19"/>
      <c r="H11" s="19"/>
      <c r="I11" s="19"/>
      <c r="J11" s="20"/>
      <c r="K11" s="20"/>
    </row>
    <row r="12" spans="1:15" customFormat="1" ht="15" customHeight="1" x14ac:dyDescent="0.25">
      <c r="B12" s="2">
        <f>MAX($B$11:B11)+1</f>
        <v>1</v>
      </c>
      <c r="C12" s="9" t="s">
        <v>465</v>
      </c>
      <c r="D12" s="26">
        <v>120582</v>
      </c>
      <c r="E12" s="26">
        <v>111613</v>
      </c>
      <c r="F12" s="26">
        <v>102221</v>
      </c>
      <c r="G12" s="26">
        <v>125015</v>
      </c>
      <c r="H12" s="26">
        <v>154911</v>
      </c>
      <c r="I12" s="26">
        <v>171363</v>
      </c>
      <c r="J12" s="26">
        <v>232912</v>
      </c>
      <c r="K12" s="26">
        <v>346819.58</v>
      </c>
      <c r="L12" s="26">
        <v>305442</v>
      </c>
      <c r="M12" s="26">
        <v>177011</v>
      </c>
      <c r="N12" s="26">
        <v>118665</v>
      </c>
      <c r="O12" s="26">
        <v>109032</v>
      </c>
    </row>
    <row r="13" spans="1:15" customFormat="1" ht="15" customHeight="1" x14ac:dyDescent="0.25">
      <c r="B13" s="2">
        <f>MAX($B$11:B12)+1</f>
        <v>2</v>
      </c>
      <c r="C13" s="9" t="s">
        <v>466</v>
      </c>
      <c r="D13" s="13">
        <v>7</v>
      </c>
      <c r="E13" s="13">
        <v>7</v>
      </c>
      <c r="F13" s="13">
        <v>2</v>
      </c>
      <c r="G13" s="13">
        <v>33</v>
      </c>
      <c r="H13" s="13">
        <v>84</v>
      </c>
      <c r="I13" s="13">
        <v>48</v>
      </c>
      <c r="J13" s="13">
        <v>186</v>
      </c>
      <c r="K13" s="13">
        <v>189</v>
      </c>
      <c r="L13" s="13">
        <v>184</v>
      </c>
      <c r="M13" s="13">
        <v>54</v>
      </c>
      <c r="N13" s="13">
        <v>34</v>
      </c>
      <c r="O13" s="13">
        <v>6</v>
      </c>
    </row>
    <row r="14" spans="1:15" customFormat="1" ht="15" customHeight="1" x14ac:dyDescent="0.25">
      <c r="B14" s="2">
        <f>MAX($B$11:B13)+1</f>
        <v>3</v>
      </c>
      <c r="C14" s="9" t="s">
        <v>467</v>
      </c>
      <c r="D14" s="13">
        <v>2414</v>
      </c>
      <c r="E14" s="13">
        <v>2100</v>
      </c>
      <c r="F14" s="13">
        <v>1946</v>
      </c>
      <c r="G14" s="13">
        <v>1560</v>
      </c>
      <c r="H14" s="13">
        <v>2646</v>
      </c>
      <c r="I14" s="13">
        <v>4622</v>
      </c>
      <c r="J14" s="13">
        <v>7885</v>
      </c>
      <c r="K14" s="13">
        <v>13519</v>
      </c>
      <c r="L14" s="13">
        <v>13678</v>
      </c>
      <c r="M14" s="13">
        <v>8061</v>
      </c>
      <c r="N14" s="13">
        <v>2906</v>
      </c>
      <c r="O14" s="13">
        <v>2064</v>
      </c>
    </row>
    <row r="15" spans="1:15" customFormat="1" ht="15" customHeight="1" x14ac:dyDescent="0.25">
      <c r="B15" s="2">
        <f>MAX($B$11:B14)+1</f>
        <v>4</v>
      </c>
      <c r="C15" s="9" t="s">
        <v>468</v>
      </c>
      <c r="D15" s="13">
        <v>510</v>
      </c>
      <c r="E15" s="13">
        <v>387</v>
      </c>
      <c r="F15" s="13">
        <v>230</v>
      </c>
      <c r="G15" s="13">
        <v>193</v>
      </c>
      <c r="H15" s="13">
        <v>533</v>
      </c>
      <c r="I15" s="13">
        <v>1032</v>
      </c>
      <c r="J15" s="13">
        <v>4185</v>
      </c>
      <c r="K15" s="13">
        <v>7045</v>
      </c>
      <c r="L15" s="13">
        <v>6607</v>
      </c>
      <c r="M15" s="13">
        <v>2316</v>
      </c>
      <c r="N15" s="13">
        <v>277</v>
      </c>
      <c r="O15" s="13">
        <v>214</v>
      </c>
    </row>
    <row r="16" spans="1:15" customFormat="1" ht="15" customHeight="1" x14ac:dyDescent="0.25">
      <c r="B16" s="2">
        <f>MAX($B$11:B15)+1</f>
        <v>5</v>
      </c>
      <c r="C16" s="9" t="s">
        <v>469</v>
      </c>
      <c r="D16" s="13">
        <v>11047</v>
      </c>
      <c r="E16" s="13">
        <v>10601</v>
      </c>
      <c r="F16" s="13">
        <v>10267</v>
      </c>
      <c r="G16" s="13">
        <v>9444</v>
      </c>
      <c r="H16" s="13">
        <v>9653</v>
      </c>
      <c r="I16" s="13">
        <v>11548</v>
      </c>
      <c r="J16" s="13">
        <v>15531</v>
      </c>
      <c r="K16" s="13">
        <v>26547</v>
      </c>
      <c r="L16" s="13">
        <v>28695</v>
      </c>
      <c r="M16" s="13">
        <v>17581</v>
      </c>
      <c r="N16" s="13">
        <v>9385</v>
      </c>
      <c r="O16" s="13">
        <v>8746</v>
      </c>
    </row>
    <row r="17" spans="2:15" customFormat="1" ht="15" customHeight="1" x14ac:dyDescent="0.25">
      <c r="B17" s="2">
        <f>MAX($B$11:B16)+1</f>
        <v>6</v>
      </c>
      <c r="C17" s="9" t="s">
        <v>470</v>
      </c>
      <c r="D17" s="13">
        <v>2060</v>
      </c>
      <c r="E17" s="13">
        <v>2124</v>
      </c>
      <c r="F17" s="13">
        <v>2047</v>
      </c>
      <c r="G17" s="13">
        <v>1668</v>
      </c>
      <c r="H17" s="13">
        <v>1741</v>
      </c>
      <c r="I17" s="13">
        <v>1828</v>
      </c>
      <c r="J17" s="13">
        <v>2172</v>
      </c>
      <c r="K17" s="13">
        <v>4261</v>
      </c>
      <c r="L17" s="13">
        <v>4419</v>
      </c>
      <c r="M17" s="13">
        <v>2265</v>
      </c>
      <c r="N17" s="13">
        <v>1545</v>
      </c>
      <c r="O17" s="13">
        <v>1326</v>
      </c>
    </row>
    <row r="18" spans="2:15" customFormat="1" ht="15" customHeight="1" x14ac:dyDescent="0.25">
      <c r="B18" s="2">
        <f>MAX($B$11:B17)+1</f>
        <v>7</v>
      </c>
      <c r="C18" s="9" t="s">
        <v>471</v>
      </c>
      <c r="D18" s="13">
        <v>428</v>
      </c>
      <c r="E18" s="13">
        <v>419</v>
      </c>
      <c r="F18" s="13">
        <v>393</v>
      </c>
      <c r="G18" s="13">
        <v>351</v>
      </c>
      <c r="H18" s="13">
        <v>415</v>
      </c>
      <c r="I18" s="13">
        <v>320</v>
      </c>
      <c r="J18" s="13">
        <v>756</v>
      </c>
      <c r="K18" s="13">
        <v>2866</v>
      </c>
      <c r="L18" s="13">
        <v>3765</v>
      </c>
      <c r="M18" s="13">
        <v>2219</v>
      </c>
      <c r="N18" s="13">
        <v>1008</v>
      </c>
      <c r="O18" s="13">
        <v>990</v>
      </c>
    </row>
    <row r="19" spans="2:15" customFormat="1" ht="15" customHeight="1" x14ac:dyDescent="0.25">
      <c r="B19" s="2">
        <f>MAX($B$11:B18)+1</f>
        <v>8</v>
      </c>
      <c r="C19" s="9" t="s">
        <v>472</v>
      </c>
      <c r="D19" s="13">
        <v>109</v>
      </c>
      <c r="E19" s="13">
        <v>130</v>
      </c>
      <c r="F19" s="13">
        <v>134</v>
      </c>
      <c r="G19" s="13">
        <v>19</v>
      </c>
      <c r="H19" s="13">
        <v>20</v>
      </c>
      <c r="I19" s="13">
        <v>28</v>
      </c>
      <c r="J19" s="13">
        <v>18</v>
      </c>
      <c r="K19" s="13">
        <v>918</v>
      </c>
      <c r="L19" s="13">
        <v>1150</v>
      </c>
      <c r="M19" s="13">
        <v>579</v>
      </c>
      <c r="N19" s="13">
        <v>63</v>
      </c>
      <c r="O19" s="13">
        <v>47</v>
      </c>
    </row>
    <row r="20" spans="2:15" customFormat="1" ht="15" customHeight="1" x14ac:dyDescent="0.25">
      <c r="B20" s="2">
        <f>MAX($B$11:B19)+1</f>
        <v>9</v>
      </c>
      <c r="C20" s="9" t="s">
        <v>473</v>
      </c>
      <c r="D20" s="13">
        <v>26</v>
      </c>
      <c r="E20" s="13">
        <v>46</v>
      </c>
      <c r="F20" s="13">
        <v>43</v>
      </c>
      <c r="G20" s="13">
        <v>16</v>
      </c>
      <c r="H20" s="13">
        <v>0</v>
      </c>
      <c r="I20" s="13">
        <v>5</v>
      </c>
      <c r="J20" s="13">
        <v>3</v>
      </c>
      <c r="K20" s="13">
        <v>1027</v>
      </c>
      <c r="L20" s="13">
        <v>1229</v>
      </c>
      <c r="M20" s="13">
        <v>451</v>
      </c>
      <c r="N20" s="13">
        <v>20</v>
      </c>
      <c r="O20" s="13">
        <v>9</v>
      </c>
    </row>
    <row r="21" spans="2:15" customFormat="1" ht="3.75" customHeight="1" x14ac:dyDescent="0.25">
      <c r="B21" s="2"/>
      <c r="C21" s="19"/>
      <c r="D21" s="19"/>
      <c r="E21" s="19"/>
      <c r="F21" s="19"/>
      <c r="G21" s="19"/>
      <c r="H21" s="19"/>
      <c r="I21" s="19"/>
      <c r="J21" s="20"/>
      <c r="K21" s="20"/>
    </row>
    <row r="22" spans="2:15" customFormat="1" ht="15" customHeight="1" x14ac:dyDescent="0.25">
      <c r="B22" s="2">
        <f>MAX($B$11:B21)+1</f>
        <v>10</v>
      </c>
      <c r="C22" s="19" t="s">
        <v>423</v>
      </c>
      <c r="D22" s="37">
        <f>SUM(D12:D20)</f>
        <v>137183</v>
      </c>
      <c r="E22" s="37">
        <f t="shared" ref="E22:O22" si="0">SUM(E12:E20)</f>
        <v>127427</v>
      </c>
      <c r="F22" s="37">
        <f t="shared" si="0"/>
        <v>117283</v>
      </c>
      <c r="G22" s="37">
        <f t="shared" si="0"/>
        <v>138299</v>
      </c>
      <c r="H22" s="37">
        <f t="shared" si="0"/>
        <v>170003</v>
      </c>
      <c r="I22" s="37">
        <f t="shared" si="0"/>
        <v>190794</v>
      </c>
      <c r="J22" s="37">
        <f t="shared" si="0"/>
        <v>263648</v>
      </c>
      <c r="K22" s="37">
        <f t="shared" si="0"/>
        <v>403191.58</v>
      </c>
      <c r="L22" s="37">
        <f t="shared" si="0"/>
        <v>365169</v>
      </c>
      <c r="M22" s="37">
        <f t="shared" si="0"/>
        <v>210537</v>
      </c>
      <c r="N22" s="37">
        <f t="shared" si="0"/>
        <v>133903</v>
      </c>
      <c r="O22" s="37">
        <f t="shared" si="0"/>
        <v>122434</v>
      </c>
    </row>
    <row r="23" spans="2:15" customFormat="1" ht="15" customHeight="1" x14ac:dyDescent="0.25">
      <c r="B23" s="2"/>
      <c r="C23" s="19"/>
      <c r="D23" s="19"/>
      <c r="E23" s="19"/>
      <c r="F23" s="19"/>
      <c r="G23" s="19"/>
      <c r="H23" s="19"/>
      <c r="I23" s="19"/>
      <c r="J23" s="20"/>
      <c r="K23" s="20"/>
    </row>
    <row r="24" spans="2:15" ht="15" x14ac:dyDescent="0.25">
      <c r="B24" s="2">
        <f>MAX($B$11:B23)+1</f>
        <v>11</v>
      </c>
      <c r="C24" s="8" t="s">
        <v>568</v>
      </c>
      <c r="F24" s="13">
        <f>SUM(D12:H20)</f>
        <v>690195</v>
      </c>
    </row>
    <row r="25" spans="2:15" ht="15" x14ac:dyDescent="0.25">
      <c r="B25" s="2">
        <f>MAX($B$11:B24)+1</f>
        <v>12</v>
      </c>
      <c r="C25" s="8" t="s">
        <v>474</v>
      </c>
      <c r="F25" s="13">
        <f>SUM(I12:O20)</f>
        <v>1689676.58</v>
      </c>
    </row>
    <row r="26" spans="2:15" ht="15" x14ac:dyDescent="0.25">
      <c r="B26" s="2">
        <f>MAX($B$11:B25)+1</f>
        <v>13</v>
      </c>
      <c r="C26" s="25" t="s">
        <v>569</v>
      </c>
      <c r="F26" s="63">
        <f>F24/F25</f>
        <v>0.4084775797744678</v>
      </c>
    </row>
    <row r="28" spans="2:15" ht="26.25" x14ac:dyDescent="0.25">
      <c r="B28" s="2">
        <f>MAX($B$11:B27)+1</f>
        <v>14</v>
      </c>
      <c r="C28" s="64" t="s">
        <v>570</v>
      </c>
      <c r="D28" s="64"/>
      <c r="E28" s="65" t="s">
        <v>571</v>
      </c>
      <c r="F28" s="66" t="s">
        <v>475</v>
      </c>
      <c r="G28" s="66" t="s">
        <v>476</v>
      </c>
    </row>
    <row r="29" spans="2:15" ht="15" x14ac:dyDescent="0.25">
      <c r="B29" s="2">
        <f>MAX($B$11:B28)+1</f>
        <v>15</v>
      </c>
      <c r="C29" s="8" t="s">
        <v>477</v>
      </c>
      <c r="E29" s="25">
        <f>'EP IS Pro Forma'!F33</f>
        <v>1029799.2950000002</v>
      </c>
      <c r="F29" s="27">
        <f>F24/F25</f>
        <v>0.4084775797744678</v>
      </c>
      <c r="G29" s="25">
        <f>E29*F29</f>
        <v>420649.92367505329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3009-4C30-4664-8982-1030E20C75B5}">
  <sheetPr>
    <tabColor rgb="FF00B050"/>
  </sheetPr>
  <dimension ref="A1:H16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4" width="39.28515625" customWidth="1"/>
    <col min="5" max="7" width="17.85546875" customWidth="1"/>
    <col min="8" max="8" width="55.7109375" customWidth="1"/>
  </cols>
  <sheetData>
    <row r="1" spans="1:8" ht="7.5" customHeight="1" x14ac:dyDescent="0.25">
      <c r="A1" s="50" t="str" cm="1">
        <f t="array" aca="1" ref="A1" ca="1">MID(CELL("filename",A1),FIND("]",CELL("filename",A1))+1,255)</f>
        <v>WP PF3</v>
      </c>
    </row>
    <row r="2" spans="1:8" x14ac:dyDescent="0.25">
      <c r="B2" s="24" t="s">
        <v>451</v>
      </c>
      <c r="C2" s="46"/>
    </row>
    <row r="3" spans="1:8" x14ac:dyDescent="0.25">
      <c r="B3" s="1" t="s">
        <v>1053</v>
      </c>
      <c r="C3" s="46"/>
    </row>
    <row r="4" spans="1:8" ht="7.5" customHeight="1" x14ac:dyDescent="0.25">
      <c r="B4" s="1"/>
      <c r="C4" s="46"/>
    </row>
    <row r="5" spans="1:8" s="6" customFormat="1" x14ac:dyDescent="0.25">
      <c r="C5" s="16"/>
      <c r="G5" s="16"/>
      <c r="H5" s="16"/>
    </row>
    <row r="6" spans="1:8" s="6" customFormat="1" x14ac:dyDescent="0.25">
      <c r="B6" s="88" t="s">
        <v>417</v>
      </c>
      <c r="C6" s="88"/>
      <c r="D6" s="156"/>
      <c r="E6" s="88" t="s">
        <v>1055</v>
      </c>
      <c r="F6" s="88" t="s">
        <v>1057</v>
      </c>
      <c r="G6" s="88" t="s">
        <v>944</v>
      </c>
      <c r="H6" s="156"/>
    </row>
    <row r="7" spans="1:8" s="6" customFormat="1" x14ac:dyDescent="0.25">
      <c r="B7" s="158" t="s">
        <v>418</v>
      </c>
      <c r="C7" s="158" t="s">
        <v>0</v>
      </c>
      <c r="D7" s="159" t="s">
        <v>482</v>
      </c>
      <c r="E7" s="163" t="s">
        <v>1056</v>
      </c>
      <c r="F7" s="163" t="s">
        <v>577</v>
      </c>
      <c r="G7" s="158" t="s">
        <v>945</v>
      </c>
      <c r="H7" s="164" t="s">
        <v>483</v>
      </c>
    </row>
    <row r="8" spans="1:8" x14ac:dyDescent="0.25">
      <c r="B8" s="78"/>
      <c r="C8" s="20" t="s">
        <v>419</v>
      </c>
      <c r="D8" s="20" t="s">
        <v>420</v>
      </c>
      <c r="E8" s="20" t="s">
        <v>421</v>
      </c>
      <c r="F8" s="20" t="s">
        <v>422</v>
      </c>
      <c r="G8" s="20" t="s">
        <v>430</v>
      </c>
      <c r="H8" s="20" t="s">
        <v>431</v>
      </c>
    </row>
    <row r="9" spans="1:8" ht="3.75" customHeight="1" x14ac:dyDescent="0.25">
      <c r="B9" s="78"/>
      <c r="C9" s="20"/>
      <c r="D9" s="20"/>
      <c r="E9" s="20"/>
      <c r="F9" s="20"/>
      <c r="G9" s="20"/>
      <c r="H9" s="23"/>
    </row>
    <row r="10" spans="1:8" ht="15" customHeight="1" x14ac:dyDescent="0.25">
      <c r="B10" s="78">
        <f>MAX($B$8:B9)+1</f>
        <v>1</v>
      </c>
      <c r="C10" s="78"/>
      <c r="D10" s="23" t="s">
        <v>384</v>
      </c>
      <c r="E10" s="22">
        <f>'EP Inputs'!D12</f>
        <v>4607902.5600000005</v>
      </c>
      <c r="F10" s="22">
        <f>'[5]Rate Design'!$C$10-E10</f>
        <v>2360507.6644406775</v>
      </c>
      <c r="G10" s="103">
        <f>E10+F10</f>
        <v>6968410.224440678</v>
      </c>
      <c r="H10" s="23"/>
    </row>
    <row r="11" spans="1:8" ht="15" customHeight="1" x14ac:dyDescent="0.25">
      <c r="B11" s="78">
        <f>MAX($B$8:B10)+1</f>
        <v>2</v>
      </c>
      <c r="C11" s="78"/>
      <c r="D11" s="23" t="s">
        <v>1052</v>
      </c>
      <c r="E11" s="22">
        <f>'EP Inputs'!D13</f>
        <v>717</v>
      </c>
      <c r="F11" s="22">
        <f>E11*5/7</f>
        <v>512.14285714285711</v>
      </c>
      <c r="G11" s="103">
        <f t="shared" ref="G11:G14" si="0">E11+F11</f>
        <v>1229.1428571428571</v>
      </c>
      <c r="H11" s="23"/>
    </row>
    <row r="12" spans="1:8" ht="15" customHeight="1" x14ac:dyDescent="0.25">
      <c r="B12" s="78">
        <f>MAX($B$8:B11)+1</f>
        <v>3</v>
      </c>
      <c r="C12" s="78"/>
      <c r="D12" s="23" t="s">
        <v>1054</v>
      </c>
      <c r="E12" s="22">
        <f>0</f>
        <v>0</v>
      </c>
      <c r="F12" s="22">
        <f t="shared" ref="F12:F14" si="1">E12*5/7</f>
        <v>0</v>
      </c>
      <c r="G12" s="103">
        <f t="shared" si="0"/>
        <v>0</v>
      </c>
      <c r="H12" s="23"/>
    </row>
    <row r="13" spans="1:8" ht="15" customHeight="1" x14ac:dyDescent="0.25">
      <c r="B13" s="78">
        <f>MAX($B$8:B12)+1</f>
        <v>4</v>
      </c>
      <c r="C13" s="78"/>
      <c r="D13" s="23" t="s">
        <v>1050</v>
      </c>
      <c r="E13" s="22">
        <f>'EP Inputs'!D15</f>
        <v>192053.98</v>
      </c>
      <c r="F13" s="22">
        <f t="shared" si="1"/>
        <v>137181.4142857143</v>
      </c>
      <c r="G13" s="103">
        <f t="shared" si="0"/>
        <v>329235.39428571431</v>
      </c>
      <c r="H13" s="23"/>
    </row>
    <row r="14" spans="1:8" ht="15" customHeight="1" x14ac:dyDescent="0.25">
      <c r="B14" s="78">
        <f>MAX($B$8:B13)+1</f>
        <v>5</v>
      </c>
      <c r="C14" s="78"/>
      <c r="D14" s="23" t="s">
        <v>1051</v>
      </c>
      <c r="E14" s="22">
        <f>'EP Inputs'!D17</f>
        <v>35980.949999999997</v>
      </c>
      <c r="F14" s="22">
        <f t="shared" si="1"/>
        <v>25700.678571428572</v>
      </c>
      <c r="G14" s="103">
        <f t="shared" si="0"/>
        <v>61681.62857142857</v>
      </c>
      <c r="H14" s="23"/>
    </row>
    <row r="15" spans="1:8" ht="3.75" customHeight="1" x14ac:dyDescent="0.25">
      <c r="B15" s="78"/>
      <c r="C15" s="78"/>
      <c r="D15" s="23"/>
      <c r="E15" s="128"/>
      <c r="F15" s="129"/>
      <c r="G15" s="106"/>
      <c r="H15" s="23"/>
    </row>
    <row r="16" spans="1:8" ht="15" customHeight="1" x14ac:dyDescent="0.25">
      <c r="B16" s="78">
        <f>MAX($B$8:B15)+1</f>
        <v>6</v>
      </c>
      <c r="C16" s="78"/>
      <c r="D16" s="23" t="s">
        <v>423</v>
      </c>
      <c r="E16" s="22">
        <f>SUM(E10:E14)</f>
        <v>4836654.4900000012</v>
      </c>
      <c r="F16" s="22">
        <f>SUM(F10:F14)</f>
        <v>2523901.9001549631</v>
      </c>
      <c r="G16" s="22">
        <f>SUM(G10:G14)</f>
        <v>7360556.3901549634</v>
      </c>
      <c r="H16" s="2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D654-D18C-4A04-87E9-F16FD1B15D6A}">
  <sheetPr>
    <tabColor rgb="FF00B050"/>
  </sheetPr>
  <dimension ref="A1:P26"/>
  <sheetViews>
    <sheetView workbookViewId="0"/>
  </sheetViews>
  <sheetFormatPr defaultRowHeight="12.75" x14ac:dyDescent="0.2"/>
  <cols>
    <col min="1" max="1" width="1.42578125" style="165" customWidth="1"/>
    <col min="2" max="2" width="5.7109375" style="165" customWidth="1"/>
    <col min="3" max="8" width="12.85546875" style="165" customWidth="1"/>
    <col min="9" max="10" width="15.7109375" style="165" customWidth="1"/>
    <col min="11" max="11" width="25.7109375" style="165" bestFit="1" customWidth="1"/>
    <col min="12" max="12" width="15.7109375" style="165" customWidth="1"/>
    <col min="13" max="13" width="21.28515625" style="165" customWidth="1"/>
    <col min="14" max="14" width="19" style="165" customWidth="1"/>
    <col min="15" max="15" width="24.5703125" style="166" customWidth="1"/>
    <col min="16" max="16" width="17.5703125" style="166" customWidth="1"/>
    <col min="17" max="17" width="18" style="165" customWidth="1"/>
    <col min="18" max="18" width="6.85546875" style="165" bestFit="1" customWidth="1"/>
    <col min="19" max="19" width="9.28515625" style="165" bestFit="1" customWidth="1"/>
    <col min="20" max="20" width="8.5703125" style="165" bestFit="1" customWidth="1"/>
    <col min="21" max="24" width="7.5703125" style="165" bestFit="1" customWidth="1"/>
    <col min="25" max="25" width="6.5703125" style="165" bestFit="1" customWidth="1"/>
    <col min="26" max="26" width="8.28515625" style="165" bestFit="1" customWidth="1"/>
    <col min="27" max="27" width="6.85546875" style="165" bestFit="1" customWidth="1"/>
    <col min="28" max="28" width="9.28515625" style="165" bestFit="1" customWidth="1"/>
    <col min="29" max="29" width="8.5703125" style="165" bestFit="1" customWidth="1"/>
    <col min="30" max="33" width="7.5703125" style="165" bestFit="1" customWidth="1"/>
    <col min="34" max="34" width="5.140625" style="165" bestFit="1" customWidth="1"/>
    <col min="35" max="35" width="8.28515625" style="165" bestFit="1" customWidth="1"/>
    <col min="36" max="36" width="6.85546875" style="165" bestFit="1" customWidth="1"/>
    <col min="37" max="37" width="10.85546875" style="165" bestFit="1" customWidth="1"/>
    <col min="38" max="39" width="8.5703125" style="165" bestFit="1" customWidth="1"/>
    <col min="40" max="42" width="7.5703125" style="165" bestFit="1" customWidth="1"/>
    <col min="43" max="43" width="7.28515625" style="165" bestFit="1" customWidth="1"/>
    <col min="44" max="44" width="8.28515625" style="165" bestFit="1" customWidth="1"/>
    <col min="45" max="46" width="9.28515625" style="165" bestFit="1" customWidth="1"/>
    <col min="47" max="47" width="8.5703125" style="165" bestFit="1" customWidth="1"/>
    <col min="48" max="48" width="7.5703125" style="165" bestFit="1" customWidth="1"/>
    <col min="49" max="51" width="7.28515625" style="165" bestFit="1" customWidth="1"/>
    <col min="52" max="53" width="8.28515625" style="165" bestFit="1" customWidth="1"/>
    <col min="54" max="54" width="6.85546875" style="165" bestFit="1" customWidth="1"/>
    <col min="55" max="55" width="9.28515625" style="165" bestFit="1" customWidth="1"/>
    <col min="56" max="56" width="8.5703125" style="165" bestFit="1" customWidth="1"/>
    <col min="57" max="57" width="7.5703125" style="165" bestFit="1" customWidth="1"/>
    <col min="58" max="60" width="6.5703125" style="165" bestFit="1" customWidth="1"/>
    <col min="61" max="61" width="8.5703125" style="165" bestFit="1" customWidth="1"/>
    <col min="62" max="62" width="8.28515625" style="165" bestFit="1" customWidth="1"/>
    <col min="63" max="63" width="7.28515625" style="165" bestFit="1" customWidth="1"/>
    <col min="64" max="64" width="9.28515625" style="165" bestFit="1" customWidth="1"/>
    <col min="65" max="65" width="8.5703125" style="165" bestFit="1" customWidth="1"/>
    <col min="66" max="66" width="7.5703125" style="165" bestFit="1" customWidth="1"/>
    <col min="67" max="69" width="6.5703125" style="165" bestFit="1" customWidth="1"/>
    <col min="70" max="70" width="8.5703125" style="165" bestFit="1" customWidth="1"/>
    <col min="71" max="71" width="8.28515625" style="165" bestFit="1" customWidth="1"/>
    <col min="72" max="72" width="6.85546875" style="165" bestFit="1" customWidth="1"/>
    <col min="73" max="73" width="9.28515625" style="165" bestFit="1" customWidth="1"/>
    <col min="74" max="74" width="8.5703125" style="165" bestFit="1" customWidth="1"/>
    <col min="75" max="75" width="7.5703125" style="165" bestFit="1" customWidth="1"/>
    <col min="76" max="76" width="6.5703125" style="165" bestFit="1" customWidth="1"/>
    <col min="77" max="78" width="7.5703125" style="165" bestFit="1" customWidth="1"/>
    <col min="79" max="79" width="8.5703125" style="165" bestFit="1" customWidth="1"/>
    <col min="80" max="80" width="8.28515625" style="165" bestFit="1" customWidth="1"/>
    <col min="81" max="81" width="6.85546875" style="165" bestFit="1" customWidth="1"/>
    <col min="82" max="82" width="9.28515625" style="165" bestFit="1" customWidth="1"/>
    <col min="83" max="84" width="7.5703125" style="165" bestFit="1" customWidth="1"/>
    <col min="85" max="87" width="6.5703125" style="165" bestFit="1" customWidth="1"/>
    <col min="88" max="88" width="8.5703125" style="165" bestFit="1" customWidth="1"/>
    <col min="89" max="89" width="8.28515625" style="165" bestFit="1" customWidth="1"/>
    <col min="90" max="90" width="7.7109375" style="165" bestFit="1" customWidth="1"/>
    <col min="91" max="91" width="9.28515625" style="165" bestFit="1" customWidth="1"/>
    <col min="92" max="92" width="8.5703125" style="165" bestFit="1" customWidth="1"/>
    <col min="93" max="93" width="7.5703125" style="165" bestFit="1" customWidth="1"/>
    <col min="94" max="94" width="6.5703125" style="165" bestFit="1" customWidth="1"/>
    <col min="95" max="96" width="7.5703125" style="165" bestFit="1" customWidth="1"/>
    <col min="97" max="97" width="8.5703125" style="165" bestFit="1" customWidth="1"/>
    <col min="98" max="98" width="8.28515625" style="165" bestFit="1" customWidth="1"/>
    <col min="99" max="99" width="8.5703125" style="165" bestFit="1" customWidth="1"/>
    <col min="100" max="101" width="6.5703125" style="165" bestFit="1" customWidth="1"/>
    <col min="102" max="103" width="7.28515625" style="165" bestFit="1" customWidth="1"/>
    <col min="104" max="104" width="11.140625" style="165" bestFit="1" customWidth="1"/>
    <col min="105" max="16384" width="9.140625" style="165"/>
  </cols>
  <sheetData>
    <row r="1" spans="1:16" ht="7.5" customHeight="1" x14ac:dyDescent="0.2">
      <c r="A1" s="51" t="str" cm="1">
        <f t="array" aca="1" ref="A1" ca="1">MID(CELL("filename",A1),FIND("]",CELL("filename",A1))+1,255)</f>
        <v>WP PF4</v>
      </c>
    </row>
    <row r="2" spans="1:16" ht="15" customHeight="1" x14ac:dyDescent="0.2">
      <c r="B2" s="24" t="s">
        <v>451</v>
      </c>
    </row>
    <row r="3" spans="1:16" ht="15" customHeight="1" x14ac:dyDescent="0.2">
      <c r="B3" s="1" t="s">
        <v>1111</v>
      </c>
    </row>
    <row r="4" spans="1:16" ht="7.5" customHeight="1" x14ac:dyDescent="0.2"/>
    <row r="5" spans="1:16" ht="15" customHeight="1" x14ac:dyDescent="0.2"/>
    <row r="6" spans="1:16" ht="15" x14ac:dyDescent="0.25">
      <c r="B6" s="88" t="s">
        <v>417</v>
      </c>
      <c r="J6" s="203" t="s">
        <v>1107</v>
      </c>
    </row>
    <row r="7" spans="1:16" ht="15" x14ac:dyDescent="0.25">
      <c r="B7" s="158" t="s">
        <v>418</v>
      </c>
      <c r="C7" s="174" t="s">
        <v>570</v>
      </c>
      <c r="D7" s="184" t="s">
        <v>458</v>
      </c>
      <c r="E7" s="184" t="s">
        <v>459</v>
      </c>
      <c r="F7" s="184" t="s">
        <v>460</v>
      </c>
      <c r="G7" s="184" t="s">
        <v>461</v>
      </c>
      <c r="H7" s="184" t="s">
        <v>462</v>
      </c>
      <c r="I7" s="184" t="s">
        <v>463</v>
      </c>
      <c r="J7" s="204"/>
      <c r="K7" s="188" t="s">
        <v>1106</v>
      </c>
      <c r="L7" s="188" t="s">
        <v>1105</v>
      </c>
      <c r="M7" s="184" t="s">
        <v>1104</v>
      </c>
      <c r="O7" s="165"/>
      <c r="P7" s="165"/>
    </row>
    <row r="8" spans="1:16" ht="15" x14ac:dyDescent="0.25">
      <c r="B8" s="185"/>
      <c r="C8" s="186" t="s">
        <v>419</v>
      </c>
      <c r="D8" s="2" t="s">
        <v>420</v>
      </c>
      <c r="E8" s="2" t="s">
        <v>421</v>
      </c>
      <c r="F8" s="187" t="s">
        <v>422</v>
      </c>
      <c r="G8" s="187" t="s">
        <v>430</v>
      </c>
      <c r="H8" s="187" t="s">
        <v>431</v>
      </c>
      <c r="I8" s="187" t="s">
        <v>434</v>
      </c>
      <c r="J8" s="186" t="s">
        <v>1109</v>
      </c>
      <c r="K8" s="186" t="s">
        <v>436</v>
      </c>
      <c r="L8" s="186" t="s">
        <v>447</v>
      </c>
      <c r="M8" s="186" t="s">
        <v>448</v>
      </c>
      <c r="O8" s="165"/>
      <c r="P8" s="165"/>
    </row>
    <row r="9" spans="1:16" ht="3.75" customHeight="1" x14ac:dyDescent="0.25">
      <c r="D9"/>
      <c r="E9"/>
      <c r="F9"/>
      <c r="G9"/>
      <c r="H9"/>
      <c r="I9"/>
      <c r="O9" s="165"/>
      <c r="P9" s="165"/>
    </row>
    <row r="10" spans="1:16" ht="15" x14ac:dyDescent="0.25">
      <c r="B10" s="185">
        <v>1</v>
      </c>
      <c r="C10" s="52">
        <v>507107</v>
      </c>
      <c r="D10" s="28">
        <v>-45718.89</v>
      </c>
      <c r="E10" s="28">
        <v>2741.5</v>
      </c>
      <c r="F10" s="28">
        <v>3038.59</v>
      </c>
      <c r="G10" s="28">
        <v>3336.79</v>
      </c>
      <c r="H10" s="28">
        <v>3827.23</v>
      </c>
      <c r="I10" s="28">
        <v>2960.7799999999997</v>
      </c>
      <c r="J10" s="173">
        <f t="shared" ref="J10:J23" si="0">AVERAGE(D10:I10)*5</f>
        <v>-24845</v>
      </c>
      <c r="K10" s="173" t="s">
        <v>1103</v>
      </c>
      <c r="L10" s="173" t="s">
        <v>1102</v>
      </c>
      <c r="M10" s="173">
        <f>-J10</f>
        <v>24845</v>
      </c>
      <c r="O10" s="165"/>
      <c r="P10" s="165"/>
    </row>
    <row r="11" spans="1:16" ht="15" x14ac:dyDescent="0.25">
      <c r="B11" s="185">
        <v>2</v>
      </c>
      <c r="C11" s="52">
        <v>535000</v>
      </c>
      <c r="D11" s="15">
        <v>29925.95</v>
      </c>
      <c r="E11" s="15">
        <v>18505.57</v>
      </c>
      <c r="F11" s="15">
        <v>23883.4</v>
      </c>
      <c r="G11" s="15">
        <v>26427.42</v>
      </c>
      <c r="H11" s="15">
        <v>23146.35</v>
      </c>
      <c r="I11" s="15">
        <v>22929.82</v>
      </c>
      <c r="J11" s="167">
        <f t="shared" si="0"/>
        <v>120682.09166666667</v>
      </c>
      <c r="K11" s="166" t="s">
        <v>1101</v>
      </c>
      <c r="L11" s="166" t="s">
        <v>1096</v>
      </c>
      <c r="M11" s="172"/>
      <c r="O11" s="165"/>
      <c r="P11" s="165"/>
    </row>
    <row r="12" spans="1:16" ht="15" x14ac:dyDescent="0.25">
      <c r="B12" s="185">
        <v>3</v>
      </c>
      <c r="C12" s="52">
        <v>535001</v>
      </c>
      <c r="D12" s="15">
        <v>2249.25</v>
      </c>
      <c r="E12" s="15">
        <v>2229.77</v>
      </c>
      <c r="F12" s="15">
        <v>2082.91</v>
      </c>
      <c r="G12" s="15">
        <v>1993.83</v>
      </c>
      <c r="H12" s="15">
        <v>2045.02</v>
      </c>
      <c r="I12" s="15">
        <v>1854.85</v>
      </c>
      <c r="J12" s="167">
        <f t="shared" si="0"/>
        <v>10379.691666666668</v>
      </c>
      <c r="K12" s="166" t="s">
        <v>334</v>
      </c>
      <c r="L12" s="166" t="s">
        <v>1096</v>
      </c>
      <c r="M12" s="172"/>
      <c r="O12" s="165"/>
      <c r="P12" s="165"/>
    </row>
    <row r="13" spans="1:16" ht="15" x14ac:dyDescent="0.25">
      <c r="B13" s="185">
        <v>4</v>
      </c>
      <c r="C13" s="52">
        <v>536030</v>
      </c>
      <c r="D13" s="15">
        <v>1409.24</v>
      </c>
      <c r="E13" s="15">
        <v>-107.39</v>
      </c>
      <c r="F13" s="15">
        <v>1411.96</v>
      </c>
      <c r="G13" s="15">
        <v>-4055.47</v>
      </c>
      <c r="H13" s="15">
        <v>701.96</v>
      </c>
      <c r="I13" s="15">
        <v>560.30000000000007</v>
      </c>
      <c r="J13" s="167">
        <f t="shared" si="0"/>
        <v>-66.166666666666458</v>
      </c>
      <c r="K13" s="166" t="s">
        <v>313</v>
      </c>
      <c r="L13" s="166" t="s">
        <v>1096</v>
      </c>
      <c r="M13" s="172"/>
      <c r="O13" s="165"/>
      <c r="P13" s="165"/>
    </row>
    <row r="14" spans="1:16" ht="15" x14ac:dyDescent="0.25">
      <c r="B14" s="185">
        <v>5</v>
      </c>
      <c r="C14" s="52">
        <v>538100</v>
      </c>
      <c r="D14" s="15"/>
      <c r="E14" s="15">
        <v>1479</v>
      </c>
      <c r="F14" s="15"/>
      <c r="G14" s="15"/>
      <c r="H14" s="15"/>
      <c r="I14" s="15"/>
      <c r="J14" s="167">
        <f t="shared" si="0"/>
        <v>7395</v>
      </c>
      <c r="K14" s="166" t="s">
        <v>1100</v>
      </c>
      <c r="L14" s="166" t="s">
        <v>1096</v>
      </c>
      <c r="M14" s="172"/>
      <c r="O14" s="165"/>
      <c r="P14" s="165"/>
    </row>
    <row r="15" spans="1:16" ht="15" x14ac:dyDescent="0.25">
      <c r="B15" s="185">
        <v>6</v>
      </c>
      <c r="C15" s="52">
        <v>745000</v>
      </c>
      <c r="D15" s="15">
        <v>17067.780000000002</v>
      </c>
      <c r="E15" s="15">
        <v>21864.37</v>
      </c>
      <c r="F15" s="15">
        <v>16577.759999999998</v>
      </c>
      <c r="G15" s="15">
        <v>18109.189999999999</v>
      </c>
      <c r="H15" s="15">
        <v>7709.49</v>
      </c>
      <c r="I15" s="15">
        <v>7104.2400000000007</v>
      </c>
      <c r="J15" s="167">
        <f t="shared" si="0"/>
        <v>73694.025000000009</v>
      </c>
      <c r="K15" s="166" t="s">
        <v>202</v>
      </c>
      <c r="L15" s="166"/>
      <c r="M15" s="167">
        <f>-J15</f>
        <v>-73694.025000000009</v>
      </c>
      <c r="O15" s="165"/>
      <c r="P15" s="165"/>
    </row>
    <row r="16" spans="1:16" ht="15" x14ac:dyDescent="0.25">
      <c r="B16" s="185">
        <v>7</v>
      </c>
      <c r="C16" s="52">
        <v>761000</v>
      </c>
      <c r="D16" s="15">
        <v>410.4</v>
      </c>
      <c r="E16" s="15">
        <v>497.63</v>
      </c>
      <c r="F16" s="15">
        <v>370.22</v>
      </c>
      <c r="G16" s="15">
        <v>606.42999999999995</v>
      </c>
      <c r="H16" s="15"/>
      <c r="I16" s="15">
        <v>121.72</v>
      </c>
      <c r="J16" s="167">
        <f t="shared" si="0"/>
        <v>2006.3999999999999</v>
      </c>
      <c r="K16" s="166" t="s">
        <v>1099</v>
      </c>
      <c r="L16" s="166"/>
      <c r="M16" s="167">
        <f>-J16</f>
        <v>-2006.3999999999999</v>
      </c>
      <c r="O16" s="165"/>
      <c r="P16" s="165"/>
    </row>
    <row r="17" spans="2:16" ht="15" x14ac:dyDescent="0.25">
      <c r="B17" s="185">
        <v>8</v>
      </c>
      <c r="C17" s="52">
        <v>776000</v>
      </c>
      <c r="D17" s="15">
        <v>16454.599999999999</v>
      </c>
      <c r="E17" s="15">
        <v>15483.67</v>
      </c>
      <c r="F17" s="15">
        <v>14344.58</v>
      </c>
      <c r="G17" s="15">
        <v>15954.72</v>
      </c>
      <c r="H17" s="15">
        <v>10079.049999999999</v>
      </c>
      <c r="I17" s="15">
        <v>3331.03</v>
      </c>
      <c r="J17" s="167">
        <f t="shared" si="0"/>
        <v>63039.708333333328</v>
      </c>
      <c r="K17" s="166" t="s">
        <v>988</v>
      </c>
      <c r="L17" s="166"/>
      <c r="M17" s="167">
        <f>-J17</f>
        <v>-63039.708333333328</v>
      </c>
      <c r="O17" s="165"/>
      <c r="P17" s="165"/>
    </row>
    <row r="18" spans="2:16" ht="15" x14ac:dyDescent="0.25">
      <c r="B18" s="185">
        <v>9</v>
      </c>
      <c r="C18" s="52">
        <v>799998</v>
      </c>
      <c r="D18" s="15">
        <v>43782.98</v>
      </c>
      <c r="E18" s="15">
        <v>19443.169999999998</v>
      </c>
      <c r="F18" s="15">
        <v>17459.29</v>
      </c>
      <c r="G18" s="15">
        <v>56336.1</v>
      </c>
      <c r="H18" s="15">
        <v>24480.45</v>
      </c>
      <c r="I18" s="15">
        <v>10685.21</v>
      </c>
      <c r="J18" s="167">
        <f t="shared" si="0"/>
        <v>143489.33333333334</v>
      </c>
      <c r="K18" s="166" t="s">
        <v>1062</v>
      </c>
      <c r="L18" s="166"/>
      <c r="M18" s="167">
        <f>-J18</f>
        <v>-143489.33333333334</v>
      </c>
      <c r="O18" s="165"/>
      <c r="P18" s="165"/>
    </row>
    <row r="19" spans="2:16" ht="15" x14ac:dyDescent="0.25">
      <c r="B19" s="185">
        <v>10</v>
      </c>
      <c r="C19" s="52" t="s">
        <v>249</v>
      </c>
      <c r="D19" s="15">
        <v>2648.44</v>
      </c>
      <c r="E19" s="15">
        <v>2648.44</v>
      </c>
      <c r="F19" s="15">
        <v>2648.44</v>
      </c>
      <c r="G19" s="15">
        <v>2648.44</v>
      </c>
      <c r="H19" s="15">
        <v>5784.07</v>
      </c>
      <c r="I19" s="15">
        <v>5778.98</v>
      </c>
      <c r="J19" s="167">
        <f t="shared" si="0"/>
        <v>18464.008333333331</v>
      </c>
      <c r="K19" s="166" t="s">
        <v>251</v>
      </c>
      <c r="L19" s="166" t="s">
        <v>1097</v>
      </c>
      <c r="M19" s="172"/>
      <c r="O19" s="165"/>
      <c r="P19" s="165"/>
    </row>
    <row r="20" spans="2:16" ht="15" x14ac:dyDescent="0.25">
      <c r="B20" s="185">
        <v>11</v>
      </c>
      <c r="C20" s="52" t="s">
        <v>250</v>
      </c>
      <c r="D20" s="15">
        <v>2328.54</v>
      </c>
      <c r="E20" s="15">
        <v>2328.5700000000002</v>
      </c>
      <c r="F20" s="15">
        <v>2328.54</v>
      </c>
      <c r="G20" s="15"/>
      <c r="H20" s="15"/>
      <c r="I20" s="15"/>
      <c r="J20" s="167">
        <f t="shared" si="0"/>
        <v>11642.75</v>
      </c>
      <c r="K20" s="166" t="s">
        <v>1098</v>
      </c>
      <c r="L20" s="166" t="s">
        <v>1097</v>
      </c>
      <c r="M20" s="172"/>
      <c r="O20" s="165"/>
      <c r="P20" s="165"/>
    </row>
    <row r="21" spans="2:16" ht="15" x14ac:dyDescent="0.25">
      <c r="B21" s="185">
        <v>12</v>
      </c>
      <c r="C21" s="52" t="s">
        <v>298</v>
      </c>
      <c r="D21" s="15">
        <v>482.21</v>
      </c>
      <c r="E21" s="15"/>
      <c r="F21" s="15"/>
      <c r="G21" s="15"/>
      <c r="H21" s="15"/>
      <c r="I21" s="15"/>
      <c r="J21" s="167">
        <f t="shared" si="0"/>
        <v>2411.0499999999997</v>
      </c>
      <c r="K21" s="166" t="s">
        <v>324</v>
      </c>
      <c r="L21" s="166" t="s">
        <v>1096</v>
      </c>
      <c r="M21" s="172"/>
      <c r="O21" s="165"/>
      <c r="P21" s="165"/>
    </row>
    <row r="22" spans="2:16" ht="15" x14ac:dyDescent="0.25">
      <c r="B22" s="185">
        <v>13</v>
      </c>
      <c r="C22" s="52" t="s">
        <v>332</v>
      </c>
      <c r="D22" s="15"/>
      <c r="E22" s="15"/>
      <c r="F22" s="15"/>
      <c r="G22" s="15"/>
      <c r="H22" s="15"/>
      <c r="I22" s="15">
        <v>-899.29</v>
      </c>
      <c r="J22" s="167">
        <f t="shared" si="0"/>
        <v>-4496.45</v>
      </c>
      <c r="K22" s="166" t="s">
        <v>335</v>
      </c>
      <c r="L22" s="166" t="s">
        <v>1096</v>
      </c>
      <c r="M22" s="172"/>
      <c r="O22" s="165"/>
      <c r="P22" s="165"/>
    </row>
    <row r="23" spans="2:16" ht="15" x14ac:dyDescent="0.25">
      <c r="B23" s="185">
        <v>14</v>
      </c>
      <c r="C23" s="52" t="s">
        <v>81</v>
      </c>
      <c r="D23" s="15">
        <v>44169.79</v>
      </c>
      <c r="E23" s="15">
        <v>57985.05</v>
      </c>
      <c r="F23" s="15">
        <v>56011.76</v>
      </c>
      <c r="G23" s="15">
        <v>104246.82999999999</v>
      </c>
      <c r="H23" s="15">
        <v>69428.73</v>
      </c>
      <c r="I23" s="15">
        <v>62230.51</v>
      </c>
      <c r="J23" s="167">
        <f t="shared" si="0"/>
        <v>328393.89166666666</v>
      </c>
      <c r="K23" s="166" t="s">
        <v>1063</v>
      </c>
      <c r="L23" s="166"/>
      <c r="M23" s="171">
        <f>-J23</f>
        <v>-328393.89166666666</v>
      </c>
      <c r="O23" s="165"/>
      <c r="P23" s="165"/>
    </row>
    <row r="24" spans="2:16" x14ac:dyDescent="0.2">
      <c r="B24" s="185">
        <v>15</v>
      </c>
      <c r="J24" s="167"/>
      <c r="K24" s="170" t="s">
        <v>1095</v>
      </c>
      <c r="L24" s="170"/>
      <c r="M24" s="169">
        <f>SUM(M10:M23)</f>
        <v>-585778.3583333334</v>
      </c>
      <c r="O24" s="165"/>
      <c r="P24" s="165"/>
    </row>
    <row r="25" spans="2:16" ht="3.75" customHeight="1" x14ac:dyDescent="0.2">
      <c r="N25" s="168"/>
    </row>
    <row r="26" spans="2:16" x14ac:dyDescent="0.2">
      <c r="B26" s="185">
        <v>16</v>
      </c>
      <c r="C26" s="175" t="s">
        <v>1110</v>
      </c>
    </row>
  </sheetData>
  <mergeCells count="1">
    <mergeCell ref="J6:J7"/>
  </mergeCells>
  <phoneticPr fontId="21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2C6B-5664-4DE9-9C65-A050A8CD3E77}">
  <sheetPr>
    <tabColor rgb="FF00B050"/>
  </sheetPr>
  <dimension ref="A1:N34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39.28515625" customWidth="1"/>
    <col min="4" max="4" width="28.5703125" style="2" customWidth="1"/>
    <col min="5" max="14" width="17.85546875" customWidth="1"/>
  </cols>
  <sheetData>
    <row r="1" spans="1:14" ht="7.5" customHeight="1" x14ac:dyDescent="0.25">
      <c r="A1" s="51" t="str" cm="1">
        <f t="array" aca="1" ref="A1" ca="1">MID(CELL("filename",A1),FIND("]",CELL("filename",A1))+1,255)</f>
        <v>WP PF6</v>
      </c>
    </row>
    <row r="2" spans="1:14" x14ac:dyDescent="0.25">
      <c r="B2" s="24" t="s">
        <v>451</v>
      </c>
    </row>
    <row r="3" spans="1:14" x14ac:dyDescent="0.25">
      <c r="B3" s="1" t="s">
        <v>583</v>
      </c>
    </row>
    <row r="4" spans="1:14" ht="7.5" customHeight="1" x14ac:dyDescent="0.25">
      <c r="B4" s="1"/>
    </row>
    <row r="5" spans="1:14" s="6" customFormat="1" x14ac:dyDescent="0.25">
      <c r="D5" s="16"/>
      <c r="E5" s="16"/>
      <c r="F5" s="16"/>
      <c r="G5" s="16"/>
    </row>
    <row r="6" spans="1:14" s="6" customFormat="1" x14ac:dyDescent="0.25">
      <c r="B6" s="16" t="s">
        <v>417</v>
      </c>
      <c r="D6" s="16"/>
      <c r="E6" s="16" t="s">
        <v>550</v>
      </c>
      <c r="F6" s="16" t="s">
        <v>551</v>
      </c>
      <c r="G6" s="16" t="s">
        <v>555</v>
      </c>
      <c r="H6" s="16" t="s">
        <v>553</v>
      </c>
      <c r="I6" s="16" t="s">
        <v>552</v>
      </c>
      <c r="J6" s="16" t="s">
        <v>557</v>
      </c>
      <c r="K6" s="16" t="s">
        <v>559</v>
      </c>
      <c r="L6" s="16" t="s">
        <v>563</v>
      </c>
      <c r="M6" s="16" t="s">
        <v>561</v>
      </c>
      <c r="N6" s="16" t="s">
        <v>561</v>
      </c>
    </row>
    <row r="7" spans="1:14" s="6" customFormat="1" x14ac:dyDescent="0.25">
      <c r="B7" s="17" t="s">
        <v>418</v>
      </c>
      <c r="C7" s="59" t="s">
        <v>548</v>
      </c>
      <c r="D7" s="17" t="s">
        <v>513</v>
      </c>
      <c r="E7" s="17">
        <v>2020</v>
      </c>
      <c r="F7" s="17" t="s">
        <v>552</v>
      </c>
      <c r="G7" s="17" t="s">
        <v>444</v>
      </c>
      <c r="H7" s="17" t="s">
        <v>554</v>
      </c>
      <c r="I7" s="17" t="s">
        <v>556</v>
      </c>
      <c r="J7" s="17" t="s">
        <v>558</v>
      </c>
      <c r="K7" s="17" t="s">
        <v>560</v>
      </c>
      <c r="L7" s="17" t="s">
        <v>564</v>
      </c>
      <c r="M7" s="17" t="s">
        <v>562</v>
      </c>
      <c r="N7" s="17" t="s">
        <v>520</v>
      </c>
    </row>
    <row r="8" spans="1:14" x14ac:dyDescent="0.25">
      <c r="B8" s="2"/>
      <c r="C8" s="19" t="s">
        <v>419</v>
      </c>
      <c r="D8" s="19" t="s">
        <v>420</v>
      </c>
      <c r="E8" s="19" t="s">
        <v>421</v>
      </c>
      <c r="F8" s="19" t="s">
        <v>422</v>
      </c>
      <c r="G8" s="19" t="s">
        <v>430</v>
      </c>
      <c r="H8" s="19" t="s">
        <v>431</v>
      </c>
      <c r="I8" s="19" t="s">
        <v>434</v>
      </c>
      <c r="J8" s="19" t="s">
        <v>435</v>
      </c>
      <c r="K8" s="19" t="s">
        <v>436</v>
      </c>
      <c r="L8" s="19" t="s">
        <v>447</v>
      </c>
      <c r="M8" s="20" t="s">
        <v>448</v>
      </c>
      <c r="N8" s="20" t="s">
        <v>490</v>
      </c>
    </row>
    <row r="9" spans="1:14" ht="3.75" customHeight="1" x14ac:dyDescent="0.25">
      <c r="B9" s="2"/>
      <c r="C9" s="19"/>
      <c r="D9" s="19"/>
      <c r="E9" s="19"/>
      <c r="F9" s="19"/>
      <c r="G9" s="19"/>
    </row>
    <row r="10" spans="1:14" x14ac:dyDescent="0.25">
      <c r="B10" s="2">
        <v>1</v>
      </c>
      <c r="C10" s="57" t="s">
        <v>494</v>
      </c>
      <c r="D10" s="2" t="s">
        <v>549</v>
      </c>
      <c r="E10" s="2">
        <v>12</v>
      </c>
      <c r="F10" s="28">
        <v>80000</v>
      </c>
      <c r="G10" s="28">
        <f>F10*E10/12</f>
        <v>80000</v>
      </c>
      <c r="H10" s="60">
        <v>0.85</v>
      </c>
      <c r="I10" s="28">
        <f>G10*(1-H10)</f>
        <v>12000.000000000002</v>
      </c>
      <c r="J10" s="28">
        <f>I10*0.9113</f>
        <v>10935.600000000002</v>
      </c>
      <c r="K10" s="28">
        <f>I10+J10</f>
        <v>22935.600000000006</v>
      </c>
      <c r="L10" s="2" t="s">
        <v>509</v>
      </c>
      <c r="M10" s="28">
        <f>IF(L10="4-Factor",'WP 4-Factor'!$D$10,IF($L10="East Pierce",0,1))*$K10</f>
        <v>11626.055640000004</v>
      </c>
      <c r="N10" s="28">
        <f>K10-M10</f>
        <v>11309.544360000002</v>
      </c>
    </row>
    <row r="11" spans="1:14" x14ac:dyDescent="0.25">
      <c r="B11" s="2">
        <f>MAX($B$10:B10)+1</f>
        <v>2</v>
      </c>
      <c r="C11" s="57" t="s">
        <v>495</v>
      </c>
      <c r="D11" s="2" t="s">
        <v>549</v>
      </c>
      <c r="E11" s="2">
        <v>12</v>
      </c>
      <c r="F11" s="15">
        <v>60600</v>
      </c>
      <c r="G11" s="15">
        <f t="shared" ref="G11:G27" si="0">F11*E11/12</f>
        <v>60600</v>
      </c>
      <c r="H11" s="60">
        <v>5.0000000000000044E-2</v>
      </c>
      <c r="I11" s="15">
        <f t="shared" ref="I11:I27" si="1">G11*(1-H11)</f>
        <v>57570</v>
      </c>
      <c r="J11" s="15">
        <f t="shared" ref="J11:J27" si="2">I11*0.9113</f>
        <v>52463.540999999997</v>
      </c>
      <c r="K11" s="15">
        <f t="shared" ref="K11:K27" si="3">I11+J11</f>
        <v>110033.541</v>
      </c>
      <c r="L11" s="2" t="s">
        <v>509</v>
      </c>
      <c r="M11" s="15">
        <f>IF(L11="4-Factor",'WP 4-Factor'!$D$10,IF($L11="East Pierce",0,1))*$K11</f>
        <v>55776.001932899999</v>
      </c>
      <c r="N11" s="15">
        <f t="shared" ref="N11:N27" si="4">K11-M11</f>
        <v>54257.539067099999</v>
      </c>
    </row>
    <row r="12" spans="1:14" x14ac:dyDescent="0.25">
      <c r="B12" s="2">
        <f>MAX($B$10:B11)+1</f>
        <v>3</v>
      </c>
      <c r="C12" s="57" t="s">
        <v>496</v>
      </c>
      <c r="D12" s="2" t="s">
        <v>549</v>
      </c>
      <c r="E12" s="2">
        <v>10</v>
      </c>
      <c r="F12" s="15">
        <v>47470</v>
      </c>
      <c r="G12" s="15">
        <f t="shared" si="0"/>
        <v>39558.333333333336</v>
      </c>
      <c r="H12" s="60">
        <v>5.0000000000000044E-2</v>
      </c>
      <c r="I12" s="15">
        <f t="shared" si="1"/>
        <v>37580.416666666664</v>
      </c>
      <c r="J12" s="15">
        <f t="shared" si="2"/>
        <v>34247.033708333329</v>
      </c>
      <c r="K12" s="15">
        <f t="shared" si="3"/>
        <v>71827.450374999986</v>
      </c>
      <c r="L12" s="2" t="s">
        <v>509</v>
      </c>
      <c r="M12" s="15">
        <f>IF(L12="4-Factor",'WP 4-Factor'!$D$10,IF($L12="East Pierce",0,1))*$K12</f>
        <v>36409.334595087494</v>
      </c>
      <c r="N12" s="15">
        <f t="shared" si="4"/>
        <v>35418.115779912492</v>
      </c>
    </row>
    <row r="13" spans="1:14" x14ac:dyDescent="0.25">
      <c r="B13" s="2">
        <f>MAX($B$10:B12)+1</f>
        <v>4</v>
      </c>
      <c r="C13" s="57" t="s">
        <v>497</v>
      </c>
      <c r="D13" s="2" t="s">
        <v>549</v>
      </c>
      <c r="E13" s="2">
        <v>12</v>
      </c>
      <c r="F13" s="15">
        <v>50500</v>
      </c>
      <c r="G13" s="15">
        <f t="shared" si="0"/>
        <v>50500</v>
      </c>
      <c r="H13" s="60">
        <v>0.15000000000000002</v>
      </c>
      <c r="I13" s="15">
        <f t="shared" si="1"/>
        <v>42925</v>
      </c>
      <c r="J13" s="15">
        <f t="shared" si="2"/>
        <v>39117.552499999998</v>
      </c>
      <c r="K13" s="15">
        <f t="shared" si="3"/>
        <v>82042.552499999991</v>
      </c>
      <c r="L13" s="2" t="s">
        <v>509</v>
      </c>
      <c r="M13" s="15">
        <f>IF(L13="4-Factor",'WP 4-Factor'!$D$10,IF($L13="East Pierce",0,1))*$K13</f>
        <v>41587.369862249994</v>
      </c>
      <c r="N13" s="15">
        <f t="shared" si="4"/>
        <v>40455.182637749997</v>
      </c>
    </row>
    <row r="14" spans="1:14" x14ac:dyDescent="0.25">
      <c r="B14" s="2">
        <f>MAX($B$10:B13)+1</f>
        <v>5</v>
      </c>
      <c r="C14" s="57" t="s">
        <v>498</v>
      </c>
      <c r="D14" s="2" t="s">
        <v>549</v>
      </c>
      <c r="E14" s="2">
        <v>12</v>
      </c>
      <c r="F14" s="15">
        <v>65630</v>
      </c>
      <c r="G14" s="15">
        <f t="shared" si="0"/>
        <v>65630</v>
      </c>
      <c r="H14" s="60">
        <v>0.15000000000000002</v>
      </c>
      <c r="I14" s="15">
        <f t="shared" si="1"/>
        <v>55785.5</v>
      </c>
      <c r="J14" s="15">
        <f t="shared" si="2"/>
        <v>50837.326150000001</v>
      </c>
      <c r="K14" s="15">
        <f t="shared" si="3"/>
        <v>106622.82615000001</v>
      </c>
      <c r="L14" s="2" t="s">
        <v>509</v>
      </c>
      <c r="M14" s="15">
        <f>IF(L14="4-Factor",'WP 4-Factor'!$D$10,IF($L14="East Pierce",0,1))*$K14</f>
        <v>54047.110575435006</v>
      </c>
      <c r="N14" s="15">
        <f t="shared" si="4"/>
        <v>52575.715574565002</v>
      </c>
    </row>
    <row r="15" spans="1:14" x14ac:dyDescent="0.25">
      <c r="B15" s="2">
        <f>MAX($B$10:B14)+1</f>
        <v>6</v>
      </c>
      <c r="C15" s="57" t="s">
        <v>498</v>
      </c>
      <c r="D15" s="2" t="s">
        <v>549</v>
      </c>
      <c r="E15" s="2">
        <v>1</v>
      </c>
      <c r="F15" s="15">
        <v>65630</v>
      </c>
      <c r="G15" s="15">
        <f t="shared" si="0"/>
        <v>5469.166666666667</v>
      </c>
      <c r="H15" s="60">
        <v>0.15000000000000002</v>
      </c>
      <c r="I15" s="15">
        <f t="shared" si="1"/>
        <v>4648.791666666667</v>
      </c>
      <c r="J15" s="15">
        <f t="shared" si="2"/>
        <v>4236.4438458333334</v>
      </c>
      <c r="K15" s="15">
        <f t="shared" si="3"/>
        <v>8885.2355124999995</v>
      </c>
      <c r="L15" s="2" t="s">
        <v>509</v>
      </c>
      <c r="M15" s="15">
        <f>IF(L15="4-Factor",'WP 4-Factor'!$D$10,IF($L15="East Pierce",0,1))*$K15</f>
        <v>4503.9258812862499</v>
      </c>
      <c r="N15" s="15">
        <f t="shared" si="4"/>
        <v>4381.3096312137495</v>
      </c>
    </row>
    <row r="16" spans="1:14" x14ac:dyDescent="0.25">
      <c r="B16" s="2">
        <f>MAX($B$10:B15)+1</f>
        <v>7</v>
      </c>
      <c r="C16" s="57" t="s">
        <v>499</v>
      </c>
      <c r="D16" s="2" t="s">
        <v>549</v>
      </c>
      <c r="E16" s="2">
        <v>11</v>
      </c>
      <c r="F16" s="15">
        <v>80800</v>
      </c>
      <c r="G16" s="15">
        <f t="shared" si="0"/>
        <v>74066.666666666672</v>
      </c>
      <c r="H16" s="60">
        <v>0.9</v>
      </c>
      <c r="I16" s="15">
        <f t="shared" si="1"/>
        <v>7406.6666666666652</v>
      </c>
      <c r="J16" s="15">
        <f t="shared" si="2"/>
        <v>6749.6953333333322</v>
      </c>
      <c r="K16" s="15">
        <f t="shared" si="3"/>
        <v>14156.361999999997</v>
      </c>
      <c r="L16" s="2" t="s">
        <v>509</v>
      </c>
      <c r="M16" s="15">
        <f>IF(L16="4-Factor",'WP 4-Factor'!$D$10,IF($L16="East Pierce",0,1))*$K16</f>
        <v>7175.8598977999991</v>
      </c>
      <c r="N16" s="15">
        <f t="shared" si="4"/>
        <v>6980.5021021999983</v>
      </c>
    </row>
    <row r="17" spans="2:14" x14ac:dyDescent="0.25">
      <c r="B17" s="2">
        <f>MAX($B$10:B16)+1</f>
        <v>8</v>
      </c>
      <c r="C17" s="57" t="s">
        <v>500</v>
      </c>
      <c r="D17" s="2" t="s">
        <v>549</v>
      </c>
      <c r="E17" s="2">
        <v>11</v>
      </c>
      <c r="F17" s="15">
        <v>60600</v>
      </c>
      <c r="G17" s="15">
        <f t="shared" si="0"/>
        <v>55550</v>
      </c>
      <c r="H17" s="60">
        <v>0.8</v>
      </c>
      <c r="I17" s="15">
        <f t="shared" si="1"/>
        <v>11109.999999999998</v>
      </c>
      <c r="J17" s="15">
        <f t="shared" si="2"/>
        <v>10124.542999999998</v>
      </c>
      <c r="K17" s="15">
        <f t="shared" si="3"/>
        <v>21234.542999999998</v>
      </c>
      <c r="L17" s="2" t="s">
        <v>509</v>
      </c>
      <c r="M17" s="15">
        <f>IF(L17="4-Factor",'WP 4-Factor'!$D$10,IF($L17="East Pierce",0,1))*$K17</f>
        <v>10763.7898467</v>
      </c>
      <c r="N17" s="15">
        <f t="shared" si="4"/>
        <v>10470.753153299998</v>
      </c>
    </row>
    <row r="18" spans="2:14" x14ac:dyDescent="0.25">
      <c r="B18" s="2">
        <f>MAX($B$10:B17)+1</f>
        <v>9</v>
      </c>
      <c r="C18" s="57" t="s">
        <v>501</v>
      </c>
      <c r="D18" s="2" t="s">
        <v>549</v>
      </c>
      <c r="E18" s="2">
        <v>1</v>
      </c>
      <c r="F18" s="15">
        <v>124451</v>
      </c>
      <c r="G18" s="15">
        <f t="shared" si="0"/>
        <v>10370.916666666666</v>
      </c>
      <c r="H18" s="60">
        <v>0.15000000000000002</v>
      </c>
      <c r="I18" s="15">
        <f t="shared" si="1"/>
        <v>8815.2791666666653</v>
      </c>
      <c r="J18" s="15">
        <f t="shared" si="2"/>
        <v>8033.3639045833324</v>
      </c>
      <c r="K18" s="15">
        <f t="shared" si="3"/>
        <v>16848.643071249997</v>
      </c>
      <c r="L18" s="2" t="s">
        <v>509</v>
      </c>
      <c r="M18" s="15">
        <f>IF(L18="4-Factor",'WP 4-Factor'!$D$10,IF($L18="East Pierce",0,1))*$K18</f>
        <v>8540.5771728166237</v>
      </c>
      <c r="N18" s="15">
        <f t="shared" si="4"/>
        <v>8308.0658984333731</v>
      </c>
    </row>
    <row r="19" spans="2:14" x14ac:dyDescent="0.25">
      <c r="B19" s="2">
        <f>MAX($B$10:B18)+1</f>
        <v>10</v>
      </c>
      <c r="C19" s="57" t="s">
        <v>502</v>
      </c>
      <c r="D19" s="2" t="s">
        <v>549</v>
      </c>
      <c r="E19" s="2">
        <v>7</v>
      </c>
      <c r="F19" s="15">
        <v>55860</v>
      </c>
      <c r="G19" s="15">
        <f t="shared" si="0"/>
        <v>32585</v>
      </c>
      <c r="H19" s="60">
        <v>0.15000000000000002</v>
      </c>
      <c r="I19" s="15">
        <f t="shared" si="1"/>
        <v>27697.25</v>
      </c>
      <c r="J19" s="15">
        <f t="shared" si="2"/>
        <v>25240.503925000001</v>
      </c>
      <c r="K19" s="15">
        <f t="shared" si="3"/>
        <v>52937.753924999997</v>
      </c>
      <c r="L19" s="2" t="s">
        <v>509</v>
      </c>
      <c r="M19" s="15">
        <f>IF(L19="4-Factor",'WP 4-Factor'!$D$10,IF($L19="East Pierce",0,1))*$K19</f>
        <v>26834.1474645825</v>
      </c>
      <c r="N19" s="15">
        <f t="shared" si="4"/>
        <v>26103.606460417497</v>
      </c>
    </row>
    <row r="20" spans="2:14" x14ac:dyDescent="0.25">
      <c r="B20" s="2">
        <f>MAX($B$10:B19)+1</f>
        <v>11</v>
      </c>
      <c r="C20" s="57" t="s">
        <v>503</v>
      </c>
      <c r="D20" s="2" t="s">
        <v>520</v>
      </c>
      <c r="E20" s="2">
        <v>7</v>
      </c>
      <c r="F20" s="15">
        <v>76385</v>
      </c>
      <c r="G20" s="15">
        <f t="shared" si="0"/>
        <v>44557.916666666664</v>
      </c>
      <c r="H20" s="60">
        <v>5.0000000000000044E-2</v>
      </c>
      <c r="I20" s="15">
        <f t="shared" si="1"/>
        <v>42330.020833333328</v>
      </c>
      <c r="J20" s="15">
        <f t="shared" si="2"/>
        <v>38575.347985416665</v>
      </c>
      <c r="K20" s="15">
        <f t="shared" si="3"/>
        <v>80905.368818749994</v>
      </c>
      <c r="L20" s="2" t="s">
        <v>520</v>
      </c>
      <c r="M20" s="15">
        <f>IF(L20="4-Factor",'WP 4-Factor'!$D$10,IF($L20="East Pierce",0,1))*$K20</f>
        <v>0</v>
      </c>
      <c r="N20" s="15">
        <f t="shared" si="4"/>
        <v>80905.368818749994</v>
      </c>
    </row>
    <row r="21" spans="2:14" x14ac:dyDescent="0.25">
      <c r="B21" s="2">
        <f>MAX($B$10:B20)+1</f>
        <v>12</v>
      </c>
      <c r="C21" s="57" t="s">
        <v>504</v>
      </c>
      <c r="D21" s="2" t="s">
        <v>520</v>
      </c>
      <c r="E21" s="2">
        <v>1</v>
      </c>
      <c r="F21" s="15">
        <v>118220</v>
      </c>
      <c r="G21" s="15">
        <f t="shared" si="0"/>
        <v>9851.6666666666661</v>
      </c>
      <c r="H21" s="60">
        <v>9.9999999999999978E-2</v>
      </c>
      <c r="I21" s="15">
        <f t="shared" si="1"/>
        <v>8866.5</v>
      </c>
      <c r="J21" s="15">
        <f t="shared" si="2"/>
        <v>8080.0414499999997</v>
      </c>
      <c r="K21" s="15">
        <f t="shared" si="3"/>
        <v>16946.541450000001</v>
      </c>
      <c r="L21" s="2" t="s">
        <v>520</v>
      </c>
      <c r="M21" s="15">
        <f>IF(L21="4-Factor",'WP 4-Factor'!$D$10,IF($L21="East Pierce",0,1))*$K21</f>
        <v>0</v>
      </c>
      <c r="N21" s="15">
        <f t="shared" si="4"/>
        <v>16946.541450000001</v>
      </c>
    </row>
    <row r="22" spans="2:14" x14ac:dyDescent="0.25">
      <c r="B22" s="2">
        <f>MAX($B$10:B21)+1</f>
        <v>13</v>
      </c>
      <c r="C22" s="57" t="s">
        <v>505</v>
      </c>
      <c r="D22" s="2" t="s">
        <v>549</v>
      </c>
      <c r="E22" s="2">
        <v>1</v>
      </c>
      <c r="F22" s="15">
        <v>60600</v>
      </c>
      <c r="G22" s="15">
        <f t="shared" si="0"/>
        <v>5050</v>
      </c>
      <c r="H22" s="60">
        <v>0.8</v>
      </c>
      <c r="I22" s="15">
        <f t="shared" si="1"/>
        <v>1009.9999999999998</v>
      </c>
      <c r="J22" s="15">
        <f t="shared" si="2"/>
        <v>920.41299999999978</v>
      </c>
      <c r="K22" s="15">
        <f t="shared" si="3"/>
        <v>1930.4129999999996</v>
      </c>
      <c r="L22" s="2" t="s">
        <v>509</v>
      </c>
      <c r="M22" s="15">
        <f>IF(L22="4-Factor",'WP 4-Factor'!$D$10,IF($L22="East Pierce",0,1))*$K22</f>
        <v>978.52634969999986</v>
      </c>
      <c r="N22" s="15">
        <f t="shared" si="4"/>
        <v>951.8866502999997</v>
      </c>
    </row>
    <row r="23" spans="2:14" x14ac:dyDescent="0.25">
      <c r="B23" s="2">
        <f>MAX($B$10:B22)+1</f>
        <v>14</v>
      </c>
      <c r="C23" s="57" t="s">
        <v>506</v>
      </c>
      <c r="D23" s="2" t="s">
        <v>549</v>
      </c>
      <c r="E23" s="2">
        <v>5</v>
      </c>
      <c r="F23" s="15">
        <v>60600</v>
      </c>
      <c r="G23" s="15">
        <f t="shared" si="0"/>
        <v>25250</v>
      </c>
      <c r="H23" s="60">
        <v>0.8</v>
      </c>
      <c r="I23" s="15">
        <f t="shared" si="1"/>
        <v>5049.9999999999991</v>
      </c>
      <c r="J23" s="15">
        <f t="shared" si="2"/>
        <v>4602.0649999999996</v>
      </c>
      <c r="K23" s="15">
        <f t="shared" si="3"/>
        <v>9652.0649999999987</v>
      </c>
      <c r="L23" s="2" t="s">
        <v>509</v>
      </c>
      <c r="M23" s="15">
        <f>IF(L23="4-Factor",'WP 4-Factor'!$D$10,IF($L23="East Pierce",0,1))*$K23</f>
        <v>4892.631748499999</v>
      </c>
      <c r="N23" s="15">
        <f t="shared" si="4"/>
        <v>4759.4332514999996</v>
      </c>
    </row>
    <row r="24" spans="2:14" x14ac:dyDescent="0.25">
      <c r="B24" s="2">
        <f>MAX($B$10:B23)+1</f>
        <v>15</v>
      </c>
      <c r="C24" s="57" t="s">
        <v>496</v>
      </c>
      <c r="D24" s="2" t="s">
        <v>549</v>
      </c>
      <c r="E24" s="2">
        <v>4</v>
      </c>
      <c r="F24" s="15">
        <v>47470</v>
      </c>
      <c r="G24" s="15">
        <f t="shared" si="0"/>
        <v>15823.333333333334</v>
      </c>
      <c r="H24" s="60">
        <v>5.0000000000000044E-2</v>
      </c>
      <c r="I24" s="15">
        <f t="shared" si="1"/>
        <v>15032.166666666666</v>
      </c>
      <c r="J24" s="15">
        <f t="shared" si="2"/>
        <v>13698.813483333333</v>
      </c>
      <c r="K24" s="15">
        <f t="shared" si="3"/>
        <v>28730.980149999999</v>
      </c>
      <c r="L24" s="2" t="s">
        <v>509</v>
      </c>
      <c r="M24" s="15">
        <f>IF(L24="4-Factor",'WP 4-Factor'!$D$10,IF($L24="East Pierce",0,1))*$K24</f>
        <v>14563.733838035001</v>
      </c>
      <c r="N24" s="15">
        <f t="shared" si="4"/>
        <v>14167.246311964998</v>
      </c>
    </row>
    <row r="25" spans="2:14" x14ac:dyDescent="0.25">
      <c r="B25" s="2">
        <f>MAX($B$10:B24)+1</f>
        <v>16</v>
      </c>
      <c r="C25" s="57" t="s">
        <v>507</v>
      </c>
      <c r="D25" s="2" t="s">
        <v>549</v>
      </c>
      <c r="E25" s="2">
        <v>3</v>
      </c>
      <c r="F25" s="15">
        <v>47146</v>
      </c>
      <c r="G25" s="15">
        <f t="shared" si="0"/>
        <v>11786.5</v>
      </c>
      <c r="H25" s="60">
        <v>5.0000000000000044E-2</v>
      </c>
      <c r="I25" s="15">
        <f t="shared" si="1"/>
        <v>11197.174999999999</v>
      </c>
      <c r="J25" s="15">
        <f t="shared" si="2"/>
        <v>10203.9855775</v>
      </c>
      <c r="K25" s="15">
        <f t="shared" si="3"/>
        <v>21401.160577499999</v>
      </c>
      <c r="L25" s="2" t="s">
        <v>509</v>
      </c>
      <c r="M25" s="15">
        <f>IF(L25="4-Factor",'WP 4-Factor'!$D$10,IF($L25="East Pierce",0,1))*$K25</f>
        <v>10848.24829673475</v>
      </c>
      <c r="N25" s="15">
        <f t="shared" si="4"/>
        <v>10552.912280765249</v>
      </c>
    </row>
    <row r="26" spans="2:14" x14ac:dyDescent="0.25">
      <c r="B26" s="2">
        <f>MAX($B$10:B25)+1</f>
        <v>17</v>
      </c>
      <c r="C26" s="57" t="s">
        <v>496</v>
      </c>
      <c r="D26" s="2" t="s">
        <v>549</v>
      </c>
      <c r="E26" s="2">
        <v>2</v>
      </c>
      <c r="F26" s="15">
        <v>47470</v>
      </c>
      <c r="G26" s="15">
        <f t="shared" si="0"/>
        <v>7911.666666666667</v>
      </c>
      <c r="H26" s="60">
        <v>5.0000000000000044E-2</v>
      </c>
      <c r="I26" s="15">
        <f t="shared" si="1"/>
        <v>7516.083333333333</v>
      </c>
      <c r="J26" s="15">
        <f t="shared" si="2"/>
        <v>6849.4067416666667</v>
      </c>
      <c r="K26" s="15">
        <f t="shared" si="3"/>
        <v>14365.490075</v>
      </c>
      <c r="L26" s="2" t="s">
        <v>509</v>
      </c>
      <c r="M26" s="15">
        <f>IF(L26="4-Factor",'WP 4-Factor'!$D$10,IF($L26="East Pierce",0,1))*$K26</f>
        <v>7281.8669190175005</v>
      </c>
      <c r="N26" s="15">
        <f t="shared" si="4"/>
        <v>7083.6231559824992</v>
      </c>
    </row>
    <row r="27" spans="2:14" x14ac:dyDescent="0.25">
      <c r="B27" s="2">
        <f>MAX($B$10:B26)+1</f>
        <v>18</v>
      </c>
      <c r="C27" s="57" t="s">
        <v>508</v>
      </c>
      <c r="D27" s="2" t="s">
        <v>549</v>
      </c>
      <c r="E27" s="2">
        <v>3</v>
      </c>
      <c r="F27" s="15">
        <v>65650</v>
      </c>
      <c r="G27" s="15">
        <f t="shared" si="0"/>
        <v>16412.5</v>
      </c>
      <c r="H27" s="60">
        <v>0.15000000000000002</v>
      </c>
      <c r="I27" s="15">
        <f t="shared" si="1"/>
        <v>13950.625</v>
      </c>
      <c r="J27" s="15">
        <f t="shared" si="2"/>
        <v>12713.204562499999</v>
      </c>
      <c r="K27" s="15">
        <f t="shared" si="3"/>
        <v>26663.829562499999</v>
      </c>
      <c r="L27" s="2" t="s">
        <v>509</v>
      </c>
      <c r="M27" s="15">
        <f>IF(L27="4-Factor",'WP 4-Factor'!$D$10,IF($L27="East Pierce",0,1))*$K27</f>
        <v>13515.895205231251</v>
      </c>
      <c r="N27" s="15">
        <f t="shared" si="4"/>
        <v>13147.934357268748</v>
      </c>
    </row>
    <row r="28" spans="2:14" ht="3.75" customHeight="1" x14ac:dyDescent="0.25">
      <c r="B28" s="2"/>
      <c r="C28" s="57"/>
      <c r="G28" s="62"/>
      <c r="H28" s="62"/>
      <c r="I28" s="62"/>
      <c r="J28" s="62"/>
      <c r="K28" s="62"/>
      <c r="L28" s="62"/>
      <c r="M28" s="62"/>
      <c r="N28" s="62"/>
    </row>
    <row r="29" spans="2:14" x14ac:dyDescent="0.25">
      <c r="B29" s="2">
        <f>MAX($B$10:B28)+1</f>
        <v>19</v>
      </c>
      <c r="C29" s="57" t="s">
        <v>423</v>
      </c>
      <c r="G29" s="28">
        <f>SUM(G10:G27)</f>
        <v>610973.66666666674</v>
      </c>
      <c r="I29" s="28">
        <f>SUM(I10:I27)</f>
        <v>370491.47499999998</v>
      </c>
      <c r="J29" s="28">
        <f>SUM(J10:J27)</f>
        <v>337628.88116750005</v>
      </c>
      <c r="K29" s="28">
        <f>SUM(K10:K27)</f>
        <v>708120.35616749979</v>
      </c>
      <c r="M29" s="28">
        <f>SUM(M10:M27)</f>
        <v>309345.07522607641</v>
      </c>
      <c r="N29" s="28">
        <f>SUM(N10:N27)</f>
        <v>398775.28094142361</v>
      </c>
    </row>
    <row r="30" spans="2:14" ht="3.75" customHeight="1" x14ac:dyDescent="0.25"/>
    <row r="31" spans="2:14" x14ac:dyDescent="0.25">
      <c r="M31" s="117" t="s">
        <v>983</v>
      </c>
      <c r="N31" s="117" t="s">
        <v>990</v>
      </c>
    </row>
    <row r="32" spans="2:14" x14ac:dyDescent="0.25">
      <c r="L32" t="s">
        <v>552</v>
      </c>
      <c r="M32" s="28">
        <f>M29*I29/K29</f>
        <v>161850.61226708337</v>
      </c>
      <c r="N32" s="28">
        <f>N29*I29/K29</f>
        <v>208640.86273291669</v>
      </c>
    </row>
    <row r="33" spans="12:14" x14ac:dyDescent="0.25">
      <c r="L33" t="s">
        <v>989</v>
      </c>
      <c r="M33" s="15">
        <f>M29-M32</f>
        <v>147494.46295899304</v>
      </c>
      <c r="N33" s="15">
        <f>N29-N32</f>
        <v>190134.41820850692</v>
      </c>
    </row>
    <row r="34" spans="12:14" x14ac:dyDescent="0.25">
      <c r="L34" t="s">
        <v>423</v>
      </c>
      <c r="M34" s="118">
        <f>SUM(M32:M33)</f>
        <v>309345.07522607641</v>
      </c>
      <c r="N34" s="118">
        <f>SUM(N32:N33)</f>
        <v>398775.28094142361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AD31-BAFC-4581-B674-C25D4125DF45}">
  <sheetPr>
    <tabColor rgb="FF00B050"/>
  </sheetPr>
  <dimension ref="A1:K57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5" width="39.28515625" customWidth="1"/>
    <col min="6" max="8" width="17.85546875" customWidth="1"/>
    <col min="9" max="10" width="17.85546875" hidden="1" customWidth="1"/>
    <col min="11" max="11" width="17.85546875" customWidth="1"/>
  </cols>
  <sheetData>
    <row r="1" spans="1:11" ht="7.5" customHeight="1" x14ac:dyDescent="0.25">
      <c r="A1" s="51" t="str" cm="1">
        <f t="array" aca="1" ref="A1" ca="1">MID(CELL("filename",A1),FIND("]",CELL("filename",A1))+1,255)</f>
        <v>WP PF7</v>
      </c>
    </row>
    <row r="2" spans="1:11" x14ac:dyDescent="0.25">
      <c r="B2" s="24" t="s">
        <v>451</v>
      </c>
      <c r="C2" s="46"/>
    </row>
    <row r="3" spans="1:11" x14ac:dyDescent="0.25">
      <c r="B3" s="1" t="s">
        <v>535</v>
      </c>
      <c r="C3" s="46"/>
      <c r="J3" s="21"/>
    </row>
    <row r="4" spans="1:11" ht="7.5" customHeight="1" x14ac:dyDescent="0.25">
      <c r="B4" s="1"/>
      <c r="C4" s="46"/>
    </row>
    <row r="5" spans="1:11" s="6" customFormat="1" x14ac:dyDescent="0.25">
      <c r="C5" s="16"/>
      <c r="F5" s="16"/>
      <c r="G5" s="16"/>
      <c r="H5" s="16"/>
      <c r="K5" s="16"/>
    </row>
    <row r="6" spans="1:11" s="6" customFormat="1" x14ac:dyDescent="0.25">
      <c r="B6" s="16" t="s">
        <v>417</v>
      </c>
      <c r="C6" s="16"/>
      <c r="F6" s="16" t="s">
        <v>340</v>
      </c>
      <c r="G6" s="16" t="s">
        <v>538</v>
      </c>
      <c r="H6" s="16" t="s">
        <v>539</v>
      </c>
      <c r="K6" s="16" t="s">
        <v>423</v>
      </c>
    </row>
    <row r="7" spans="1:11" s="6" customFormat="1" x14ac:dyDescent="0.25">
      <c r="B7" s="17" t="s">
        <v>418</v>
      </c>
      <c r="C7" s="17" t="s">
        <v>0</v>
      </c>
      <c r="D7" s="18" t="s">
        <v>482</v>
      </c>
      <c r="E7" s="17" t="s">
        <v>429</v>
      </c>
      <c r="F7" s="17" t="s">
        <v>39</v>
      </c>
      <c r="G7" s="17" t="s">
        <v>39</v>
      </c>
      <c r="H7" s="17" t="s">
        <v>39</v>
      </c>
      <c r="K7" s="17" t="s">
        <v>450</v>
      </c>
    </row>
    <row r="8" spans="1:11" x14ac:dyDescent="0.25">
      <c r="B8" s="2"/>
      <c r="C8" s="19" t="s">
        <v>419</v>
      </c>
      <c r="D8" s="19" t="s">
        <v>420</v>
      </c>
      <c r="E8" s="19" t="s">
        <v>421</v>
      </c>
      <c r="F8" s="19" t="s">
        <v>422</v>
      </c>
      <c r="G8" s="19" t="s">
        <v>430</v>
      </c>
      <c r="H8" s="19" t="s">
        <v>431</v>
      </c>
      <c r="K8" s="20" t="s">
        <v>434</v>
      </c>
    </row>
    <row r="9" spans="1:11" ht="3.75" customHeight="1" x14ac:dyDescent="0.25">
      <c r="B9" s="2"/>
      <c r="C9" s="19"/>
      <c r="D9" s="19"/>
      <c r="E9" s="19"/>
      <c r="F9" s="19"/>
      <c r="G9" s="19"/>
      <c r="H9" s="19"/>
      <c r="K9" s="20"/>
    </row>
    <row r="10" spans="1:11" x14ac:dyDescent="0.25">
      <c r="B10" s="2"/>
      <c r="C10" s="19"/>
      <c r="D10" s="49" t="s">
        <v>536</v>
      </c>
      <c r="E10" s="19"/>
      <c r="F10" s="19"/>
      <c r="G10" s="19"/>
      <c r="H10" s="19"/>
      <c r="K10" s="20"/>
    </row>
    <row r="11" spans="1:11" x14ac:dyDescent="0.25">
      <c r="B11" s="78">
        <f>MAX($B$8:B9)+1</f>
        <v>1</v>
      </c>
      <c r="C11" s="78" t="s">
        <v>45</v>
      </c>
      <c r="D11" s="23" t="s">
        <v>85</v>
      </c>
      <c r="E11" s="23" t="s">
        <v>391</v>
      </c>
      <c r="F11" s="22">
        <v>125652.87</v>
      </c>
      <c r="G11" s="22">
        <v>811259.13</v>
      </c>
      <c r="H11" s="22">
        <f t="shared" ref="H11:H35" si="0">SUM(F11:G11)</f>
        <v>936912</v>
      </c>
      <c r="K11" s="22">
        <f t="shared" ref="K11:K35" si="1">SUM(H11:H11)</f>
        <v>936912</v>
      </c>
    </row>
    <row r="12" spans="1:11" x14ac:dyDescent="0.25">
      <c r="B12" s="78">
        <f>MAX($B$8:B11)+1</f>
        <v>2</v>
      </c>
      <c r="C12" s="78" t="s">
        <v>62</v>
      </c>
      <c r="D12" s="23" t="s">
        <v>102</v>
      </c>
      <c r="E12" s="23" t="s">
        <v>391</v>
      </c>
      <c r="F12" s="22">
        <v>130512.62</v>
      </c>
      <c r="G12" s="22">
        <v>-208033.46</v>
      </c>
      <c r="H12" s="22">
        <f t="shared" si="0"/>
        <v>-77520.84</v>
      </c>
      <c r="K12" s="22">
        <f t="shared" si="1"/>
        <v>-77520.84</v>
      </c>
    </row>
    <row r="13" spans="1:11" x14ac:dyDescent="0.25">
      <c r="B13" s="78">
        <f>MAX($B$8:B12)+1</f>
        <v>3</v>
      </c>
      <c r="C13" s="78" t="s">
        <v>63</v>
      </c>
      <c r="D13" s="23" t="s">
        <v>103</v>
      </c>
      <c r="E13" s="23" t="s">
        <v>396</v>
      </c>
      <c r="F13" s="22">
        <v>0</v>
      </c>
      <c r="G13" s="22">
        <v>244408.5</v>
      </c>
      <c r="H13" s="22">
        <f t="shared" si="0"/>
        <v>244408.5</v>
      </c>
      <c r="K13" s="22">
        <f t="shared" si="1"/>
        <v>244408.5</v>
      </c>
    </row>
    <row r="14" spans="1:11" x14ac:dyDescent="0.25">
      <c r="B14" s="78">
        <f>MAX($B$8:B13)+1</f>
        <v>4</v>
      </c>
      <c r="C14" s="78" t="s">
        <v>64</v>
      </c>
      <c r="D14" s="23" t="s">
        <v>104</v>
      </c>
      <c r="E14" s="23" t="s">
        <v>396</v>
      </c>
      <c r="F14" s="22">
        <v>0</v>
      </c>
      <c r="G14" s="22">
        <v>1547000.04</v>
      </c>
      <c r="H14" s="22">
        <f t="shared" si="0"/>
        <v>1547000.04</v>
      </c>
      <c r="K14" s="22">
        <f t="shared" si="1"/>
        <v>1547000.04</v>
      </c>
    </row>
    <row r="15" spans="1:11" x14ac:dyDescent="0.25">
      <c r="B15" s="78">
        <f>MAX($B$8:B14)+1</f>
        <v>5</v>
      </c>
      <c r="C15" s="78" t="s">
        <v>65</v>
      </c>
      <c r="D15" s="23" t="s">
        <v>105</v>
      </c>
      <c r="E15" s="23" t="s">
        <v>396</v>
      </c>
      <c r="F15" s="22">
        <v>0</v>
      </c>
      <c r="G15" s="22">
        <v>1204643.67</v>
      </c>
      <c r="H15" s="22">
        <f t="shared" si="0"/>
        <v>1204643.67</v>
      </c>
      <c r="K15" s="22">
        <f t="shared" si="1"/>
        <v>1204643.67</v>
      </c>
    </row>
    <row r="16" spans="1:11" x14ac:dyDescent="0.25">
      <c r="B16" s="78">
        <f>MAX($B$8:B15)+1</f>
        <v>6</v>
      </c>
      <c r="C16" s="78" t="s">
        <v>66</v>
      </c>
      <c r="D16" s="23" t="s">
        <v>106</v>
      </c>
      <c r="E16" s="23" t="s">
        <v>396</v>
      </c>
      <c r="F16" s="22">
        <v>0</v>
      </c>
      <c r="G16" s="22">
        <v>605000.04</v>
      </c>
      <c r="H16" s="22">
        <f t="shared" si="0"/>
        <v>605000.04</v>
      </c>
      <c r="K16" s="22">
        <f t="shared" si="1"/>
        <v>605000.04</v>
      </c>
    </row>
    <row r="17" spans="2:11" x14ac:dyDescent="0.25">
      <c r="B17" s="78">
        <f>MAX($B$8:B16)+1</f>
        <v>7</v>
      </c>
      <c r="C17" s="78" t="s">
        <v>67</v>
      </c>
      <c r="D17" s="23" t="s">
        <v>107</v>
      </c>
      <c r="E17" s="23" t="s">
        <v>396</v>
      </c>
      <c r="F17" s="22">
        <v>0</v>
      </c>
      <c r="G17" s="22">
        <v>24251.46</v>
      </c>
      <c r="H17" s="22">
        <f t="shared" si="0"/>
        <v>24251.46</v>
      </c>
      <c r="K17" s="22">
        <f t="shared" si="1"/>
        <v>24251.46</v>
      </c>
    </row>
    <row r="18" spans="2:11" x14ac:dyDescent="0.25">
      <c r="B18" s="78">
        <f>MAX($B$8:B17)+1</f>
        <v>8</v>
      </c>
      <c r="C18" s="78" t="s">
        <v>68</v>
      </c>
      <c r="D18" s="23" t="s">
        <v>108</v>
      </c>
      <c r="E18" s="23" t="s">
        <v>396</v>
      </c>
      <c r="F18" s="22">
        <v>689810.07</v>
      </c>
      <c r="G18" s="22">
        <v>-1099536.42</v>
      </c>
      <c r="H18" s="22">
        <f t="shared" si="0"/>
        <v>-409726.35</v>
      </c>
      <c r="K18" s="22">
        <f t="shared" si="1"/>
        <v>-409726.35</v>
      </c>
    </row>
    <row r="19" spans="2:11" x14ac:dyDescent="0.25">
      <c r="B19" s="78">
        <f>MAX($B$8:B18)+1</f>
        <v>9</v>
      </c>
      <c r="C19" s="78" t="s">
        <v>69</v>
      </c>
      <c r="D19" s="23" t="s">
        <v>109</v>
      </c>
      <c r="E19" s="23" t="s">
        <v>391</v>
      </c>
      <c r="F19" s="22">
        <v>0</v>
      </c>
      <c r="G19" s="22">
        <v>155499.24</v>
      </c>
      <c r="H19" s="22">
        <f t="shared" si="0"/>
        <v>155499.24</v>
      </c>
      <c r="K19" s="22">
        <f t="shared" si="1"/>
        <v>155499.24</v>
      </c>
    </row>
    <row r="20" spans="2:11" x14ac:dyDescent="0.25">
      <c r="B20" s="78">
        <f>MAX($B$8:B19)+1</f>
        <v>10</v>
      </c>
      <c r="C20" s="78" t="s">
        <v>70</v>
      </c>
      <c r="D20" s="23" t="s">
        <v>110</v>
      </c>
      <c r="E20" s="23" t="s">
        <v>391</v>
      </c>
      <c r="F20" s="22">
        <v>0</v>
      </c>
      <c r="G20" s="22">
        <v>530411.42000000004</v>
      </c>
      <c r="H20" s="22">
        <f t="shared" si="0"/>
        <v>530411.42000000004</v>
      </c>
      <c r="K20" s="22">
        <f t="shared" si="1"/>
        <v>530411.42000000004</v>
      </c>
    </row>
    <row r="21" spans="2:11" x14ac:dyDescent="0.25">
      <c r="B21" s="78">
        <f>MAX($B$8:B20)+1</f>
        <v>11</v>
      </c>
      <c r="C21" s="78" t="s">
        <v>77</v>
      </c>
      <c r="D21" s="23" t="s">
        <v>117</v>
      </c>
      <c r="E21" s="23" t="s">
        <v>391</v>
      </c>
      <c r="F21" s="22">
        <v>0</v>
      </c>
      <c r="G21" s="22">
        <v>22122</v>
      </c>
      <c r="H21" s="22">
        <f t="shared" si="0"/>
        <v>22122</v>
      </c>
      <c r="K21" s="22">
        <f t="shared" si="1"/>
        <v>22122</v>
      </c>
    </row>
    <row r="22" spans="2:11" x14ac:dyDescent="0.25">
      <c r="B22" s="78">
        <f>MAX($B$8:B21)+1</f>
        <v>12</v>
      </c>
      <c r="C22" s="78" t="s">
        <v>78</v>
      </c>
      <c r="D22" s="23" t="s">
        <v>118</v>
      </c>
      <c r="E22" s="23" t="s">
        <v>396</v>
      </c>
      <c r="F22" s="22">
        <v>0</v>
      </c>
      <c r="G22" s="22">
        <v>3085.91</v>
      </c>
      <c r="H22" s="22">
        <f t="shared" si="0"/>
        <v>3085.91</v>
      </c>
      <c r="K22" s="22">
        <f t="shared" si="1"/>
        <v>3085.91</v>
      </c>
    </row>
    <row r="23" spans="2:11" x14ac:dyDescent="0.25">
      <c r="B23" s="78">
        <f>MAX($B$8:B22)+1</f>
        <v>13</v>
      </c>
      <c r="C23" s="78" t="s">
        <v>126</v>
      </c>
      <c r="D23" s="23" t="s">
        <v>179</v>
      </c>
      <c r="E23" s="23" t="s">
        <v>391</v>
      </c>
      <c r="F23" s="22">
        <v>127630.45</v>
      </c>
      <c r="G23" s="22">
        <v>543094.22</v>
      </c>
      <c r="H23" s="22">
        <f t="shared" si="0"/>
        <v>670724.66999999993</v>
      </c>
      <c r="K23" s="22">
        <f t="shared" si="1"/>
        <v>670724.66999999993</v>
      </c>
    </row>
    <row r="24" spans="2:11" x14ac:dyDescent="0.25">
      <c r="B24" s="78">
        <f>MAX($B$8:B23)+1</f>
        <v>14</v>
      </c>
      <c r="C24" s="78" t="s">
        <v>131</v>
      </c>
      <c r="D24" s="23" t="s">
        <v>184</v>
      </c>
      <c r="E24" s="23" t="s">
        <v>391</v>
      </c>
      <c r="F24" s="22">
        <v>0</v>
      </c>
      <c r="G24" s="22">
        <v>250.56</v>
      </c>
      <c r="H24" s="22">
        <f t="shared" si="0"/>
        <v>250.56</v>
      </c>
      <c r="K24" s="22">
        <f t="shared" si="1"/>
        <v>250.56</v>
      </c>
    </row>
    <row r="25" spans="2:11" x14ac:dyDescent="0.25">
      <c r="B25" s="78">
        <f>MAX($B$8:B24)+1</f>
        <v>15</v>
      </c>
      <c r="C25" s="78" t="s">
        <v>133</v>
      </c>
      <c r="D25" s="23" t="s">
        <v>186</v>
      </c>
      <c r="E25" s="23" t="s">
        <v>391</v>
      </c>
      <c r="F25" s="22">
        <v>304.98</v>
      </c>
      <c r="G25" s="22">
        <v>304.98</v>
      </c>
      <c r="H25" s="22">
        <f t="shared" si="0"/>
        <v>609.96</v>
      </c>
      <c r="K25" s="22">
        <f t="shared" si="1"/>
        <v>609.96</v>
      </c>
    </row>
    <row r="26" spans="2:11" x14ac:dyDescent="0.25">
      <c r="B26" s="78">
        <f>MAX($B$8:B25)+1</f>
        <v>16</v>
      </c>
      <c r="C26" s="78" t="s">
        <v>138</v>
      </c>
      <c r="D26" s="23" t="s">
        <v>191</v>
      </c>
      <c r="E26" s="23" t="s">
        <v>391</v>
      </c>
      <c r="F26" s="22">
        <v>0</v>
      </c>
      <c r="G26" s="22">
        <v>1</v>
      </c>
      <c r="H26" s="22">
        <f t="shared" si="0"/>
        <v>1</v>
      </c>
      <c r="K26" s="22">
        <f t="shared" si="1"/>
        <v>1</v>
      </c>
    </row>
    <row r="27" spans="2:11" x14ac:dyDescent="0.25">
      <c r="B27" s="78">
        <f>MAX($B$8:B26)+1</f>
        <v>17</v>
      </c>
      <c r="C27" s="78" t="s">
        <v>153</v>
      </c>
      <c r="D27" s="23" t="s">
        <v>204</v>
      </c>
      <c r="E27" s="23" t="s">
        <v>391</v>
      </c>
      <c r="F27" s="22">
        <v>118015.66</v>
      </c>
      <c r="G27" s="22">
        <v>282257.42</v>
      </c>
      <c r="H27" s="22">
        <f t="shared" si="0"/>
        <v>400273.07999999996</v>
      </c>
      <c r="K27" s="22">
        <f t="shared" si="1"/>
        <v>400273.07999999996</v>
      </c>
    </row>
    <row r="28" spans="2:11" x14ac:dyDescent="0.25">
      <c r="B28" s="78">
        <f>MAX($B$8:B27)+1</f>
        <v>18</v>
      </c>
      <c r="C28" s="78" t="s">
        <v>157</v>
      </c>
      <c r="D28" s="23" t="s">
        <v>207</v>
      </c>
      <c r="E28" s="23" t="s">
        <v>391</v>
      </c>
      <c r="F28" s="22">
        <v>41908.050000000003</v>
      </c>
      <c r="G28" s="22">
        <v>93693.72</v>
      </c>
      <c r="H28" s="22">
        <f t="shared" si="0"/>
        <v>135601.77000000002</v>
      </c>
      <c r="K28" s="22">
        <f t="shared" si="1"/>
        <v>135601.77000000002</v>
      </c>
    </row>
    <row r="29" spans="2:11" x14ac:dyDescent="0.25">
      <c r="B29" s="78">
        <f>MAX($B$8:B28)+1</f>
        <v>19</v>
      </c>
      <c r="C29" s="78" t="s">
        <v>161</v>
      </c>
      <c r="D29" s="23" t="s">
        <v>210</v>
      </c>
      <c r="E29" s="23" t="s">
        <v>391</v>
      </c>
      <c r="F29" s="22">
        <v>220081.7</v>
      </c>
      <c r="G29" s="22">
        <v>636007.42000000004</v>
      </c>
      <c r="H29" s="22">
        <f t="shared" si="0"/>
        <v>856089.12000000011</v>
      </c>
      <c r="K29" s="22">
        <f t="shared" si="1"/>
        <v>856089.12000000011</v>
      </c>
    </row>
    <row r="30" spans="2:11" x14ac:dyDescent="0.25">
      <c r="B30" s="78">
        <f>MAX($B$8:B29)+1</f>
        <v>20</v>
      </c>
      <c r="C30" s="78" t="s">
        <v>226</v>
      </c>
      <c r="D30" s="23" t="s">
        <v>238</v>
      </c>
      <c r="E30" s="23" t="s">
        <v>391</v>
      </c>
      <c r="F30" s="22">
        <v>1090.9000000000001</v>
      </c>
      <c r="G30" s="22">
        <v>1571.37</v>
      </c>
      <c r="H30" s="22">
        <f t="shared" si="0"/>
        <v>2662.27</v>
      </c>
      <c r="K30" s="22">
        <f t="shared" si="1"/>
        <v>2662.27</v>
      </c>
    </row>
    <row r="31" spans="2:11" x14ac:dyDescent="0.25">
      <c r="B31" s="78">
        <f>MAX($B$8:B30)+1</f>
        <v>21</v>
      </c>
      <c r="C31" s="78" t="s">
        <v>231</v>
      </c>
      <c r="D31" s="23" t="s">
        <v>242</v>
      </c>
      <c r="E31" s="23" t="s">
        <v>391</v>
      </c>
      <c r="F31" s="22">
        <v>306.31</v>
      </c>
      <c r="G31" s="22">
        <v>408.79</v>
      </c>
      <c r="H31" s="22">
        <f t="shared" si="0"/>
        <v>715.1</v>
      </c>
      <c r="K31" s="22">
        <f t="shared" si="1"/>
        <v>715.1</v>
      </c>
    </row>
    <row r="32" spans="2:11" x14ac:dyDescent="0.25">
      <c r="B32" s="78">
        <f>MAX($B$8:B31)+1</f>
        <v>22</v>
      </c>
      <c r="C32" s="78" t="s">
        <v>267</v>
      </c>
      <c r="D32" s="23" t="s">
        <v>259</v>
      </c>
      <c r="E32" s="23" t="s">
        <v>408</v>
      </c>
      <c r="F32" s="22">
        <v>0</v>
      </c>
      <c r="G32" s="22">
        <v>375027.43</v>
      </c>
      <c r="H32" s="22">
        <f t="shared" si="0"/>
        <v>375027.43</v>
      </c>
      <c r="K32" s="22">
        <f t="shared" si="1"/>
        <v>375027.43</v>
      </c>
    </row>
    <row r="33" spans="2:11" x14ac:dyDescent="0.25">
      <c r="B33" s="78">
        <f>MAX($B$8:B32)+1</f>
        <v>23</v>
      </c>
      <c r="C33" s="78" t="s">
        <v>268</v>
      </c>
      <c r="D33" s="23" t="s">
        <v>260</v>
      </c>
      <c r="E33" s="23" t="s">
        <v>408</v>
      </c>
      <c r="F33" s="22">
        <v>0</v>
      </c>
      <c r="G33" s="22">
        <v>3563.71</v>
      </c>
      <c r="H33" s="22">
        <f t="shared" si="0"/>
        <v>3563.71</v>
      </c>
      <c r="K33" s="22">
        <f t="shared" si="1"/>
        <v>3563.71</v>
      </c>
    </row>
    <row r="34" spans="2:11" x14ac:dyDescent="0.25">
      <c r="B34" s="78">
        <f>MAX($B$8:B33)+1</f>
        <v>24</v>
      </c>
      <c r="C34" s="78" t="s">
        <v>269</v>
      </c>
      <c r="D34" s="23" t="s">
        <v>261</v>
      </c>
      <c r="E34" s="23" t="s">
        <v>408</v>
      </c>
      <c r="F34" s="22">
        <v>0</v>
      </c>
      <c r="G34" s="22">
        <v>17895.14</v>
      </c>
      <c r="H34" s="22">
        <f t="shared" si="0"/>
        <v>17895.14</v>
      </c>
      <c r="K34" s="22">
        <f t="shared" si="1"/>
        <v>17895.14</v>
      </c>
    </row>
    <row r="35" spans="2:11" x14ac:dyDescent="0.25">
      <c r="B35" s="78">
        <f>MAX($B$8:B34)+1</f>
        <v>25</v>
      </c>
      <c r="C35" s="78" t="s">
        <v>273</v>
      </c>
      <c r="D35" s="23" t="s">
        <v>265</v>
      </c>
      <c r="E35" s="23" t="s">
        <v>408</v>
      </c>
      <c r="F35" s="22">
        <v>75441.990000000005</v>
      </c>
      <c r="G35" s="22">
        <v>-120252.42</v>
      </c>
      <c r="H35" s="22">
        <f t="shared" si="0"/>
        <v>-44810.429999999993</v>
      </c>
      <c r="K35" s="22">
        <f t="shared" si="1"/>
        <v>-44810.429999999993</v>
      </c>
    </row>
    <row r="36" spans="2:11" ht="3.75" customHeight="1" x14ac:dyDescent="0.25">
      <c r="B36" s="78"/>
      <c r="C36" s="78"/>
      <c r="D36" s="23"/>
      <c r="E36" s="23"/>
      <c r="F36" s="23"/>
      <c r="G36" s="23"/>
      <c r="H36" s="23"/>
      <c r="K36" s="23"/>
    </row>
    <row r="37" spans="2:11" s="6" customFormat="1" x14ac:dyDescent="0.25">
      <c r="B37" s="88"/>
      <c r="C37" s="88"/>
      <c r="D37" s="156" t="s">
        <v>540</v>
      </c>
      <c r="E37" s="156"/>
      <c r="F37" s="176">
        <f>SUM(F11:F35)</f>
        <v>1530755.5999999999</v>
      </c>
      <c r="G37" s="176">
        <f>SUM(G11:G35)</f>
        <v>5673934.8699999992</v>
      </c>
      <c r="H37" s="176">
        <f>SUM(H11:H35)</f>
        <v>7204690.4699999979</v>
      </c>
      <c r="K37" s="176">
        <f>SUM(K11:K35)</f>
        <v>7204690.4699999979</v>
      </c>
    </row>
    <row r="38" spans="2:11" ht="3.75" customHeight="1" x14ac:dyDescent="0.25">
      <c r="B38" s="2"/>
    </row>
    <row r="39" spans="2:11" x14ac:dyDescent="0.25">
      <c r="B39" s="78">
        <f>MAX($B$8:B36)+1</f>
        <v>26</v>
      </c>
      <c r="C39" s="78"/>
      <c r="D39" s="146" t="s">
        <v>537</v>
      </c>
      <c r="E39" s="146"/>
      <c r="F39" s="23"/>
      <c r="G39" s="23"/>
      <c r="H39" s="23"/>
      <c r="I39" s="23"/>
      <c r="J39" s="23"/>
      <c r="K39" s="23"/>
    </row>
    <row r="40" spans="2:11" x14ac:dyDescent="0.25">
      <c r="B40" s="78">
        <f>MAX($B$8:B39)+1</f>
        <v>27</v>
      </c>
      <c r="C40" s="78" t="s">
        <v>283</v>
      </c>
      <c r="D40" s="23" t="s">
        <v>311</v>
      </c>
      <c r="E40" s="23" t="s">
        <v>412</v>
      </c>
      <c r="F40" s="22">
        <v>0</v>
      </c>
      <c r="G40" s="22">
        <v>183000</v>
      </c>
      <c r="H40" s="22">
        <f t="shared" ref="H40:H49" si="2">SUM(F40:G40)</f>
        <v>183000</v>
      </c>
      <c r="I40" s="23"/>
      <c r="J40" s="23"/>
      <c r="K40" s="22">
        <f t="shared" ref="K40:K49" si="3">SUM(H40:H40)</f>
        <v>183000</v>
      </c>
    </row>
    <row r="41" spans="2:11" x14ac:dyDescent="0.25">
      <c r="B41" s="78">
        <f>MAX($B$8:B40)+1</f>
        <v>28</v>
      </c>
      <c r="C41" s="78" t="s">
        <v>284</v>
      </c>
      <c r="D41" s="23" t="s">
        <v>312</v>
      </c>
      <c r="E41" s="23" t="s">
        <v>412</v>
      </c>
      <c r="F41" s="22">
        <v>0</v>
      </c>
      <c r="G41" s="22">
        <v>-92000.04</v>
      </c>
      <c r="H41" s="22">
        <f t="shared" si="2"/>
        <v>-92000.04</v>
      </c>
      <c r="I41" s="23"/>
      <c r="J41" s="23"/>
      <c r="K41" s="22">
        <f t="shared" si="3"/>
        <v>-92000.04</v>
      </c>
    </row>
    <row r="42" spans="2:11" x14ac:dyDescent="0.25">
      <c r="B42" s="78">
        <f>MAX($B$8:B41)+1</f>
        <v>29</v>
      </c>
      <c r="C42" s="78" t="s">
        <v>285</v>
      </c>
      <c r="D42" s="23" t="s">
        <v>313</v>
      </c>
      <c r="E42" s="23" t="s">
        <v>412</v>
      </c>
      <c r="F42" s="22">
        <v>22152.49</v>
      </c>
      <c r="G42" s="22">
        <v>-27353.47</v>
      </c>
      <c r="H42" s="22">
        <f t="shared" si="2"/>
        <v>-5200.9799999999996</v>
      </c>
      <c r="I42" s="23"/>
      <c r="J42" s="23"/>
      <c r="K42" s="22">
        <f t="shared" si="3"/>
        <v>-5200.9799999999996</v>
      </c>
    </row>
    <row r="43" spans="2:11" x14ac:dyDescent="0.25">
      <c r="B43" s="78">
        <f>MAX($B$8:B42)+1</f>
        <v>30</v>
      </c>
      <c r="C43" s="78" t="s">
        <v>286</v>
      </c>
      <c r="D43" s="23" t="s">
        <v>314</v>
      </c>
      <c r="E43" s="23" t="s">
        <v>412</v>
      </c>
      <c r="F43" s="22">
        <v>22.54</v>
      </c>
      <c r="G43" s="22">
        <v>9557.16</v>
      </c>
      <c r="H43" s="22">
        <f t="shared" si="2"/>
        <v>9579.7000000000007</v>
      </c>
      <c r="I43" s="23"/>
      <c r="J43" s="23"/>
      <c r="K43" s="22">
        <f t="shared" si="3"/>
        <v>9579.7000000000007</v>
      </c>
    </row>
    <row r="44" spans="2:11" x14ac:dyDescent="0.25">
      <c r="B44" s="78">
        <f>MAX($B$8:B43)+1</f>
        <v>31</v>
      </c>
      <c r="C44" s="78" t="s">
        <v>287</v>
      </c>
      <c r="D44" s="23" t="s">
        <v>315</v>
      </c>
      <c r="E44" s="23" t="s">
        <v>412</v>
      </c>
      <c r="F44" s="22">
        <v>436.01</v>
      </c>
      <c r="G44" s="22">
        <v>7149.33</v>
      </c>
      <c r="H44" s="22">
        <f t="shared" si="2"/>
        <v>7585.34</v>
      </c>
      <c r="I44" s="23"/>
      <c r="J44" s="23"/>
      <c r="K44" s="22">
        <f t="shared" si="3"/>
        <v>7585.34</v>
      </c>
    </row>
    <row r="45" spans="2:11" x14ac:dyDescent="0.25">
      <c r="B45" s="78">
        <f>MAX($B$8:B44)+1</f>
        <v>32</v>
      </c>
      <c r="C45" s="78" t="s">
        <v>289</v>
      </c>
      <c r="D45" s="23" t="s">
        <v>317</v>
      </c>
      <c r="E45" s="23" t="s">
        <v>412</v>
      </c>
      <c r="F45" s="22">
        <v>0</v>
      </c>
      <c r="G45" s="22">
        <v>91203.65</v>
      </c>
      <c r="H45" s="22">
        <f t="shared" si="2"/>
        <v>91203.65</v>
      </c>
      <c r="I45" s="23"/>
      <c r="J45" s="23"/>
      <c r="K45" s="22">
        <f t="shared" si="3"/>
        <v>91203.65</v>
      </c>
    </row>
    <row r="46" spans="2:11" x14ac:dyDescent="0.25">
      <c r="B46" s="78">
        <f>MAX($B$8:B45)+1</f>
        <v>33</v>
      </c>
      <c r="C46" s="78" t="s">
        <v>292</v>
      </c>
      <c r="D46" s="23" t="s">
        <v>320</v>
      </c>
      <c r="E46" s="23" t="s">
        <v>432</v>
      </c>
      <c r="F46" s="22">
        <v>0</v>
      </c>
      <c r="G46" s="22">
        <v>0</v>
      </c>
      <c r="H46" s="22">
        <f t="shared" si="2"/>
        <v>0</v>
      </c>
      <c r="I46" s="23"/>
      <c r="J46" s="23"/>
      <c r="K46" s="22">
        <f t="shared" si="3"/>
        <v>0</v>
      </c>
    </row>
    <row r="47" spans="2:11" x14ac:dyDescent="0.25">
      <c r="B47" s="78">
        <f>MAX($B$8:B46)+1</f>
        <v>34</v>
      </c>
      <c r="C47" s="78" t="s">
        <v>294</v>
      </c>
      <c r="D47" s="23" t="s">
        <v>108</v>
      </c>
      <c r="E47" s="23" t="s">
        <v>412</v>
      </c>
      <c r="F47" s="22">
        <v>4085.9</v>
      </c>
      <c r="G47" s="22">
        <v>66989.39</v>
      </c>
      <c r="H47" s="22">
        <f t="shared" si="2"/>
        <v>71075.289999999994</v>
      </c>
      <c r="I47" s="23"/>
      <c r="J47" s="23"/>
      <c r="K47" s="22">
        <f t="shared" si="3"/>
        <v>71075.289999999994</v>
      </c>
    </row>
    <row r="48" spans="2:11" x14ac:dyDescent="0.25">
      <c r="B48" s="78">
        <f>MAX($B$8:B47)+1</f>
        <v>35</v>
      </c>
      <c r="C48" s="78" t="s">
        <v>295</v>
      </c>
      <c r="D48" s="23" t="s">
        <v>102</v>
      </c>
      <c r="E48" s="23" t="s">
        <v>412</v>
      </c>
      <c r="F48" s="22">
        <v>754.29</v>
      </c>
      <c r="G48" s="22">
        <v>12368.13</v>
      </c>
      <c r="H48" s="22">
        <f t="shared" si="2"/>
        <v>13122.419999999998</v>
      </c>
      <c r="I48" s="23"/>
      <c r="J48" s="23"/>
      <c r="K48" s="22">
        <f t="shared" si="3"/>
        <v>13122.419999999998</v>
      </c>
    </row>
    <row r="49" spans="2:11" x14ac:dyDescent="0.25">
      <c r="B49" s="78">
        <f>MAX($B$8:B48)+1</f>
        <v>36</v>
      </c>
      <c r="C49" s="78" t="s">
        <v>299</v>
      </c>
      <c r="D49" s="23" t="s">
        <v>325</v>
      </c>
      <c r="E49" s="23" t="s">
        <v>363</v>
      </c>
      <c r="F49" s="22">
        <v>0</v>
      </c>
      <c r="G49" s="22">
        <v>21004.14</v>
      </c>
      <c r="H49" s="22">
        <f t="shared" si="2"/>
        <v>21004.14</v>
      </c>
      <c r="I49" s="23"/>
      <c r="J49" s="23"/>
      <c r="K49" s="22">
        <f t="shared" si="3"/>
        <v>21004.14</v>
      </c>
    </row>
    <row r="50" spans="2:11" ht="3.75" customHeight="1" x14ac:dyDescent="0.25">
      <c r="B50" s="23"/>
      <c r="C50" s="78"/>
      <c r="D50" s="23"/>
      <c r="E50" s="23"/>
      <c r="F50" s="23"/>
      <c r="G50" s="23"/>
      <c r="H50" s="23"/>
      <c r="I50" s="23"/>
      <c r="J50" s="23"/>
      <c r="K50" s="23"/>
    </row>
    <row r="51" spans="2:11" s="6" customFormat="1" x14ac:dyDescent="0.25">
      <c r="B51" s="88"/>
      <c r="C51" s="88"/>
      <c r="D51" s="156" t="s">
        <v>541</v>
      </c>
      <c r="E51" s="156"/>
      <c r="F51" s="176">
        <f>SUM(F40:F49)</f>
        <v>27451.230000000003</v>
      </c>
      <c r="G51" s="176">
        <f>SUM(G40:G49)</f>
        <v>271918.29000000004</v>
      </c>
      <c r="H51" s="176">
        <f>SUM(H40:H49)</f>
        <v>299369.51999999996</v>
      </c>
      <c r="I51" s="156"/>
      <c r="J51" s="156"/>
      <c r="K51" s="176">
        <f>SUM(K40:K49)</f>
        <v>299369.51999999996</v>
      </c>
    </row>
    <row r="52" spans="2:11" x14ac:dyDescent="0.25">
      <c r="B52" s="23"/>
      <c r="C52" s="78"/>
      <c r="D52" s="23"/>
      <c r="E52" s="23"/>
      <c r="F52" s="23"/>
      <c r="G52" s="23"/>
      <c r="H52" s="23"/>
      <c r="I52" s="23"/>
      <c r="J52" s="23"/>
      <c r="K52" s="23"/>
    </row>
    <row r="53" spans="2:11" x14ac:dyDescent="0.25">
      <c r="B53" s="23"/>
      <c r="C53" s="78"/>
      <c r="D53" s="23"/>
      <c r="E53" s="23"/>
      <c r="F53" s="177" t="s">
        <v>423</v>
      </c>
      <c r="G53" s="177" t="s">
        <v>340</v>
      </c>
      <c r="H53" s="177" t="s">
        <v>581</v>
      </c>
      <c r="I53" s="23"/>
      <c r="J53" s="23"/>
      <c r="K53" s="23"/>
    </row>
    <row r="54" spans="2:11" x14ac:dyDescent="0.25">
      <c r="B54" s="78">
        <f>MAX($B$8:B52)+1</f>
        <v>37</v>
      </c>
      <c r="C54" s="78"/>
      <c r="D54" s="23" t="s">
        <v>542</v>
      </c>
      <c r="E54" s="23"/>
      <c r="F54" s="22">
        <f ca="1">SUM('WWSCo IS Pro Forma'!$F$74:$J$74,'EP IS Pro Forma'!$F$74:$K$74)</f>
        <v>838255.70031223353</v>
      </c>
      <c r="G54" s="22">
        <f ca="1">F54-H54</f>
        <v>377095.45714285719</v>
      </c>
      <c r="H54" s="22">
        <f ca="1">SUM('WWSCo IS Pro Forma'!$F$74:$J$74)</f>
        <v>461160.24316937634</v>
      </c>
      <c r="I54" s="23"/>
      <c r="J54" s="23"/>
      <c r="K54" s="23"/>
    </row>
    <row r="55" spans="2:11" x14ac:dyDescent="0.25">
      <c r="B55" s="78">
        <f>MAX($B$8:B54)+1</f>
        <v>38</v>
      </c>
      <c r="C55" s="78"/>
      <c r="D55" s="23" t="s">
        <v>543</v>
      </c>
      <c r="E55" s="23"/>
      <c r="F55" s="178">
        <f>$K$51/SUM($K$37,$K$51)</f>
        <v>3.9894339917183962E-2</v>
      </c>
      <c r="G55" s="23"/>
      <c r="H55" s="23"/>
      <c r="I55" s="23"/>
      <c r="J55" s="23"/>
      <c r="K55" s="23"/>
    </row>
    <row r="56" spans="2:11" x14ac:dyDescent="0.25">
      <c r="B56" s="78"/>
      <c r="C56" s="78"/>
      <c r="D56" s="23"/>
      <c r="E56" s="23"/>
      <c r="F56" s="23"/>
      <c r="G56" s="23"/>
      <c r="H56" s="23"/>
      <c r="I56" s="23"/>
      <c r="J56" s="23"/>
      <c r="K56" s="23"/>
    </row>
    <row r="57" spans="2:11" x14ac:dyDescent="0.25">
      <c r="B57" s="78">
        <f>MAX($B$8:B56)+1</f>
        <v>39</v>
      </c>
      <c r="C57" s="78"/>
      <c r="D57" s="23" t="s">
        <v>580</v>
      </c>
      <c r="E57" s="23"/>
      <c r="F57" s="22">
        <f ca="1">-F54*F55</f>
        <v>-33441.657845773334</v>
      </c>
      <c r="G57" s="22">
        <f ca="1">G54*-$F55</f>
        <v>-15043.974348483021</v>
      </c>
      <c r="H57" s="22">
        <f ca="1">H54*-$F55</f>
        <v>-18397.683497290313</v>
      </c>
      <c r="I57" s="23"/>
      <c r="J57" s="23"/>
      <c r="K57" s="2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0314-6463-4570-B019-068AB0D2CF02}">
  <sheetPr>
    <tabColor rgb="FF00B050"/>
  </sheetPr>
  <dimension ref="A1:M14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10.7109375" style="2" customWidth="1"/>
    <col min="4" max="4" width="39.28515625" customWidth="1"/>
    <col min="5" max="12" width="17.85546875" customWidth="1"/>
    <col min="13" max="13" width="71.42578125" customWidth="1"/>
  </cols>
  <sheetData>
    <row r="1" spans="1:13" ht="7.5" customHeight="1" x14ac:dyDescent="0.25">
      <c r="A1" s="51" t="str" cm="1">
        <f t="array" aca="1" ref="A1" ca="1">MID(CELL("filename",A1),FIND("]",CELL("filename",A1))+1,255)</f>
        <v>WP PF8</v>
      </c>
    </row>
    <row r="2" spans="1:13" x14ac:dyDescent="0.25">
      <c r="B2" s="24" t="s">
        <v>451</v>
      </c>
      <c r="C2" s="46"/>
    </row>
    <row r="3" spans="1:13" x14ac:dyDescent="0.25">
      <c r="B3" s="1" t="s">
        <v>584</v>
      </c>
      <c r="C3" s="46"/>
      <c r="K3" s="21"/>
    </row>
    <row r="4" spans="1:13" ht="7.5" customHeight="1" x14ac:dyDescent="0.25">
      <c r="B4" s="1"/>
      <c r="C4" s="46"/>
    </row>
    <row r="5" spans="1:13" s="6" customFormat="1" x14ac:dyDescent="0.25">
      <c r="C5" s="16"/>
      <c r="E5" s="16"/>
      <c r="F5" s="16"/>
      <c r="G5" s="16"/>
      <c r="H5" s="47" t="s">
        <v>971</v>
      </c>
      <c r="I5" s="47" t="s">
        <v>972</v>
      </c>
      <c r="J5" s="47" t="s">
        <v>973</v>
      </c>
      <c r="K5" s="47" t="s">
        <v>974</v>
      </c>
      <c r="L5" s="16"/>
    </row>
    <row r="6" spans="1:13" s="6" customFormat="1" x14ac:dyDescent="0.25">
      <c r="B6" s="16" t="s">
        <v>417</v>
      </c>
      <c r="C6" s="16"/>
      <c r="E6" s="16" t="s">
        <v>340</v>
      </c>
      <c r="F6" s="16" t="s">
        <v>538</v>
      </c>
      <c r="G6" s="16" t="s">
        <v>539</v>
      </c>
      <c r="H6" s="47" t="s">
        <v>444</v>
      </c>
      <c r="I6" s="19" t="s">
        <v>444</v>
      </c>
      <c r="J6" s="19" t="s">
        <v>444</v>
      </c>
      <c r="K6" s="19" t="s">
        <v>444</v>
      </c>
      <c r="L6" s="16" t="s">
        <v>423</v>
      </c>
    </row>
    <row r="7" spans="1:13" s="6" customFormat="1" x14ac:dyDescent="0.25">
      <c r="B7" s="17" t="s">
        <v>418</v>
      </c>
      <c r="C7" s="17" t="s">
        <v>0</v>
      </c>
      <c r="D7" s="18" t="s">
        <v>482</v>
      </c>
      <c r="E7" s="17" t="s">
        <v>39</v>
      </c>
      <c r="F7" s="17" t="s">
        <v>39</v>
      </c>
      <c r="G7" s="17" t="s">
        <v>39</v>
      </c>
      <c r="H7" s="48" t="s">
        <v>538</v>
      </c>
      <c r="I7" s="48" t="s">
        <v>538</v>
      </c>
      <c r="J7" s="48" t="s">
        <v>340</v>
      </c>
      <c r="K7" s="48" t="s">
        <v>340</v>
      </c>
      <c r="L7" s="17" t="s">
        <v>450</v>
      </c>
      <c r="M7" s="18" t="s">
        <v>483</v>
      </c>
    </row>
    <row r="8" spans="1:13" x14ac:dyDescent="0.25">
      <c r="B8" s="2"/>
      <c r="C8" s="19" t="s">
        <v>419</v>
      </c>
      <c r="D8" s="19" t="s">
        <v>420</v>
      </c>
      <c r="E8" s="19" t="s">
        <v>421</v>
      </c>
      <c r="F8" s="19" t="s">
        <v>422</v>
      </c>
      <c r="G8" s="19" t="s">
        <v>430</v>
      </c>
      <c r="H8" s="19" t="s">
        <v>431</v>
      </c>
      <c r="I8" s="20" t="s">
        <v>434</v>
      </c>
      <c r="J8" s="20" t="s">
        <v>435</v>
      </c>
      <c r="K8" s="20" t="s">
        <v>436</v>
      </c>
      <c r="L8" s="20" t="s">
        <v>447</v>
      </c>
      <c r="M8" s="20" t="s">
        <v>448</v>
      </c>
    </row>
    <row r="9" spans="1:13" ht="3.75" customHeight="1" x14ac:dyDescent="0.25">
      <c r="B9" s="2"/>
      <c r="C9" s="19"/>
      <c r="D9" s="19"/>
      <c r="E9" s="19"/>
      <c r="F9" s="19"/>
      <c r="G9" s="19"/>
      <c r="H9" s="19"/>
      <c r="J9" s="19"/>
      <c r="K9" s="20"/>
      <c r="L9" s="20"/>
    </row>
    <row r="10" spans="1:13" x14ac:dyDescent="0.25">
      <c r="B10" s="2">
        <f>MAX($B$9:B9)+1</f>
        <v>1</v>
      </c>
      <c r="C10" s="78">
        <v>725000</v>
      </c>
      <c r="D10" s="23" t="s">
        <v>970</v>
      </c>
      <c r="E10" s="22">
        <v>0</v>
      </c>
      <c r="F10" s="22">
        <v>218143.8</v>
      </c>
      <c r="G10" s="22">
        <f>SUM(E10:F10)</f>
        <v>218143.8</v>
      </c>
      <c r="H10" s="22">
        <f>F10*0.03</f>
        <v>6544.3139999999994</v>
      </c>
      <c r="I10" s="22">
        <v>0</v>
      </c>
      <c r="J10" s="22">
        <v>0</v>
      </c>
      <c r="K10" s="22">
        <v>0</v>
      </c>
      <c r="L10" s="22">
        <f>SUM(G10:K10)</f>
        <v>224688.114</v>
      </c>
      <c r="M10" t="s">
        <v>1108</v>
      </c>
    </row>
    <row r="11" spans="1:13" x14ac:dyDescent="0.25">
      <c r="B11" s="2">
        <f>MAX($B$9:B10)+1</f>
        <v>2</v>
      </c>
      <c r="C11" s="78">
        <v>742006</v>
      </c>
      <c r="D11" s="23" t="s">
        <v>975</v>
      </c>
      <c r="E11" s="22">
        <v>0</v>
      </c>
      <c r="F11" s="22">
        <v>120000</v>
      </c>
      <c r="G11" s="22">
        <f>SUM(E11:F11)</f>
        <v>120000</v>
      </c>
      <c r="H11" s="22">
        <v>0</v>
      </c>
      <c r="I11" s="22">
        <v>-20000</v>
      </c>
      <c r="J11" s="22">
        <v>0</v>
      </c>
      <c r="K11" s="22">
        <v>0</v>
      </c>
      <c r="L11" s="22">
        <f>SUM(G11:K11)</f>
        <v>100000</v>
      </c>
      <c r="M11" t="s">
        <v>979</v>
      </c>
    </row>
    <row r="12" spans="1:13" x14ac:dyDescent="0.25">
      <c r="B12" s="2">
        <f>MAX($B$9:B11)+1</f>
        <v>3</v>
      </c>
      <c r="C12" s="78">
        <v>742006</v>
      </c>
      <c r="D12" s="23" t="s">
        <v>976</v>
      </c>
      <c r="E12" s="22">
        <v>15000</v>
      </c>
      <c r="F12" s="22">
        <v>0</v>
      </c>
      <c r="G12" s="22">
        <f t="shared" ref="G12:G13" si="0">SUM(E12:F12)</f>
        <v>15000</v>
      </c>
      <c r="H12" s="22">
        <v>0</v>
      </c>
      <c r="I12" s="22">
        <v>0</v>
      </c>
      <c r="J12" s="22">
        <v>85000</v>
      </c>
      <c r="K12" s="22">
        <v>0</v>
      </c>
      <c r="L12" s="22">
        <f>SUM(G12:K12)</f>
        <v>100000</v>
      </c>
      <c r="M12" t="s">
        <v>980</v>
      </c>
    </row>
    <row r="13" spans="1:13" x14ac:dyDescent="0.25">
      <c r="B13" s="2">
        <f>MAX($B$9:B12)+1</f>
        <v>4</v>
      </c>
      <c r="C13" s="78">
        <v>742006</v>
      </c>
      <c r="D13" s="23" t="s">
        <v>977</v>
      </c>
      <c r="E13" s="22">
        <v>16000</v>
      </c>
      <c r="F13" s="22">
        <v>0</v>
      </c>
      <c r="G13" s="22">
        <f t="shared" si="0"/>
        <v>16000</v>
      </c>
      <c r="H13" s="22">
        <v>0</v>
      </c>
      <c r="I13" s="22">
        <v>0</v>
      </c>
      <c r="J13" s="22">
        <v>0</v>
      </c>
      <c r="K13" s="22">
        <v>-16000</v>
      </c>
      <c r="L13" s="22">
        <f t="shared" ref="L13" si="1">SUM(G13:K13)</f>
        <v>0</v>
      </c>
      <c r="M13" t="s">
        <v>978</v>
      </c>
    </row>
    <row r="14" spans="1:13" x14ac:dyDescent="0.25">
      <c r="B14" s="2"/>
      <c r="C14" s="78"/>
      <c r="D14" s="23"/>
      <c r="E14" s="23"/>
      <c r="F14" s="23"/>
      <c r="G14" s="23"/>
      <c r="H14" s="23"/>
      <c r="I14" s="23"/>
      <c r="J14" s="23"/>
      <c r="K14" s="23"/>
      <c r="L14" s="23"/>
    </row>
  </sheetData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D920-303F-4293-9E90-74FF8E4AE014}">
  <sheetPr>
    <tabColor rgb="FF00B050"/>
  </sheetPr>
  <dimension ref="A1:N35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10.7109375" customWidth="1"/>
    <col min="4" max="4" width="39.28515625" customWidth="1"/>
    <col min="5" max="13" width="17.85546875" customWidth="1"/>
    <col min="14" max="14" width="61.7109375" customWidth="1"/>
  </cols>
  <sheetData>
    <row r="1" spans="1:14" ht="7.5" customHeight="1" x14ac:dyDescent="0.25">
      <c r="A1" s="51" t="str" cm="1">
        <f t="array" aca="1" ref="A1" ca="1">MID(CELL("filename",A1),FIND("]",CELL("filename",A1))+1,255)</f>
        <v>WP PF9</v>
      </c>
      <c r="C1" s="2"/>
    </row>
    <row r="2" spans="1:14" x14ac:dyDescent="0.25">
      <c r="B2" s="24" t="s">
        <v>451</v>
      </c>
      <c r="C2" s="46"/>
    </row>
    <row r="3" spans="1:14" x14ac:dyDescent="0.25">
      <c r="B3" s="1" t="s">
        <v>1058</v>
      </c>
      <c r="C3" s="46"/>
      <c r="L3" s="21"/>
    </row>
    <row r="4" spans="1:14" ht="7.5" customHeight="1" x14ac:dyDescent="0.25">
      <c r="B4" s="1"/>
      <c r="C4" s="46"/>
    </row>
    <row r="5" spans="1:14" s="6" customFormat="1" x14ac:dyDescent="0.25">
      <c r="C5" s="16"/>
      <c r="E5" s="16"/>
      <c r="F5" s="16"/>
      <c r="G5" s="16"/>
      <c r="H5" s="16"/>
      <c r="I5" s="16"/>
      <c r="J5" s="16"/>
      <c r="K5" s="16" t="s">
        <v>340</v>
      </c>
      <c r="L5" s="16" t="s">
        <v>538</v>
      </c>
      <c r="M5" s="16"/>
    </row>
    <row r="6" spans="1:14" s="6" customFormat="1" x14ac:dyDescent="0.25">
      <c r="B6" s="16" t="s">
        <v>417</v>
      </c>
      <c r="C6" s="16"/>
      <c r="E6" s="16" t="s">
        <v>340</v>
      </c>
      <c r="F6" s="16" t="s">
        <v>340</v>
      </c>
      <c r="G6" s="16" t="s">
        <v>576</v>
      </c>
      <c r="H6" s="16" t="s">
        <v>969</v>
      </c>
      <c r="I6" s="16" t="s">
        <v>538</v>
      </c>
      <c r="J6" s="16" t="s">
        <v>539</v>
      </c>
      <c r="K6" s="16" t="s">
        <v>959</v>
      </c>
      <c r="L6" s="16" t="s">
        <v>959</v>
      </c>
      <c r="M6" s="16" t="s">
        <v>423</v>
      </c>
    </row>
    <row r="7" spans="1:14" s="6" customFormat="1" x14ac:dyDescent="0.25">
      <c r="B7" s="89" t="s">
        <v>418</v>
      </c>
      <c r="C7" s="89" t="s">
        <v>0</v>
      </c>
      <c r="D7" s="59" t="s">
        <v>949</v>
      </c>
      <c r="E7" s="89" t="s">
        <v>39</v>
      </c>
      <c r="F7" s="89" t="s">
        <v>968</v>
      </c>
      <c r="G7" s="89" t="s">
        <v>444</v>
      </c>
      <c r="H7" s="89" t="s">
        <v>967</v>
      </c>
      <c r="I7" s="89" t="s">
        <v>39</v>
      </c>
      <c r="J7" s="89" t="s">
        <v>39</v>
      </c>
      <c r="K7" s="89" t="s">
        <v>960</v>
      </c>
      <c r="L7" s="89" t="s">
        <v>960</v>
      </c>
      <c r="M7" s="89" t="s">
        <v>450</v>
      </c>
      <c r="N7" s="59" t="s">
        <v>483</v>
      </c>
    </row>
    <row r="8" spans="1:14" x14ac:dyDescent="0.25">
      <c r="B8" s="2"/>
      <c r="C8" s="19" t="s">
        <v>419</v>
      </c>
      <c r="D8" s="19" t="s">
        <v>420</v>
      </c>
      <c r="E8" s="19" t="s">
        <v>421</v>
      </c>
      <c r="F8" s="19" t="s">
        <v>422</v>
      </c>
      <c r="G8" s="19" t="s">
        <v>430</v>
      </c>
      <c r="H8" s="19" t="s">
        <v>431</v>
      </c>
      <c r="I8" s="19" t="s">
        <v>434</v>
      </c>
      <c r="J8" s="20" t="s">
        <v>435</v>
      </c>
      <c r="K8" s="20" t="s">
        <v>436</v>
      </c>
      <c r="L8" s="20" t="s">
        <v>447</v>
      </c>
      <c r="M8" s="20" t="s">
        <v>448</v>
      </c>
      <c r="N8" s="20" t="s">
        <v>490</v>
      </c>
    </row>
    <row r="9" spans="1:14" ht="3.75" customHeight="1" x14ac:dyDescent="0.25"/>
    <row r="10" spans="1:14" x14ac:dyDescent="0.25">
      <c r="B10" s="2">
        <f>MAX($B$8:B8)+1</f>
        <v>1</v>
      </c>
      <c r="C10" s="2">
        <v>726200</v>
      </c>
      <c r="D10" s="57" t="s">
        <v>950</v>
      </c>
      <c r="E10" s="22">
        <v>418</v>
      </c>
      <c r="F10" s="22">
        <v>7</v>
      </c>
      <c r="G10" s="22">
        <f>IFERROR(E10*12/F10,0)-E10</f>
        <v>298.57142857142856</v>
      </c>
      <c r="H10" s="22">
        <f>E10+G10</f>
        <v>716.57142857142856</v>
      </c>
      <c r="I10" s="22">
        <v>0</v>
      </c>
      <c r="J10" s="22">
        <f>SUM(E10:I10)</f>
        <v>1440.1428571428571</v>
      </c>
      <c r="K10" s="22"/>
      <c r="L10" s="22"/>
      <c r="M10" s="22">
        <f>SUM(J10:L10)</f>
        <v>1440.1428571428571</v>
      </c>
      <c r="N10" s="57"/>
    </row>
    <row r="11" spans="1:14" x14ac:dyDescent="0.25">
      <c r="B11" s="2">
        <f>MAX($B$8:B10)+1</f>
        <v>2</v>
      </c>
      <c r="C11" s="2">
        <v>726200</v>
      </c>
      <c r="D11" s="57" t="s">
        <v>951</v>
      </c>
      <c r="E11" s="22">
        <v>0</v>
      </c>
      <c r="F11" s="22">
        <v>0</v>
      </c>
      <c r="G11" s="22">
        <f t="shared" ref="G11:G19" si="0">IFERROR(E11*12/F11,0)-E11</f>
        <v>0</v>
      </c>
      <c r="H11" s="22">
        <f t="shared" ref="H11:H19" si="1">E11+G11</f>
        <v>0</v>
      </c>
      <c r="I11" s="22">
        <v>8733.41</v>
      </c>
      <c r="J11" s="22">
        <f t="shared" ref="J11:J19" si="2">SUM(E11:I11)</f>
        <v>8733.41</v>
      </c>
      <c r="K11" s="22">
        <f>H11*0.03</f>
        <v>0</v>
      </c>
      <c r="L11" s="22">
        <f>I11*0.03</f>
        <v>262.00229999999999</v>
      </c>
      <c r="M11" s="22">
        <f t="shared" ref="M11:M19" si="3">SUM(J11:L11)</f>
        <v>8995.4123</v>
      </c>
      <c r="N11" s="57" t="s">
        <v>961</v>
      </c>
    </row>
    <row r="12" spans="1:14" x14ac:dyDescent="0.25">
      <c r="B12" s="2">
        <f>MAX($B$8:B11)+1</f>
        <v>3</v>
      </c>
      <c r="C12" s="2">
        <v>726200</v>
      </c>
      <c r="D12" s="57" t="s">
        <v>952</v>
      </c>
      <c r="E12" s="22">
        <v>998.03000000000009</v>
      </c>
      <c r="F12" s="22">
        <v>7</v>
      </c>
      <c r="G12" s="22">
        <f t="shared" si="0"/>
        <v>712.87857142857149</v>
      </c>
      <c r="H12" s="22">
        <f t="shared" si="1"/>
        <v>1710.9085714285716</v>
      </c>
      <c r="I12" s="22">
        <v>0</v>
      </c>
      <c r="J12" s="22">
        <f t="shared" si="2"/>
        <v>3428.8171428571432</v>
      </c>
      <c r="K12" s="22"/>
      <c r="L12" s="22"/>
      <c r="M12" s="22">
        <f t="shared" si="3"/>
        <v>3428.8171428571432</v>
      </c>
      <c r="N12" s="57"/>
    </row>
    <row r="13" spans="1:14" x14ac:dyDescent="0.25">
      <c r="B13" s="2">
        <f>MAX($B$8:B12)+1</f>
        <v>4</v>
      </c>
      <c r="C13" s="2">
        <v>726200</v>
      </c>
      <c r="D13" s="57" t="s">
        <v>953</v>
      </c>
      <c r="E13" s="22">
        <v>0</v>
      </c>
      <c r="F13" s="22">
        <v>0</v>
      </c>
      <c r="G13" s="22">
        <f t="shared" si="0"/>
        <v>0</v>
      </c>
      <c r="H13" s="22">
        <f t="shared" si="1"/>
        <v>0</v>
      </c>
      <c r="I13" s="22">
        <v>58053.72</v>
      </c>
      <c r="J13" s="22">
        <f t="shared" si="2"/>
        <v>58053.72</v>
      </c>
      <c r="K13" s="22"/>
      <c r="L13" s="22"/>
      <c r="M13" s="22">
        <f t="shared" si="3"/>
        <v>58053.72</v>
      </c>
      <c r="N13" s="57"/>
    </row>
    <row r="14" spans="1:14" x14ac:dyDescent="0.25">
      <c r="B14" s="2">
        <f>MAX($B$8:B13)+1</f>
        <v>5</v>
      </c>
      <c r="C14" s="2">
        <v>726200</v>
      </c>
      <c r="D14" s="57" t="s">
        <v>954</v>
      </c>
      <c r="E14" s="22">
        <v>66974.589999999967</v>
      </c>
      <c r="F14" s="22">
        <v>7</v>
      </c>
      <c r="G14" s="22">
        <f t="shared" si="0"/>
        <v>47838.992857142832</v>
      </c>
      <c r="H14" s="22">
        <f t="shared" si="1"/>
        <v>114813.5828571428</v>
      </c>
      <c r="I14" s="22">
        <v>293699.90000000002</v>
      </c>
      <c r="J14" s="22">
        <f t="shared" si="2"/>
        <v>523334.06571428559</v>
      </c>
      <c r="K14" s="22"/>
      <c r="L14" s="22"/>
      <c r="M14" s="22">
        <f t="shared" si="3"/>
        <v>523334.06571428559</v>
      </c>
      <c r="N14" s="57"/>
    </row>
    <row r="15" spans="1:14" x14ac:dyDescent="0.25">
      <c r="B15" s="2">
        <f>MAX($B$8:B14)+1</f>
        <v>6</v>
      </c>
      <c r="C15" s="2">
        <v>726200</v>
      </c>
      <c r="D15" s="57" t="s">
        <v>958</v>
      </c>
      <c r="E15" s="22">
        <v>0</v>
      </c>
      <c r="F15" s="22">
        <v>0</v>
      </c>
      <c r="G15" s="22">
        <f t="shared" si="0"/>
        <v>0</v>
      </c>
      <c r="H15" s="22">
        <f t="shared" si="1"/>
        <v>0</v>
      </c>
      <c r="I15" s="22">
        <v>9757.83</v>
      </c>
      <c r="J15" s="22">
        <f t="shared" si="2"/>
        <v>9757.83</v>
      </c>
      <c r="K15" s="22">
        <f>H15*0.03</f>
        <v>0</v>
      </c>
      <c r="L15" s="22">
        <f>I15*0.0275</f>
        <v>268.34032500000001</v>
      </c>
      <c r="M15" s="22">
        <f t="shared" si="3"/>
        <v>10026.170324999999</v>
      </c>
      <c r="N15" s="57" t="s">
        <v>965</v>
      </c>
    </row>
    <row r="16" spans="1:14" x14ac:dyDescent="0.25">
      <c r="B16" s="2">
        <f>MAX($B$8:B15)+1</f>
        <v>7</v>
      </c>
      <c r="C16" s="2">
        <v>726200</v>
      </c>
      <c r="D16" s="57" t="s">
        <v>957</v>
      </c>
      <c r="E16" s="22">
        <v>0</v>
      </c>
      <c r="F16" s="22">
        <v>0</v>
      </c>
      <c r="G16" s="22">
        <f t="shared" si="0"/>
        <v>0</v>
      </c>
      <c r="H16" s="22">
        <f t="shared" si="1"/>
        <v>0</v>
      </c>
      <c r="I16" s="22">
        <v>715.43</v>
      </c>
      <c r="J16" s="22">
        <f t="shared" si="2"/>
        <v>715.43</v>
      </c>
      <c r="K16" s="22"/>
      <c r="L16" s="22"/>
      <c r="M16" s="22">
        <f t="shared" si="3"/>
        <v>715.43</v>
      </c>
      <c r="N16" s="57"/>
    </row>
    <row r="17" spans="2:14" x14ac:dyDescent="0.25">
      <c r="B17" s="2">
        <f>MAX($B$8:B16)+1</f>
        <v>8</v>
      </c>
      <c r="C17" s="2">
        <v>726200</v>
      </c>
      <c r="D17" s="57" t="s">
        <v>962</v>
      </c>
      <c r="E17" s="22">
        <v>0</v>
      </c>
      <c r="F17" s="22">
        <v>0</v>
      </c>
      <c r="G17" s="22">
        <f t="shared" si="0"/>
        <v>0</v>
      </c>
      <c r="H17" s="22">
        <f t="shared" si="1"/>
        <v>0</v>
      </c>
      <c r="I17" s="22">
        <v>5119.12</v>
      </c>
      <c r="J17" s="22">
        <f t="shared" si="2"/>
        <v>5119.12</v>
      </c>
      <c r="K17" s="22">
        <f>H17*0.035</f>
        <v>0</v>
      </c>
      <c r="L17" s="22">
        <f>I17*0.035</f>
        <v>179.16920000000002</v>
      </c>
      <c r="M17" s="22">
        <f t="shared" si="3"/>
        <v>5298.2892000000002</v>
      </c>
      <c r="N17" s="57" t="s">
        <v>966</v>
      </c>
    </row>
    <row r="18" spans="2:14" x14ac:dyDescent="0.25">
      <c r="B18" s="2">
        <f>MAX($B$8:B17)+1</f>
        <v>9</v>
      </c>
      <c r="C18" s="2">
        <v>726200</v>
      </c>
      <c r="D18" s="57" t="s">
        <v>955</v>
      </c>
      <c r="E18" s="22">
        <v>9839.869999999999</v>
      </c>
      <c r="F18" s="22">
        <v>7</v>
      </c>
      <c r="G18" s="22">
        <f t="shared" si="0"/>
        <v>7028.4785714285717</v>
      </c>
      <c r="H18" s="22">
        <f t="shared" si="1"/>
        <v>16868.348571428571</v>
      </c>
      <c r="I18" s="22">
        <v>247816.84999999992</v>
      </c>
      <c r="J18" s="22">
        <f t="shared" si="2"/>
        <v>281560.54714285705</v>
      </c>
      <c r="K18" s="22">
        <f>H18*0.0369</f>
        <v>622.44206228571431</v>
      </c>
      <c r="L18" s="22">
        <f>I18*0.0369</f>
        <v>9144.4417649999978</v>
      </c>
      <c r="M18" s="22">
        <f t="shared" si="3"/>
        <v>291327.43097014277</v>
      </c>
      <c r="N18" s="57" t="s">
        <v>963</v>
      </c>
    </row>
    <row r="19" spans="2:14" x14ac:dyDescent="0.25">
      <c r="B19" s="2">
        <f>MAX($B$8:B18)+1</f>
        <v>10</v>
      </c>
      <c r="C19" s="2">
        <v>726200</v>
      </c>
      <c r="D19" s="57" t="s">
        <v>956</v>
      </c>
      <c r="E19" s="22">
        <v>191193.32000000009</v>
      </c>
      <c r="F19" s="22">
        <v>7</v>
      </c>
      <c r="G19" s="22">
        <f t="shared" si="0"/>
        <v>136566.65714285724</v>
      </c>
      <c r="H19" s="22">
        <f t="shared" si="1"/>
        <v>327759.97714285733</v>
      </c>
      <c r="I19" s="22">
        <v>12979.199999999999</v>
      </c>
      <c r="J19" s="22">
        <f t="shared" si="2"/>
        <v>668506.15428571461</v>
      </c>
      <c r="K19" s="22">
        <f>H19*0.015</f>
        <v>4916.3996571428597</v>
      </c>
      <c r="L19" s="22">
        <f>I19*0.015</f>
        <v>194.68799999999999</v>
      </c>
      <c r="M19" s="22">
        <f t="shared" si="3"/>
        <v>673617.24194285739</v>
      </c>
      <c r="N19" s="57" t="s">
        <v>964</v>
      </c>
    </row>
    <row r="20" spans="2:14" ht="3.75" customHeight="1" x14ac:dyDescent="0.25">
      <c r="D20" s="57"/>
      <c r="E20" s="179"/>
      <c r="F20" s="179"/>
      <c r="G20" s="179"/>
      <c r="H20" s="179"/>
      <c r="I20" s="179"/>
      <c r="J20" s="179"/>
      <c r="K20" s="179"/>
      <c r="L20" s="179"/>
      <c r="M20" s="179"/>
    </row>
    <row r="21" spans="2:14" s="6" customFormat="1" x14ac:dyDescent="0.25">
      <c r="B21" s="16">
        <f>MAX($B$8:B20)+1</f>
        <v>11</v>
      </c>
      <c r="D21" s="80" t="s">
        <v>423</v>
      </c>
      <c r="E21" s="176">
        <f>SUM(E10:E19)</f>
        <v>269423.81000000006</v>
      </c>
      <c r="F21" s="176">
        <f t="shared" ref="F21:M21" si="4">SUM(F10:F19)</f>
        <v>35</v>
      </c>
      <c r="G21" s="176">
        <f t="shared" si="4"/>
        <v>192445.57857142863</v>
      </c>
      <c r="H21" s="176"/>
      <c r="I21" s="176">
        <f t="shared" si="4"/>
        <v>636875.46</v>
      </c>
      <c r="J21" s="176">
        <f t="shared" si="4"/>
        <v>1560649.2371428572</v>
      </c>
      <c r="K21" s="176">
        <f t="shared" si="4"/>
        <v>5538.8417194285739</v>
      </c>
      <c r="L21" s="176">
        <f t="shared" si="4"/>
        <v>10048.641589999997</v>
      </c>
      <c r="M21" s="176">
        <f t="shared" si="4"/>
        <v>1576236.7204522858</v>
      </c>
    </row>
    <row r="22" spans="2:14" x14ac:dyDescent="0.25">
      <c r="D22" s="57"/>
    </row>
    <row r="23" spans="2:14" x14ac:dyDescent="0.25">
      <c r="D23" s="57"/>
    </row>
    <row r="24" spans="2:14" x14ac:dyDescent="0.25">
      <c r="D24" s="57"/>
    </row>
    <row r="25" spans="2:14" x14ac:dyDescent="0.25">
      <c r="D25" s="57"/>
    </row>
    <row r="26" spans="2:14" x14ac:dyDescent="0.25">
      <c r="D26" s="57"/>
    </row>
    <row r="27" spans="2:14" x14ac:dyDescent="0.25">
      <c r="D27" s="57"/>
    </row>
    <row r="28" spans="2:14" x14ac:dyDescent="0.25">
      <c r="D28" s="57"/>
    </row>
    <row r="29" spans="2:14" x14ac:dyDescent="0.25">
      <c r="D29" s="57"/>
    </row>
    <row r="30" spans="2:14" x14ac:dyDescent="0.25">
      <c r="D30" s="57"/>
    </row>
    <row r="31" spans="2:14" x14ac:dyDescent="0.25">
      <c r="D31" s="57"/>
    </row>
    <row r="32" spans="2:14" x14ac:dyDescent="0.25">
      <c r="D32" s="57"/>
    </row>
    <row r="33" spans="4:4" x14ac:dyDescent="0.25">
      <c r="D33" s="57"/>
    </row>
    <row r="34" spans="4:4" x14ac:dyDescent="0.25">
      <c r="D34" s="57"/>
    </row>
    <row r="35" spans="4:4" x14ac:dyDescent="0.25">
      <c r="D35" s="57"/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BEB6-5206-483A-8AE1-00617AB8DF52}">
  <sheetPr>
    <tabColor rgb="FF00B050"/>
  </sheetPr>
  <dimension ref="A1:K24"/>
  <sheetViews>
    <sheetView workbookViewId="0"/>
  </sheetViews>
  <sheetFormatPr defaultColWidth="9.140625" defaultRowHeight="12.75" x14ac:dyDescent="0.2"/>
  <cols>
    <col min="1" max="1" width="1.42578125" style="8" customWidth="1"/>
    <col min="2" max="2" width="5.7109375" style="8" customWidth="1"/>
    <col min="3" max="3" width="39.42578125" style="8" customWidth="1"/>
    <col min="4" max="4" width="15.140625" style="8" customWidth="1"/>
    <col min="5" max="16384" width="9.140625" style="8"/>
  </cols>
  <sheetData>
    <row r="1" spans="1:11" customFormat="1" ht="7.5" customHeight="1" x14ac:dyDescent="0.25">
      <c r="A1" s="51" t="str" cm="1">
        <f t="array" aca="1" ref="A1" ca="1">MID(CELL("filename",A1),FIND("]",CELL("filename",A1))+1,255)</f>
        <v>WP PF10</v>
      </c>
      <c r="C1" s="2"/>
    </row>
    <row r="2" spans="1:11" customFormat="1" ht="15" x14ac:dyDescent="0.25">
      <c r="B2" s="24" t="s">
        <v>451</v>
      </c>
      <c r="C2" s="46"/>
    </row>
    <row r="3" spans="1:11" customFormat="1" ht="15" x14ac:dyDescent="0.25">
      <c r="B3" s="1" t="s">
        <v>1059</v>
      </c>
      <c r="C3" s="46"/>
      <c r="K3" s="21"/>
    </row>
    <row r="4" spans="1:11" ht="3.75" customHeight="1" x14ac:dyDescent="0.2"/>
    <row r="5" spans="1:11" ht="25.5" x14ac:dyDescent="0.2">
      <c r="B5" s="38" t="s">
        <v>523</v>
      </c>
      <c r="C5" s="43" t="s">
        <v>482</v>
      </c>
      <c r="D5" s="12" t="s">
        <v>524</v>
      </c>
    </row>
    <row r="6" spans="1:11" x14ac:dyDescent="0.2">
      <c r="C6" s="9" t="s">
        <v>419</v>
      </c>
      <c r="D6" s="9" t="s">
        <v>420</v>
      </c>
    </row>
    <row r="7" spans="1:11" ht="3.75" customHeight="1" x14ac:dyDescent="0.2"/>
    <row r="8" spans="1:11" x14ac:dyDescent="0.2">
      <c r="B8" s="9">
        <v>1</v>
      </c>
      <c r="C8" s="8" t="s">
        <v>573</v>
      </c>
      <c r="D8" s="68">
        <v>2.1999999999999999E-2</v>
      </c>
    </row>
    <row r="9" spans="1:11" x14ac:dyDescent="0.2">
      <c r="B9" s="9"/>
      <c r="D9" s="67"/>
    </row>
    <row r="10" spans="1:11" ht="3.75" customHeight="1" x14ac:dyDescent="0.2">
      <c r="B10" s="9"/>
      <c r="D10" s="67"/>
    </row>
    <row r="11" spans="1:11" x14ac:dyDescent="0.2">
      <c r="B11" s="9"/>
      <c r="D11" s="25"/>
    </row>
    <row r="12" spans="1:11" x14ac:dyDescent="0.2">
      <c r="B12" s="9"/>
    </row>
    <row r="13" spans="1:11" x14ac:dyDescent="0.2">
      <c r="B13" s="9"/>
      <c r="D13" s="45"/>
    </row>
    <row r="14" spans="1:11" x14ac:dyDescent="0.2">
      <c r="B14" s="9"/>
      <c r="D14" s="25"/>
    </row>
    <row r="15" spans="1:11" x14ac:dyDescent="0.2">
      <c r="B15" s="9"/>
    </row>
    <row r="16" spans="1:11" x14ac:dyDescent="0.2">
      <c r="B16" s="9"/>
      <c r="D16" s="25"/>
    </row>
    <row r="17" spans="2:4" x14ac:dyDescent="0.2">
      <c r="B17" s="9"/>
      <c r="D17" s="25"/>
    </row>
    <row r="18" spans="2:4" x14ac:dyDescent="0.2">
      <c r="B18" s="9"/>
    </row>
    <row r="19" spans="2:4" x14ac:dyDescent="0.2">
      <c r="B19" s="9"/>
    </row>
    <row r="20" spans="2:4" x14ac:dyDescent="0.2">
      <c r="B20" s="9"/>
    </row>
    <row r="21" spans="2:4" x14ac:dyDescent="0.2">
      <c r="B21" s="9"/>
    </row>
    <row r="22" spans="2:4" x14ac:dyDescent="0.2">
      <c r="B22" s="9"/>
    </row>
    <row r="23" spans="2:4" x14ac:dyDescent="0.2">
      <c r="B23" s="9"/>
    </row>
    <row r="24" spans="2:4" x14ac:dyDescent="0.2">
      <c r="B24" s="9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53DF-D2EB-48BC-BA7A-3336EE077238}">
  <sheetPr>
    <tabColor rgb="FF00B050"/>
  </sheetPr>
  <dimension ref="A1:K24"/>
  <sheetViews>
    <sheetView workbookViewId="0"/>
  </sheetViews>
  <sheetFormatPr defaultColWidth="9.140625" defaultRowHeight="12.75" x14ac:dyDescent="0.2"/>
  <cols>
    <col min="1" max="1" width="1.42578125" style="8" customWidth="1"/>
    <col min="2" max="2" width="5.7109375" style="9" customWidth="1"/>
    <col min="3" max="3" width="39.42578125" style="8" customWidth="1"/>
    <col min="4" max="8" width="15.140625" style="8" customWidth="1"/>
    <col min="9" max="16384" width="9.140625" style="8"/>
  </cols>
  <sheetData>
    <row r="1" spans="1:11" customFormat="1" ht="7.5" customHeight="1" x14ac:dyDescent="0.25">
      <c r="A1" s="51" t="str" cm="1">
        <f t="array" aca="1" ref="A1" ca="1">MID(CELL("filename",A1),FIND("]",CELL("filename",A1))+1,255)</f>
        <v>WP PF11</v>
      </c>
      <c r="C1" s="2"/>
    </row>
    <row r="2" spans="1:11" customFormat="1" ht="15" x14ac:dyDescent="0.25">
      <c r="B2" s="24" t="s">
        <v>451</v>
      </c>
      <c r="C2" s="46"/>
    </row>
    <row r="3" spans="1:11" customFormat="1" ht="15" x14ac:dyDescent="0.25">
      <c r="B3" s="1" t="s">
        <v>1060</v>
      </c>
      <c r="C3" s="46"/>
      <c r="K3" s="21"/>
    </row>
    <row r="4" spans="1:11" customFormat="1" ht="3.75" customHeight="1" x14ac:dyDescent="0.25">
      <c r="B4" s="1"/>
      <c r="C4" s="46"/>
    </row>
    <row r="5" spans="1:11" ht="25.5" x14ac:dyDescent="0.2">
      <c r="B5" s="38" t="s">
        <v>512</v>
      </c>
      <c r="C5" s="11" t="s">
        <v>513</v>
      </c>
      <c r="D5" s="38" t="s">
        <v>514</v>
      </c>
      <c r="E5" s="38" t="s">
        <v>515</v>
      </c>
      <c r="F5" s="38" t="s">
        <v>516</v>
      </c>
      <c r="G5" s="38" t="s">
        <v>517</v>
      </c>
      <c r="H5" s="38" t="s">
        <v>518</v>
      </c>
    </row>
    <row r="6" spans="1:11" s="39" customFormat="1" ht="15" customHeight="1" x14ac:dyDescent="0.25">
      <c r="C6" s="39" t="s">
        <v>419</v>
      </c>
      <c r="D6" s="40" t="s">
        <v>420</v>
      </c>
      <c r="E6" s="40" t="s">
        <v>421</v>
      </c>
      <c r="F6" s="40" t="s">
        <v>422</v>
      </c>
      <c r="G6" s="40" t="s">
        <v>430</v>
      </c>
      <c r="H6" s="40" t="s">
        <v>431</v>
      </c>
    </row>
    <row r="7" spans="1:11" ht="3.75" customHeight="1" x14ac:dyDescent="0.2">
      <c r="D7" s="41"/>
      <c r="E7" s="41"/>
      <c r="F7" s="41"/>
      <c r="G7" s="41"/>
      <c r="H7" s="41"/>
    </row>
    <row r="8" spans="1:11" x14ac:dyDescent="0.2">
      <c r="B8" s="9">
        <v>1</v>
      </c>
      <c r="C8" s="8" t="s">
        <v>519</v>
      </c>
      <c r="D8" s="180">
        <v>237847.90000000002</v>
      </c>
      <c r="E8" s="180">
        <v>0</v>
      </c>
      <c r="F8" s="180">
        <v>32810.786999999982</v>
      </c>
      <c r="G8" s="180">
        <f>SUM(E8:F8)</f>
        <v>32810.786999999982</v>
      </c>
      <c r="H8" s="180">
        <f>D8+G8</f>
        <v>270658.68700000003</v>
      </c>
    </row>
    <row r="9" spans="1:11" x14ac:dyDescent="0.2">
      <c r="B9" s="9">
        <v>2</v>
      </c>
      <c r="C9" s="8" t="s">
        <v>520</v>
      </c>
      <c r="D9" s="181">
        <v>144401.5</v>
      </c>
      <c r="E9" s="181">
        <f>(D9*12/7)-D9</f>
        <v>103143.92857142858</v>
      </c>
      <c r="F9" s="181">
        <v>-11700.22857142851</v>
      </c>
      <c r="G9" s="181">
        <f>SUM(E9:F9)</f>
        <v>91443.70000000007</v>
      </c>
      <c r="H9" s="181">
        <f>D9+G9</f>
        <v>235845.20000000007</v>
      </c>
    </row>
    <row r="10" spans="1:11" ht="3.75" customHeight="1" x14ac:dyDescent="0.2">
      <c r="D10" s="182"/>
      <c r="E10" s="182"/>
      <c r="F10" s="182"/>
      <c r="G10" s="182"/>
      <c r="H10" s="182"/>
    </row>
    <row r="11" spans="1:11" s="14" customFormat="1" x14ac:dyDescent="0.2">
      <c r="B11" s="10">
        <v>3</v>
      </c>
      <c r="C11" s="14" t="s">
        <v>521</v>
      </c>
      <c r="D11" s="183">
        <f>SUM(D8:D9)</f>
        <v>382249.4</v>
      </c>
      <c r="E11" s="183">
        <f t="shared" ref="E11:H11" si="0">SUM(E8:E9)</f>
        <v>103143.92857142858</v>
      </c>
      <c r="F11" s="183">
        <f t="shared" si="0"/>
        <v>21110.558428571472</v>
      </c>
      <c r="G11" s="183">
        <f t="shared" si="0"/>
        <v>124254.48700000005</v>
      </c>
      <c r="H11" s="183">
        <f t="shared" si="0"/>
        <v>506503.8870000001</v>
      </c>
    </row>
    <row r="22" spans="4:4" x14ac:dyDescent="0.2">
      <c r="D22" s="42"/>
    </row>
    <row r="23" spans="4:4" x14ac:dyDescent="0.2">
      <c r="D23" s="42"/>
    </row>
    <row r="24" spans="4:4" x14ac:dyDescent="0.2">
      <c r="D24" s="4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E0BD-F958-43D6-937A-96CC47FE0DFD}">
  <sheetPr>
    <tabColor rgb="FF00B050"/>
  </sheetPr>
  <dimension ref="A1:K24"/>
  <sheetViews>
    <sheetView workbookViewId="0"/>
  </sheetViews>
  <sheetFormatPr defaultColWidth="9.140625" defaultRowHeight="12.75" x14ac:dyDescent="0.2"/>
  <cols>
    <col min="1" max="1" width="1.42578125" style="8" customWidth="1"/>
    <col min="2" max="2" width="5.7109375" style="8" customWidth="1"/>
    <col min="3" max="3" width="39.42578125" style="8" customWidth="1"/>
    <col min="4" max="4" width="15.140625" style="8" customWidth="1"/>
    <col min="5" max="16384" width="9.140625" style="8"/>
  </cols>
  <sheetData>
    <row r="1" spans="1:11" customFormat="1" ht="7.5" customHeight="1" x14ac:dyDescent="0.25">
      <c r="A1" s="51" t="str" cm="1">
        <f t="array" aca="1" ref="A1" ca="1">MID(CELL("filename",A1),FIND("]",CELL("filename",A1))+1,255)</f>
        <v>WP PF12</v>
      </c>
      <c r="C1" s="2"/>
    </row>
    <row r="2" spans="1:11" customFormat="1" ht="15" x14ac:dyDescent="0.25">
      <c r="B2" s="24" t="s">
        <v>451</v>
      </c>
      <c r="C2" s="46"/>
    </row>
    <row r="3" spans="1:11" customFormat="1" ht="15" x14ac:dyDescent="0.25">
      <c r="B3" s="1" t="s">
        <v>1061</v>
      </c>
      <c r="C3" s="46"/>
      <c r="K3" s="21"/>
    </row>
    <row r="4" spans="1:11" ht="3.75" customHeight="1" x14ac:dyDescent="0.2"/>
    <row r="5" spans="1:11" ht="25.5" x14ac:dyDescent="0.2">
      <c r="B5" s="38" t="s">
        <v>523</v>
      </c>
      <c r="C5" s="43" t="s">
        <v>482</v>
      </c>
      <c r="D5" s="12" t="s">
        <v>524</v>
      </c>
    </row>
    <row r="6" spans="1:11" x14ac:dyDescent="0.2">
      <c r="C6" s="9" t="s">
        <v>419</v>
      </c>
      <c r="D6" s="9" t="s">
        <v>420</v>
      </c>
    </row>
    <row r="7" spans="1:11" ht="3.75" customHeight="1" x14ac:dyDescent="0.2"/>
    <row r="8" spans="1:11" x14ac:dyDescent="0.2">
      <c r="B8" s="9">
        <v>1</v>
      </c>
      <c r="C8" s="8" t="s">
        <v>1117</v>
      </c>
      <c r="D8" s="25">
        <v>75000</v>
      </c>
    </row>
    <row r="9" spans="1:11" x14ac:dyDescent="0.2">
      <c r="B9" s="9">
        <v>2</v>
      </c>
      <c r="C9" s="8" t="s">
        <v>1118</v>
      </c>
      <c r="D9" s="13">
        <v>40000</v>
      </c>
    </row>
    <row r="10" spans="1:11" ht="3.75" customHeight="1" x14ac:dyDescent="0.2">
      <c r="B10" s="9"/>
      <c r="D10" s="44"/>
    </row>
    <row r="11" spans="1:11" x14ac:dyDescent="0.2">
      <c r="B11" s="9">
        <v>3</v>
      </c>
      <c r="C11" s="8" t="s">
        <v>525</v>
      </c>
      <c r="D11" s="25">
        <f>SUM(D8:D9)</f>
        <v>115000</v>
      </c>
    </row>
    <row r="12" spans="1:11" x14ac:dyDescent="0.2">
      <c r="B12" s="9"/>
    </row>
    <row r="13" spans="1:11" x14ac:dyDescent="0.2">
      <c r="B13" s="9">
        <v>4</v>
      </c>
      <c r="C13" s="8" t="s">
        <v>526</v>
      </c>
      <c r="D13" s="45">
        <v>3</v>
      </c>
    </row>
    <row r="14" spans="1:11" x14ac:dyDescent="0.2">
      <c r="B14" s="9">
        <v>5</v>
      </c>
      <c r="C14" s="8" t="s">
        <v>527</v>
      </c>
      <c r="D14" s="25">
        <f>D11/D13</f>
        <v>38333.333333333336</v>
      </c>
    </row>
    <row r="15" spans="1:11" x14ac:dyDescent="0.2">
      <c r="B15" s="9"/>
    </row>
    <row r="16" spans="1:11" x14ac:dyDescent="0.2">
      <c r="B16" s="9">
        <v>6</v>
      </c>
      <c r="C16" s="8" t="s">
        <v>528</v>
      </c>
      <c r="D16" s="25">
        <f>D14*0.4931</f>
        <v>18902.166666666668</v>
      </c>
    </row>
    <row r="17" spans="2:4" x14ac:dyDescent="0.2">
      <c r="B17" s="9">
        <v>7</v>
      </c>
      <c r="C17" s="8" t="s">
        <v>529</v>
      </c>
      <c r="D17" s="25">
        <f>D14-D16</f>
        <v>19431.166666666668</v>
      </c>
    </row>
    <row r="18" spans="2:4" x14ac:dyDescent="0.2">
      <c r="B18" s="9"/>
    </row>
    <row r="19" spans="2:4" x14ac:dyDescent="0.2">
      <c r="B19" s="9"/>
    </row>
    <row r="20" spans="2:4" x14ac:dyDescent="0.2">
      <c r="B20" s="9"/>
    </row>
    <row r="21" spans="2:4" x14ac:dyDescent="0.2">
      <c r="B21" s="9"/>
    </row>
    <row r="22" spans="2:4" x14ac:dyDescent="0.2">
      <c r="B22" s="9"/>
    </row>
    <row r="23" spans="2:4" x14ac:dyDescent="0.2">
      <c r="B23" s="9"/>
    </row>
    <row r="24" spans="2:4" x14ac:dyDescent="0.2">
      <c r="B24" s="9"/>
    </row>
  </sheetData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04D4-ACA6-4F68-A885-8079C52AED8D}">
  <sheetPr>
    <tabColor rgb="FF00B050"/>
  </sheetPr>
  <dimension ref="A1:D28"/>
  <sheetViews>
    <sheetView workbookViewId="0"/>
  </sheetViews>
  <sheetFormatPr defaultRowHeight="15" x14ac:dyDescent="0.25"/>
  <cols>
    <col min="1" max="1" width="1.42578125" customWidth="1"/>
    <col min="2" max="2" width="5.7109375" customWidth="1"/>
    <col min="3" max="3" width="28.5703125" style="2" customWidth="1"/>
    <col min="4" max="4" width="17.85546875" customWidth="1"/>
  </cols>
  <sheetData>
    <row r="1" spans="1:4" ht="7.5" customHeight="1" x14ac:dyDescent="0.25">
      <c r="A1" s="51" t="str" cm="1">
        <f t="array" aca="1" ref="A1" ca="1">MID(CELL("filename",A1),FIND("]",CELL("filename",A1))+1,255)</f>
        <v>WP 4-Factor</v>
      </c>
    </row>
    <row r="2" spans="1:4" x14ac:dyDescent="0.25">
      <c r="B2" s="24" t="s">
        <v>451</v>
      </c>
    </row>
    <row r="3" spans="1:4" x14ac:dyDescent="0.25">
      <c r="B3" s="1" t="s">
        <v>591</v>
      </c>
    </row>
    <row r="4" spans="1:4" ht="7.5" customHeight="1" x14ac:dyDescent="0.25">
      <c r="B4" s="1"/>
    </row>
    <row r="5" spans="1:4" s="6" customFormat="1" x14ac:dyDescent="0.25">
      <c r="C5" s="16"/>
      <c r="D5" s="16"/>
    </row>
    <row r="6" spans="1:4" s="6" customFormat="1" x14ac:dyDescent="0.25">
      <c r="B6" s="16" t="s">
        <v>417</v>
      </c>
      <c r="C6" s="16"/>
      <c r="D6" s="16"/>
    </row>
    <row r="7" spans="1:4" s="6" customFormat="1" x14ac:dyDescent="0.25">
      <c r="B7" s="17" t="s">
        <v>418</v>
      </c>
      <c r="C7" s="58" t="s">
        <v>513</v>
      </c>
      <c r="D7" s="17" t="s">
        <v>563</v>
      </c>
    </row>
    <row r="8" spans="1:4" x14ac:dyDescent="0.25">
      <c r="B8" s="2"/>
      <c r="C8" s="19" t="s">
        <v>419</v>
      </c>
      <c r="D8" s="19" t="s">
        <v>420</v>
      </c>
    </row>
    <row r="9" spans="1:4" ht="3.75" customHeight="1" x14ac:dyDescent="0.25">
      <c r="B9" s="2"/>
      <c r="C9" s="19"/>
      <c r="D9" s="19"/>
    </row>
    <row r="10" spans="1:4" x14ac:dyDescent="0.25">
      <c r="B10" s="2">
        <v>1</v>
      </c>
      <c r="C10" s="56" t="s">
        <v>549</v>
      </c>
      <c r="D10" s="61">
        <v>0.50690000000000002</v>
      </c>
    </row>
    <row r="11" spans="1:4" x14ac:dyDescent="0.25">
      <c r="B11" s="2">
        <f>MAX($B$10:B10)+1</f>
        <v>2</v>
      </c>
      <c r="C11" s="56" t="s">
        <v>520</v>
      </c>
      <c r="D11" s="61">
        <f>1-D10</f>
        <v>0.49309999999999998</v>
      </c>
    </row>
    <row r="12" spans="1:4" x14ac:dyDescent="0.25">
      <c r="B12" s="2"/>
      <c r="D12" s="2"/>
    </row>
    <row r="13" spans="1:4" x14ac:dyDescent="0.25">
      <c r="B13" s="2"/>
      <c r="D13" s="2"/>
    </row>
    <row r="14" spans="1:4" x14ac:dyDescent="0.25">
      <c r="B14" s="2"/>
      <c r="D14" s="2"/>
    </row>
    <row r="15" spans="1:4" x14ac:dyDescent="0.25">
      <c r="B15" s="2"/>
      <c r="D15" s="2"/>
    </row>
    <row r="16" spans="1:4" x14ac:dyDescent="0.25">
      <c r="B16" s="2"/>
      <c r="D16" s="2"/>
    </row>
    <row r="17" spans="2:4" x14ac:dyDescent="0.25">
      <c r="B17" s="2"/>
      <c r="D17" s="2"/>
    </row>
    <row r="18" spans="2:4" x14ac:dyDescent="0.25">
      <c r="B18" s="2"/>
      <c r="D18" s="2"/>
    </row>
    <row r="19" spans="2:4" x14ac:dyDescent="0.25">
      <c r="B19" s="2"/>
      <c r="D19" s="2"/>
    </row>
    <row r="20" spans="2:4" x14ac:dyDescent="0.25">
      <c r="B20" s="2"/>
      <c r="D20" s="2"/>
    </row>
    <row r="21" spans="2:4" x14ac:dyDescent="0.25">
      <c r="B21" s="2"/>
      <c r="D21" s="2"/>
    </row>
    <row r="22" spans="2:4" x14ac:dyDescent="0.25">
      <c r="B22" s="2"/>
      <c r="D22" s="2"/>
    </row>
    <row r="23" spans="2:4" x14ac:dyDescent="0.25">
      <c r="B23" s="2"/>
      <c r="D23" s="2"/>
    </row>
    <row r="24" spans="2:4" x14ac:dyDescent="0.25">
      <c r="B24" s="2"/>
      <c r="D24" s="2"/>
    </row>
    <row r="25" spans="2:4" x14ac:dyDescent="0.25">
      <c r="B25" s="2"/>
      <c r="D25" s="2"/>
    </row>
    <row r="26" spans="2:4" x14ac:dyDescent="0.25">
      <c r="B26" s="2"/>
      <c r="D26" s="2"/>
    </row>
    <row r="27" spans="2:4" x14ac:dyDescent="0.25">
      <c r="B27" s="2"/>
      <c r="D27" s="2"/>
    </row>
    <row r="28" spans="2:4" x14ac:dyDescent="0.25">
      <c r="B28" s="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CB43EAF26C7A46B3E747AE9B6D49E9" ma:contentTypeVersion="44" ma:contentTypeDescription="" ma:contentTypeScope="" ma:versionID="e4cd65e24056c81ba02f091ee68e1fb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2021-07-15T07:00:00+00:00</OpenedDate>
    <SignificantOrder xmlns="dc463f71-b30c-4ab2-9473-d307f9d35888">false</SignificantOrder>
    <Date1 xmlns="dc463f71-b30c-4ab2-9473-d307f9d35888">2021-07-15T07:00:00+00:00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014843-38A0-43A7-9564-633C588B6CCC}"/>
</file>

<file path=customXml/itemProps2.xml><?xml version="1.0" encoding="utf-8"?>
<ds:datastoreItem xmlns:ds="http://schemas.openxmlformats.org/officeDocument/2006/customXml" ds:itemID="{98EE67FA-396A-490E-8C9C-0ECB4B425E5F}"/>
</file>

<file path=customXml/itemProps3.xml><?xml version="1.0" encoding="utf-8"?>
<ds:datastoreItem xmlns:ds="http://schemas.openxmlformats.org/officeDocument/2006/customXml" ds:itemID="{69EEF43E-E267-4573-9FD5-ECFC9F075374}"/>
</file>

<file path=customXml/itemProps4.xml><?xml version="1.0" encoding="utf-8"?>
<ds:datastoreItem xmlns:ds="http://schemas.openxmlformats.org/officeDocument/2006/customXml" ds:itemID="{3880D8D7-603F-4D0D-BB12-6B4FBE189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Contents</vt:lpstr>
      <vt:lpstr>WWSCo Inputs</vt:lpstr>
      <vt:lpstr>EP Inputs</vt:lpstr>
      <vt:lpstr>Deferred Taxes</vt:lpstr>
      <vt:lpstr>WWSCo IS Restatements</vt:lpstr>
      <vt:lpstr>WWSCo IS Pro Forma</vt:lpstr>
      <vt:lpstr>EP IS Restatements</vt:lpstr>
      <vt:lpstr>EP IS Pro Forma</vt:lpstr>
      <vt:lpstr>WP RA3</vt:lpstr>
      <vt:lpstr>WP RA4</vt:lpstr>
      <vt:lpstr>WP RA4.1</vt:lpstr>
      <vt:lpstr>WP RA5</vt:lpstr>
      <vt:lpstr>WP RA5.1</vt:lpstr>
      <vt:lpstr>WP PF1</vt:lpstr>
      <vt:lpstr>WP PF2</vt:lpstr>
      <vt:lpstr>WP PF3</vt:lpstr>
      <vt:lpstr>WP PF4</vt:lpstr>
      <vt:lpstr>WP PF6</vt:lpstr>
      <vt:lpstr>WP PF7</vt:lpstr>
      <vt:lpstr>WP PF8</vt:lpstr>
      <vt:lpstr>WP PF9</vt:lpstr>
      <vt:lpstr>WP PF10</vt:lpstr>
      <vt:lpstr>WP PF11</vt:lpstr>
      <vt:lpstr>WP PF12</vt:lpstr>
      <vt:lpstr>WP 4-Factor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Weaver</dc:creator>
  <cp:lastModifiedBy>Richard Finnigan</cp:lastModifiedBy>
  <dcterms:created xsi:type="dcterms:W3CDTF">2021-04-02T13:10:51Z</dcterms:created>
  <dcterms:modified xsi:type="dcterms:W3CDTF">2021-07-14T18:15:55Z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0x0101006E56B4D1795A2E4DB2F0B01679ED314A002ACB43EAF26C7A46B3E747AE9B6D49E9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